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20 FERC Rate Case TO2020\12-Dec 1-Annual Informational Filing\Workpapers\"/>
    </mc:Choice>
  </mc:AlternateContent>
  <xr:revisionPtr revIDLastSave="0" documentId="13_ncr:1_{C0E45321-BD68-40B6-84B2-AEDDF9CB448F}" xr6:coauthVersionLast="40" xr6:coauthVersionMax="40" xr10:uidLastSave="{00000000-0000-0000-0000-000000000000}"/>
  <bookViews>
    <workbookView xWindow="0" yWindow="0" windowWidth="25200" windowHeight="11085" xr2:uid="{00000000-000D-0000-FFFF-FFFF00000000}"/>
  </bookViews>
  <sheets>
    <sheet name="One Time Adj Explanation" sheetId="100" r:id="rId1"/>
    <sheet name="WP-Total Adj with Int" sheetId="86" r:id="rId2"/>
    <sheet name="WP-2012 True Up TRR Adj" sheetId="130" r:id="rId3"/>
    <sheet name="WP-2012 Sch4-TUTRR" sheetId="180" r:id="rId4"/>
    <sheet name="WP-2012 Sch21-RevenueCredits" sheetId="181" r:id="rId5"/>
    <sheet name="WP-2013 True Up TRR Adj" sheetId="101" r:id="rId6"/>
    <sheet name="WP-2013 Sch4-TUTRR" sheetId="182" r:id="rId7"/>
    <sheet name="WP-2013 Sch21-RevenueCredits" sheetId="183" r:id="rId8"/>
    <sheet name="WP-2014 True Up TRR Adj" sheetId="106" r:id="rId9"/>
    <sheet name="WP-2014 Sch4-TUTRR" sheetId="184" r:id="rId10"/>
    <sheet name="WP-2014 Sch21-RevenueCredits" sheetId="185" r:id="rId11"/>
    <sheet name="WP-2016 True Up TRR Adj" sheetId="194" r:id="rId12"/>
    <sheet name="WP-2016 Sch4-TUTRR" sheetId="195" r:id="rId13"/>
    <sheet name="WP-2016 Sch20-AandG" sheetId="196" r:id="rId14"/>
    <sheet name="WP-2017 True Up TRR Adj" sheetId="197" r:id="rId15"/>
    <sheet name="WP-2017 Sch4-TUTRR" sheetId="198" r:id="rId16"/>
    <sheet name="WP-2017 Sch10-CWIP" sheetId="199" r:id="rId17"/>
    <sheet name="WP-2017 Sch20-AandG" sheetId="200"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Alt2007" localSheetId="13">#REF!</definedName>
    <definedName name="_Alt2007" localSheetId="12">#REF!</definedName>
    <definedName name="_Alt2007" localSheetId="11">#REF!</definedName>
    <definedName name="_Alt2007" localSheetId="16">#REF!</definedName>
    <definedName name="_Alt2007" localSheetId="17">#REF!</definedName>
    <definedName name="_Alt2007" localSheetId="15">#REF!</definedName>
    <definedName name="_Alt2007" localSheetId="14">#REF!</definedName>
    <definedName name="_Alt2007">#REF!</definedName>
    <definedName name="_Apr06" localSheetId="13">#REF!</definedName>
    <definedName name="_Apr06" localSheetId="12">#REF!</definedName>
    <definedName name="_Apr06" localSheetId="11">#REF!</definedName>
    <definedName name="_Apr06" localSheetId="16">#REF!</definedName>
    <definedName name="_Apr06" localSheetId="17">#REF!</definedName>
    <definedName name="_Apr06" localSheetId="15">#REF!</definedName>
    <definedName name="_Apr06" localSheetId="14">#REF!</definedName>
    <definedName name="_Apr06">#REF!</definedName>
    <definedName name="_F100040">'[1]EIX Cost Centers'!$A$1:$B$33</definedName>
    <definedName name="_Feb06" localSheetId="13">#REF!</definedName>
    <definedName name="_Feb06" localSheetId="12">#REF!</definedName>
    <definedName name="_Feb06" localSheetId="11">#REF!</definedName>
    <definedName name="_Feb06" localSheetId="16">#REF!</definedName>
    <definedName name="_Feb06" localSheetId="17">#REF!</definedName>
    <definedName name="_Feb06" localSheetId="15">#REF!</definedName>
    <definedName name="_Feb06" localSheetId="14">#REF!</definedName>
    <definedName name="_Feb06">#REF!</definedName>
    <definedName name="_Fill" localSheetId="13" hidden="1">#REF!</definedName>
    <definedName name="_Fill" localSheetId="12" hidden="1">#REF!</definedName>
    <definedName name="_Fill" localSheetId="11" hidden="1">#REF!</definedName>
    <definedName name="_Fill" localSheetId="16" hidden="1">#REF!</definedName>
    <definedName name="_Fill" localSheetId="17" hidden="1">#REF!</definedName>
    <definedName name="_Fill" localSheetId="15" hidden="1">#REF!</definedName>
    <definedName name="_Fill" localSheetId="14" hidden="1">#REF!</definedName>
    <definedName name="_Fill" hidden="1">#REF!</definedName>
    <definedName name="_xlnm._FilterDatabase" localSheetId="4" hidden="1">'WP-2012 Sch21-RevenueCredits'!$A$1:$O$238</definedName>
    <definedName name="_xlnm._FilterDatabase" localSheetId="7" hidden="1">'WP-2013 Sch21-RevenueCredits'!$A$1:$O$241</definedName>
    <definedName name="_xlnm._FilterDatabase" localSheetId="10" hidden="1">'WP-2014 Sch21-RevenueCredits'!$A$1:$O$243</definedName>
    <definedName name="_May06" localSheetId="13">#REF!</definedName>
    <definedName name="_May06" localSheetId="12">#REF!</definedName>
    <definedName name="_May06" localSheetId="11">#REF!</definedName>
    <definedName name="_May06" localSheetId="16">#REF!</definedName>
    <definedName name="_May06" localSheetId="17">#REF!</definedName>
    <definedName name="_May06" localSheetId="15">#REF!</definedName>
    <definedName name="_May06" localSheetId="14">#REF!</definedName>
    <definedName name="_May06">#REF!</definedName>
    <definedName name="_Nov05">#REF!</definedName>
    <definedName name="_Order1" hidden="1">255</definedName>
    <definedName name="_Order2" hidden="1">255</definedName>
    <definedName name="_SO2" localSheetId="13">#REF!</definedName>
    <definedName name="_SO2" localSheetId="12">#REF!</definedName>
    <definedName name="_SO2" localSheetId="11">#REF!</definedName>
    <definedName name="_SO2" localSheetId="16">#REF!</definedName>
    <definedName name="_SO2" localSheetId="17">#REF!</definedName>
    <definedName name="_SO2" localSheetId="15">#REF!</definedName>
    <definedName name="_SO2" localSheetId="14">#REF!</definedName>
    <definedName name="_SO2">#REF!</definedName>
    <definedName name="_SO4" localSheetId="13">#REF!</definedName>
    <definedName name="_SO4" localSheetId="12">#REF!</definedName>
    <definedName name="_SO4" localSheetId="11">#REF!</definedName>
    <definedName name="_SO4" localSheetId="16">#REF!</definedName>
    <definedName name="_SO4" localSheetId="17">#REF!</definedName>
    <definedName name="_SO4" localSheetId="15">#REF!</definedName>
    <definedName name="_SO4" localSheetId="14">#REF!</definedName>
    <definedName name="_SO4">#REF!</definedName>
    <definedName name="Active" localSheetId="13">#REF!</definedName>
    <definedName name="Active" localSheetId="12">#REF!</definedName>
    <definedName name="Active" localSheetId="11">#REF!</definedName>
    <definedName name="Active" localSheetId="16">#REF!</definedName>
    <definedName name="Active" localSheetId="17">#REF!</definedName>
    <definedName name="Active" localSheetId="15">#REF!</definedName>
    <definedName name="Active" localSheetId="14">#REF!</definedName>
    <definedName name="Active">#REF!</definedName>
    <definedName name="AltForecast">#REF!</definedName>
    <definedName name="Assets">'[2]GL Master Data lookup'!#REF!</definedName>
    <definedName name="Basis_Point" localSheetId="13">#REF!</definedName>
    <definedName name="Basis_Point" localSheetId="12">#REF!</definedName>
    <definedName name="Basis_Point" localSheetId="11">#REF!</definedName>
    <definedName name="Basis_Point" localSheetId="16">#REF!</definedName>
    <definedName name="Basis_Point" localSheetId="17">#REF!</definedName>
    <definedName name="Basis_Point" localSheetId="15">#REF!</definedName>
    <definedName name="Basis_Point" localSheetId="14">#REF!</definedName>
    <definedName name="Basis_Point">#REF!</definedName>
    <definedName name="Basis_Prices_Upload_Date">[3]Check!$B$29</definedName>
    <definedName name="Basis_Web_Query">[4]BasisPrices!$B$29</definedName>
    <definedName name="BHV" localSheetId="13">#REF!</definedName>
    <definedName name="BHV" localSheetId="12">#REF!</definedName>
    <definedName name="BHV" localSheetId="11">#REF!</definedName>
    <definedName name="BHV" localSheetId="16">#REF!</definedName>
    <definedName name="BHV" localSheetId="17">#REF!</definedName>
    <definedName name="BHV" localSheetId="15">#REF!</definedName>
    <definedName name="BHV" localSheetId="14">#REF!</definedName>
    <definedName name="BHV">#REF!</definedName>
    <definedName name="Bio" localSheetId="13">#REF!</definedName>
    <definedName name="Bio" localSheetId="12">#REF!</definedName>
    <definedName name="Bio" localSheetId="11">#REF!</definedName>
    <definedName name="Bio" localSheetId="16">#REF!</definedName>
    <definedName name="Bio" localSheetId="17">#REF!</definedName>
    <definedName name="Bio" localSheetId="15">#REF!</definedName>
    <definedName name="Bio" localSheetId="14">#REF!</definedName>
    <definedName name="Bio">#REF!</definedName>
    <definedName name="BLOCK" localSheetId="13">#REF!</definedName>
    <definedName name="BLOCK" localSheetId="12">#REF!</definedName>
    <definedName name="BLOCK" localSheetId="11">#REF!</definedName>
    <definedName name="BLOCK" localSheetId="16">#REF!</definedName>
    <definedName name="BLOCK" localSheetId="17">#REF!</definedName>
    <definedName name="BLOCK" localSheetId="15">#REF!</definedName>
    <definedName name="BLOCK" localSheetId="14">#REF!</definedName>
    <definedName name="BLOCK">#REF!</definedName>
    <definedName name="BLOCKPOSTING">#REF!</definedName>
    <definedName name="Calc_implied_vol">[4]Volatility!$B$31</definedName>
    <definedName name="Clearing_House_deals_MTM_PT___Current_Month" localSheetId="13">#REF!</definedName>
    <definedName name="Clearing_House_deals_MTM_PT___Current_Month" localSheetId="12">#REF!</definedName>
    <definedName name="Clearing_House_deals_MTM_PT___Current_Month" localSheetId="11">#REF!</definedName>
    <definedName name="Clearing_House_deals_MTM_PT___Current_Month" localSheetId="16">#REF!</definedName>
    <definedName name="Clearing_House_deals_MTM_PT___Current_Month" localSheetId="17">#REF!</definedName>
    <definedName name="Clearing_House_deals_MTM_PT___Current_Month" localSheetId="15">#REF!</definedName>
    <definedName name="Clearing_House_deals_MTM_PT___Current_Month" localSheetId="14">#REF!</definedName>
    <definedName name="Clearing_House_deals_MTM_PT___Current_Month">#REF!</definedName>
    <definedName name="Cogen" localSheetId="13">#REF!</definedName>
    <definedName name="Cogen" localSheetId="12">#REF!</definedName>
    <definedName name="Cogen" localSheetId="11">#REF!</definedName>
    <definedName name="Cogen" localSheetId="16">#REF!</definedName>
    <definedName name="Cogen" localSheetId="17">#REF!</definedName>
    <definedName name="Cogen" localSheetId="15">#REF!</definedName>
    <definedName name="Cogen" localSheetId="14">#REF!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13">#REF!</definedName>
    <definedName name="CRR_PT2" localSheetId="12">#REF!</definedName>
    <definedName name="CRR_PT2" localSheetId="11">#REF!</definedName>
    <definedName name="CRR_PT2" localSheetId="16">#REF!</definedName>
    <definedName name="CRR_PT2" localSheetId="17">#REF!</definedName>
    <definedName name="CRR_PT2" localSheetId="15">#REF!</definedName>
    <definedName name="CRR_PT2" localSheetId="14">#REF!</definedName>
    <definedName name="CRR_PT2">#REF!</definedName>
    <definedName name="CRR_SD_1" localSheetId="13">#REF!</definedName>
    <definedName name="CRR_SD_1" localSheetId="12">#REF!</definedName>
    <definedName name="CRR_SD_1" localSheetId="11">#REF!</definedName>
    <definedName name="CRR_SD_1" localSheetId="16">#REF!</definedName>
    <definedName name="CRR_SD_1" localSheetId="17">#REF!</definedName>
    <definedName name="CRR_SD_1" localSheetId="15">#REF!</definedName>
    <definedName name="CRR_SD_1" localSheetId="14">#REF!</definedName>
    <definedName name="CRR_SD_1">#REF!</definedName>
    <definedName name="CRR_SD_2" localSheetId="13">#REF!</definedName>
    <definedName name="CRR_SD_2" localSheetId="12">#REF!</definedName>
    <definedName name="CRR_SD_2" localSheetId="11">#REF!</definedName>
    <definedName name="CRR_SD_2" localSheetId="16">#REF!</definedName>
    <definedName name="CRR_SD_2" localSheetId="17">#REF!</definedName>
    <definedName name="CRR_SD_2" localSheetId="15">#REF!</definedName>
    <definedName name="CRR_SD_2" localSheetId="14">#REF!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13">#REF!</definedName>
    <definedName name="DWR_End_Row" localSheetId="12">#REF!</definedName>
    <definedName name="DWR_End_Row" localSheetId="11">#REF!</definedName>
    <definedName name="DWR_End_Row" localSheetId="16">#REF!</definedName>
    <definedName name="DWR_End_Row" localSheetId="17">#REF!</definedName>
    <definedName name="DWR_End_Row" localSheetId="15">#REF!</definedName>
    <definedName name="DWR_End_Row" localSheetId="14">#REF!</definedName>
    <definedName name="DWR_End_Row">#REF!</definedName>
    <definedName name="DWR_Start_Row" localSheetId="13">#REF!</definedName>
    <definedName name="DWR_Start_Row" localSheetId="12">#REF!</definedName>
    <definedName name="DWR_Start_Row" localSheetId="11">#REF!</definedName>
    <definedName name="DWR_Start_Row" localSheetId="16">#REF!</definedName>
    <definedName name="DWR_Start_Row" localSheetId="17">#REF!</definedName>
    <definedName name="DWR_Start_Row" localSheetId="15">#REF!</definedName>
    <definedName name="DWR_Start_Row" localSheetId="14">#REF!</definedName>
    <definedName name="DWR_Start_Row">#REF!</definedName>
    <definedName name="Effective_date">'[4]Calpine Renewable Cntrct  MTM'!$L$81</definedName>
    <definedName name="EIX_10k" localSheetId="13">#REF!</definedName>
    <definedName name="EIX_10k" localSheetId="12">#REF!</definedName>
    <definedName name="EIX_10k" localSheetId="11">#REF!</definedName>
    <definedName name="EIX_10k" localSheetId="16">#REF!</definedName>
    <definedName name="EIX_10k" localSheetId="17">#REF!</definedName>
    <definedName name="EIX_10k" localSheetId="15">#REF!</definedName>
    <definedName name="EIX_10k" localSheetId="14">#REF!</definedName>
    <definedName name="EIX_10k">#REF!</definedName>
    <definedName name="EIX_10K_DET_M" localSheetId="13">#REF!</definedName>
    <definedName name="EIX_10K_DET_M" localSheetId="12">#REF!</definedName>
    <definedName name="EIX_10K_DET_M" localSheetId="11">#REF!</definedName>
    <definedName name="EIX_10K_DET_M" localSheetId="16">#REF!</definedName>
    <definedName name="EIX_10K_DET_M" localSheetId="17">#REF!</definedName>
    <definedName name="EIX_10K_DET_M" localSheetId="15">#REF!</definedName>
    <definedName name="EIX_10K_DET_M" localSheetId="14">#REF!</definedName>
    <definedName name="EIX_10K_DET_M">#REF!</definedName>
    <definedName name="EIX_10K_DET_T" localSheetId="13">#REF!</definedName>
    <definedName name="EIX_10K_DET_T" localSheetId="12">#REF!</definedName>
    <definedName name="EIX_10K_DET_T" localSheetId="11">#REF!</definedName>
    <definedName name="EIX_10K_DET_T" localSheetId="16">#REF!</definedName>
    <definedName name="EIX_10K_DET_T" localSheetId="17">#REF!</definedName>
    <definedName name="EIX_10K_DET_T" localSheetId="15">#REF!</definedName>
    <definedName name="EIX_10K_DET_T" localSheetId="14">#REF!</definedName>
    <definedName name="EIX_10K_DET_T">#REF!</definedName>
    <definedName name="EIX_10K_DETAIL">#REF!</definedName>
    <definedName name="EIX_10K_M">#REF!</definedName>
    <definedName name="EIX_10k_t">#REF!</definedName>
    <definedName name="EIX_10K_WK_CURR">[7]WS!#REF!</definedName>
    <definedName name="EIX_10K_WK_JAN1" localSheetId="13">#REF!</definedName>
    <definedName name="EIX_10K_WK_JAN1" localSheetId="12">#REF!</definedName>
    <definedName name="EIX_10K_WK_JAN1" localSheetId="11">#REF!</definedName>
    <definedName name="EIX_10K_WK_JAN1" localSheetId="16">#REF!</definedName>
    <definedName name="EIX_10K_WK_JAN1" localSheetId="17">#REF!</definedName>
    <definedName name="EIX_10K_WK_JAN1" localSheetId="15">#REF!</definedName>
    <definedName name="EIX_10K_WK_JAN1" localSheetId="14">#REF!</definedName>
    <definedName name="EIX_10K_WK_JAN1">#REF!</definedName>
    <definedName name="EIX_10k_WK_LASTMO" localSheetId="13">#REF!</definedName>
    <definedName name="EIX_10k_WK_LASTMO" localSheetId="12">#REF!</definedName>
    <definedName name="EIX_10k_WK_LASTMO" localSheetId="11">#REF!</definedName>
    <definedName name="EIX_10k_WK_LASTMO" localSheetId="16">#REF!</definedName>
    <definedName name="EIX_10k_WK_LASTMO" localSheetId="17">#REF!</definedName>
    <definedName name="EIX_10k_WK_LASTMO" localSheetId="15">#REF!</definedName>
    <definedName name="EIX_10k_WK_LASTMO" localSheetId="14">#REF!</definedName>
    <definedName name="EIX_10k_WK_LASTMO">#REF!</definedName>
    <definedName name="EIX_WS" localSheetId="13">[7]WS!#REF!</definedName>
    <definedName name="EIX_WS" localSheetId="12">[7]WS!#REF!</definedName>
    <definedName name="EIX_WS" localSheetId="11">[7]WS!#REF!</definedName>
    <definedName name="EIX_WS" localSheetId="16">[7]WS!#REF!</definedName>
    <definedName name="EIX_WS" localSheetId="17">[7]WS!#REF!</definedName>
    <definedName name="EIX_WS" localSheetId="15">[7]WS!#REF!</definedName>
    <definedName name="EIX_WS" localSheetId="14">[7]WS!#REF!</definedName>
    <definedName name="EIX_WS">[7]WS!#REF!</definedName>
    <definedName name="eixytd" localSheetId="13">#REF!</definedName>
    <definedName name="eixytd" localSheetId="12">#REF!</definedName>
    <definedName name="eixytd" localSheetId="11">#REF!</definedName>
    <definedName name="eixytd" localSheetId="16">#REF!</definedName>
    <definedName name="eixytd" localSheetId="17">#REF!</definedName>
    <definedName name="eixytd" localSheetId="15">#REF!</definedName>
    <definedName name="eixytd" localSheetId="14">#REF!</definedName>
    <definedName name="eixytd">#REF!</definedName>
    <definedName name="ENTRYNODE" localSheetId="13">#REF!</definedName>
    <definedName name="ENTRYNODE" localSheetId="12">#REF!</definedName>
    <definedName name="ENTRYNODE" localSheetId="11">#REF!</definedName>
    <definedName name="ENTRYNODE" localSheetId="16">#REF!</definedName>
    <definedName name="ENTRYNODE" localSheetId="17">#REF!</definedName>
    <definedName name="ENTRYNODE" localSheetId="15">#REF!</definedName>
    <definedName name="ENTRYNODE" localSheetId="14">#REF!</definedName>
    <definedName name="ENTRYNODE">#REF!</definedName>
    <definedName name="EOptns_Term_Sch_Point" localSheetId="13">#REF!</definedName>
    <definedName name="EOptns_Term_Sch_Point" localSheetId="12">#REF!</definedName>
    <definedName name="EOptns_Term_Sch_Point" localSheetId="11">#REF!</definedName>
    <definedName name="EOptns_Term_Sch_Point" localSheetId="16">#REF!</definedName>
    <definedName name="EOptns_Term_Sch_Point" localSheetId="17">#REF!</definedName>
    <definedName name="EOptns_Term_Sch_Point" localSheetId="15">#REF!</definedName>
    <definedName name="EOptns_Term_Sch_Point" localSheetId="14">#REF!</definedName>
    <definedName name="EOptns_Term_Sch_Point">#REF!</definedName>
    <definedName name="Equity" localSheetId="13">'[2]GL Master Data lookup'!#REF!</definedName>
    <definedName name="Equity" localSheetId="12">'[2]GL Master Data lookup'!#REF!</definedName>
    <definedName name="Equity" localSheetId="11">'[2]GL Master Data lookup'!#REF!</definedName>
    <definedName name="Equity" localSheetId="16">'[2]GL Master Data lookup'!#REF!</definedName>
    <definedName name="Equity" localSheetId="17">'[2]GL Master Data lookup'!#REF!</definedName>
    <definedName name="Equity" localSheetId="15">'[2]GL Master Data lookup'!#REF!</definedName>
    <definedName name="Equity" localSheetId="14">'[2]GL Master Data lookup'!#REF!</definedName>
    <definedName name="Equity">'[2]GL Master Data lookup'!#REF!</definedName>
    <definedName name="Escalation_Rate" localSheetId="13">#REF!</definedName>
    <definedName name="Escalation_Rate" localSheetId="12">#REF!</definedName>
    <definedName name="Escalation_Rate" localSheetId="11">#REF!</definedName>
    <definedName name="Escalation_Rate" localSheetId="16">#REF!</definedName>
    <definedName name="Escalation_Rate" localSheetId="17">#REF!</definedName>
    <definedName name="Escalation_Rate" localSheetId="15">#REF!</definedName>
    <definedName name="Escalation_Rate" localSheetId="14">#REF!</definedName>
    <definedName name="Escalation_Rate">#REF!</definedName>
    <definedName name="FERC" localSheetId="13">#REF!</definedName>
    <definedName name="FERC" localSheetId="12">#REF!</definedName>
    <definedName name="FERC" localSheetId="11">#REF!</definedName>
    <definedName name="FERC" localSheetId="16">#REF!</definedName>
    <definedName name="FERC" localSheetId="17">#REF!</definedName>
    <definedName name="FERC" localSheetId="15">#REF!</definedName>
    <definedName name="FERC" localSheetId="14">#REF!</definedName>
    <definedName name="FERC">#REF!</definedName>
    <definedName name="FERC_Map">'[2]CARS to FERC Map'!$A$2:$B$2339</definedName>
    <definedName name="Format_Quotes">[4]PowerPrices!$B$62</definedName>
    <definedName name="FSD" localSheetId="13">#REF!</definedName>
    <definedName name="FSD" localSheetId="12">#REF!</definedName>
    <definedName name="FSD" localSheetId="11">#REF!</definedName>
    <definedName name="FSD" localSheetId="16">#REF!</definedName>
    <definedName name="FSD" localSheetId="17">#REF!</definedName>
    <definedName name="FSD" localSheetId="15">#REF!</definedName>
    <definedName name="FSD" localSheetId="14">#REF!</definedName>
    <definedName name="FSD">#REF!</definedName>
    <definedName name="Fut_Point" localSheetId="13">#REF!</definedName>
    <definedName name="Fut_Point" localSheetId="12">#REF!</definedName>
    <definedName name="Fut_Point" localSheetId="11">#REF!</definedName>
    <definedName name="Fut_Point" localSheetId="16">#REF!</definedName>
    <definedName name="Fut_Point" localSheetId="17">#REF!</definedName>
    <definedName name="Fut_Point" localSheetId="15">#REF!</definedName>
    <definedName name="Fut_Point" localSheetId="14">#REF!</definedName>
    <definedName name="Fut_Point">#REF!</definedName>
    <definedName name="Futs_Web_Query">[4]FuturePrices!$B$34</definedName>
    <definedName name="Futures_Prices_Upload_Date">[3]Check!$B$28</definedName>
    <definedName name="Gas" localSheetId="13">#REF!</definedName>
    <definedName name="Gas" localSheetId="12">#REF!</definedName>
    <definedName name="Gas" localSheetId="11">#REF!</definedName>
    <definedName name="Gas" localSheetId="16">#REF!</definedName>
    <definedName name="Gas" localSheetId="17">#REF!</definedName>
    <definedName name="Gas" localSheetId="15">#REF!</definedName>
    <definedName name="Gas" localSheetId="14">#REF!</definedName>
    <definedName name="Gas">#REF!</definedName>
    <definedName name="Gas_Fin_Non_Options" localSheetId="13">#REF!</definedName>
    <definedName name="Gas_Fin_Non_Options" localSheetId="12">#REF!</definedName>
    <definedName name="Gas_Fin_Non_Options" localSheetId="11">#REF!</definedName>
    <definedName name="Gas_Fin_Non_Options" localSheetId="16">#REF!</definedName>
    <definedName name="Gas_Fin_Non_Options" localSheetId="17">#REF!</definedName>
    <definedName name="Gas_Fin_Non_Options" localSheetId="15">#REF!</definedName>
    <definedName name="Gas_Fin_Non_Options" localSheetId="14">#REF!</definedName>
    <definedName name="Gas_Fin_Non_Options">#REF!</definedName>
    <definedName name="Gas_NOpt_PT_1" localSheetId="13">#REF!</definedName>
    <definedName name="Gas_NOpt_PT_1" localSheetId="12">#REF!</definedName>
    <definedName name="Gas_NOpt_PT_1" localSheetId="11">#REF!</definedName>
    <definedName name="Gas_NOpt_PT_1" localSheetId="16">#REF!</definedName>
    <definedName name="Gas_NOpt_PT_1" localSheetId="17">#REF!</definedName>
    <definedName name="Gas_NOpt_PT_1" localSheetId="15">#REF!</definedName>
    <definedName name="Gas_NOpt_PT_1" localSheetId="14">#REF!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13">#REF!</definedName>
    <definedName name="HISTORICDOLLAR" localSheetId="12">#REF!</definedName>
    <definedName name="HISTORICDOLLAR" localSheetId="11">#REF!</definedName>
    <definedName name="HISTORICDOLLAR" localSheetId="16">#REF!</definedName>
    <definedName name="HISTORICDOLLAR" localSheetId="17">#REF!</definedName>
    <definedName name="HISTORICDOLLAR" localSheetId="15">#REF!</definedName>
    <definedName name="HISTORICDOLLAR" localSheetId="14">#REF!</definedName>
    <definedName name="HISTORICDOLLAR">#REF!</definedName>
    <definedName name="Hydro" localSheetId="13">#REF!</definedName>
    <definedName name="Hydro" localSheetId="12">#REF!</definedName>
    <definedName name="Hydro" localSheetId="11">#REF!</definedName>
    <definedName name="Hydro" localSheetId="16">#REF!</definedName>
    <definedName name="Hydro" localSheetId="17">#REF!</definedName>
    <definedName name="Hydro" localSheetId="15">#REF!</definedName>
    <definedName name="Hydro" localSheetId="14">#REF!</definedName>
    <definedName name="Hydro">#REF!</definedName>
    <definedName name="Interest_Rates_Upload_Date">[3]Check!$B$30</definedName>
    <definedName name="IR_Web_Query">[4]InterestRates!$B$26</definedName>
    <definedName name="ITEMTYPE" localSheetId="13">#REF!</definedName>
    <definedName name="ITEMTYPE" localSheetId="12">#REF!</definedName>
    <definedName name="ITEMTYPE" localSheetId="11">#REF!</definedName>
    <definedName name="ITEMTYPE" localSheetId="16">#REF!</definedName>
    <definedName name="ITEMTYPE" localSheetId="17">#REF!</definedName>
    <definedName name="ITEMTYPE" localSheetId="15">#REF!</definedName>
    <definedName name="ITEMTYPE" localSheetId="14">#REF!</definedName>
    <definedName name="ITEMTYPE">#REF!</definedName>
    <definedName name="Level" localSheetId="13">#REF!</definedName>
    <definedName name="Level" localSheetId="12">#REF!</definedName>
    <definedName name="Level" localSheetId="11">#REF!</definedName>
    <definedName name="Level" localSheetId="16">#REF!</definedName>
    <definedName name="Level" localSheetId="17">#REF!</definedName>
    <definedName name="Level" localSheetId="15">#REF!</definedName>
    <definedName name="Level" localSheetId="14">#REF!</definedName>
    <definedName name="Level">#REF!</definedName>
    <definedName name="Liab" localSheetId="13">'[2]GL Master Data lookup'!#REF!</definedName>
    <definedName name="Liab" localSheetId="12">'[2]GL Master Data lookup'!#REF!</definedName>
    <definedName name="Liab" localSheetId="11">'[2]GL Master Data lookup'!#REF!</definedName>
    <definedName name="Liab" localSheetId="16">'[2]GL Master Data lookup'!#REF!</definedName>
    <definedName name="Liab" localSheetId="17">'[2]GL Master Data lookup'!#REF!</definedName>
    <definedName name="Liab" localSheetId="15">'[2]GL Master Data lookup'!#REF!</definedName>
    <definedName name="Liab" localSheetId="14">'[2]GL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13">#REF!</definedName>
    <definedName name="Load_Flag" localSheetId="12">#REF!</definedName>
    <definedName name="Load_Flag" localSheetId="11">#REF!</definedName>
    <definedName name="Load_Flag" localSheetId="16">#REF!</definedName>
    <definedName name="Load_Flag" localSheetId="17">#REF!</definedName>
    <definedName name="Load_Flag" localSheetId="15">#REF!</definedName>
    <definedName name="Load_Flag" localSheetId="14">#REF!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13">#REF!</definedName>
    <definedName name="MTM_Summary_Compare" localSheetId="12">#REF!</definedName>
    <definedName name="MTM_Summary_Compare" localSheetId="11">#REF!</definedName>
    <definedName name="MTM_Summary_Compare" localSheetId="16">#REF!</definedName>
    <definedName name="MTM_Summary_Compare" localSheetId="17">#REF!</definedName>
    <definedName name="MTM_Summary_Compare" localSheetId="15">#REF!</definedName>
    <definedName name="MTM_Summary_Compare" localSheetId="14">#REF!</definedName>
    <definedName name="MTM_Summary_Compare">#REF!</definedName>
    <definedName name="NEG" localSheetId="13">#REF!</definedName>
    <definedName name="NEG" localSheetId="12">#REF!</definedName>
    <definedName name="NEG" localSheetId="11">#REF!</definedName>
    <definedName name="NEG" localSheetId="16">#REF!</definedName>
    <definedName name="NEG" localSheetId="17">#REF!</definedName>
    <definedName name="NEG" localSheetId="15">#REF!</definedName>
    <definedName name="NEG" localSheetId="14">#REF!</definedName>
    <definedName name="NEG">#REF!</definedName>
    <definedName name="new" localSheetId="13" hidden="1">{#N/A,#N/A,TRUE,"Section6";#N/A,#N/A,TRUE,"OHcycles";#N/A,#N/A,TRUE,"OHtiming";#N/A,#N/A,TRUE,"OHcosts";#N/A,#N/A,TRUE,"GTdegradation";#N/A,#N/A,TRUE,"GTperformance";#N/A,#N/A,TRUE,"GraphEquip"}</definedName>
    <definedName name="new" localSheetId="12" hidden="1">{#N/A,#N/A,TRUE,"Section6";#N/A,#N/A,TRUE,"OHcycles";#N/A,#N/A,TRUE,"OHtiming";#N/A,#N/A,TRUE,"OHcosts";#N/A,#N/A,TRUE,"GTdegradation";#N/A,#N/A,TRUE,"GTperformance";#N/A,#N/A,TRUE,"GraphEquip"}</definedName>
    <definedName name="new" localSheetId="11" hidden="1">{#N/A,#N/A,TRUE,"Section6";#N/A,#N/A,TRUE,"OHcycles";#N/A,#N/A,TRUE,"OHtiming";#N/A,#N/A,TRUE,"OHcosts";#N/A,#N/A,TRUE,"GTdegradation";#N/A,#N/A,TRUE,"GTperformance";#N/A,#N/A,TRUE,"GraphEquip"}</definedName>
    <definedName name="new" localSheetId="16" hidden="1">{#N/A,#N/A,TRUE,"Section6";#N/A,#N/A,TRUE,"OHcycles";#N/A,#N/A,TRUE,"OHtiming";#N/A,#N/A,TRUE,"OHcosts";#N/A,#N/A,TRUE,"GTdegradation";#N/A,#N/A,TRUE,"GTperformance";#N/A,#N/A,TRUE,"GraphEquip"}</definedName>
    <definedName name="new" localSheetId="17" hidden="1">{#N/A,#N/A,TRUE,"Section6";#N/A,#N/A,TRUE,"OHcycles";#N/A,#N/A,TRUE,"OHtiming";#N/A,#N/A,TRUE,"OHcosts";#N/A,#N/A,TRUE,"GTdegradation";#N/A,#N/A,TRUE,"GTperformance";#N/A,#N/A,TRUE,"GraphEquip"}</definedName>
    <definedName name="new" localSheetId="15" hidden="1">{#N/A,#N/A,TRUE,"Section6";#N/A,#N/A,TRUE,"OHcycles";#N/A,#N/A,TRUE,"OHtiming";#N/A,#N/A,TRUE,"OHcosts";#N/A,#N/A,TRUE,"GTdegradation";#N/A,#N/A,TRUE,"GTperformance";#N/A,#N/A,TRUE,"GraphEquip"}</definedName>
    <definedName name="new" localSheetId="14"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13">#REF!</definedName>
    <definedName name="Next_Month" localSheetId="12">#REF!</definedName>
    <definedName name="Next_Month" localSheetId="11">#REF!</definedName>
    <definedName name="Next_Month" localSheetId="16">#REF!</definedName>
    <definedName name="Next_Month" localSheetId="17">#REF!</definedName>
    <definedName name="Next_Month" localSheetId="15">#REF!</definedName>
    <definedName name="Next_Month" localSheetId="14">#REF!</definedName>
    <definedName name="Next_Month">#REF!</definedName>
    <definedName name="NoContamSystems">SUM('[8]Facility Technical Data'!$C$11:$C$12)</definedName>
    <definedName name="OOR" localSheetId="13">'[2]GL Master Data lookup'!#REF!</definedName>
    <definedName name="OOR" localSheetId="12">'[2]GL Master Data lookup'!#REF!</definedName>
    <definedName name="OOR" localSheetId="11">'[2]GL Master Data lookup'!#REF!</definedName>
    <definedName name="OOR" localSheetId="16">'[2]GL Master Data lookup'!#REF!</definedName>
    <definedName name="OOR" localSheetId="17">'[2]GL Master Data lookup'!#REF!</definedName>
    <definedName name="OOR" localSheetId="15">'[2]GL Master Data lookup'!#REF!</definedName>
    <definedName name="OOR" localSheetId="14">'[2]GL Master Data lookup'!#REF!</definedName>
    <definedName name="OOR">'[2]GL Master Data lookup'!#REF!</definedName>
    <definedName name="Op_Exp" localSheetId="13">'[2]GL Master Data lookup'!#REF!</definedName>
    <definedName name="Op_Exp" localSheetId="12">'[2]GL Master Data lookup'!#REF!</definedName>
    <definedName name="Op_Exp" localSheetId="11">'[2]GL Master Data lookup'!#REF!</definedName>
    <definedName name="Op_Exp" localSheetId="16">'[2]GL Master Data lookup'!#REF!</definedName>
    <definedName name="Op_Exp" localSheetId="17">'[2]GL Master Data lookup'!#REF!</definedName>
    <definedName name="Op_Exp" localSheetId="15">'[2]GL Master Data lookup'!#REF!</definedName>
    <definedName name="Op_Exp" localSheetId="14">'[2]GL Master Data lookup'!#REF!</definedName>
    <definedName name="Op_Exp">'[2]GL Master Data lookup'!#REF!</definedName>
    <definedName name="OracleUploadDate">[9]Renewable!$I$1</definedName>
    <definedName name="ord">'[10]Master Data'!$B$1:$T$118</definedName>
    <definedName name="P_L" localSheetId="13">'[2]GL Master Data lookup'!#REF!</definedName>
    <definedName name="P_L" localSheetId="12">'[2]GL Master Data lookup'!#REF!</definedName>
    <definedName name="P_L" localSheetId="11">'[2]GL Master Data lookup'!#REF!</definedName>
    <definedName name="P_L" localSheetId="16">'[2]GL Master Data lookup'!#REF!</definedName>
    <definedName name="P_L" localSheetId="17">'[2]GL Master Data lookup'!#REF!</definedName>
    <definedName name="P_L" localSheetId="15">'[2]GL Master Data lookup'!#REF!</definedName>
    <definedName name="P_L" localSheetId="14">'[2]GL Master Data lookup'!#REF!</definedName>
    <definedName name="P_L">'[2]GL Master Data lookup'!#REF!</definedName>
    <definedName name="Past_Cash" localSheetId="13">'[2]GL Master Data lookup'!#REF!</definedName>
    <definedName name="Past_Cash" localSheetId="12">'[2]GL Master Data lookup'!#REF!</definedName>
    <definedName name="Past_Cash" localSheetId="11">'[2]GL Master Data lookup'!#REF!</definedName>
    <definedName name="Past_Cash" localSheetId="16">'[2]GL Master Data lookup'!#REF!</definedName>
    <definedName name="Past_Cash" localSheetId="17">'[2]GL Master Data lookup'!#REF!</definedName>
    <definedName name="Past_Cash" localSheetId="15">'[2]GL Master Data lookup'!#REF!</definedName>
    <definedName name="Past_Cash" localSheetId="14">'[2]GL Master Data lookup'!#REF!</definedName>
    <definedName name="Past_Cash">'[2]GL Master Data lookup'!#REF!</definedName>
    <definedName name="PivotTablePoint" localSheetId="13">#REF!</definedName>
    <definedName name="PivotTablePoint" localSheetId="12">#REF!</definedName>
    <definedName name="PivotTablePoint" localSheetId="11">#REF!</definedName>
    <definedName name="PivotTablePoint" localSheetId="16">#REF!</definedName>
    <definedName name="PivotTablePoint" localSheetId="17">#REF!</definedName>
    <definedName name="PivotTablePoint" localSheetId="15">#REF!</definedName>
    <definedName name="PivotTablePoint" localSheetId="14">#REF!</definedName>
    <definedName name="PivotTablePoint">#REF!</definedName>
    <definedName name="Posting_Keys" localSheetId="13">#REF!</definedName>
    <definedName name="Posting_Keys" localSheetId="12">#REF!</definedName>
    <definedName name="Posting_Keys" localSheetId="11">#REF!</definedName>
    <definedName name="Posting_Keys" localSheetId="16">#REF!</definedName>
    <definedName name="Posting_Keys" localSheetId="17">#REF!</definedName>
    <definedName name="Posting_Keys" localSheetId="15">#REF!</definedName>
    <definedName name="Posting_Keys" localSheetId="14">#REF!</definedName>
    <definedName name="Posting_Keys">#REF!</definedName>
    <definedName name="Power" localSheetId="13">#REF!</definedName>
    <definedName name="Power" localSheetId="12">#REF!</definedName>
    <definedName name="Power" localSheetId="11">#REF!</definedName>
    <definedName name="Power" localSheetId="16">#REF!</definedName>
    <definedName name="Power" localSheetId="17">#REF!</definedName>
    <definedName name="Power" localSheetId="15">#REF!</definedName>
    <definedName name="Power" localSheetId="14">#REF!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Explanation'!$A$1:$F$42</definedName>
    <definedName name="_xlnm.Print_Area" localSheetId="4">'WP-2012 Sch21-RevenueCredits'!$A$1:$O$242</definedName>
    <definedName name="_xlnm.Print_Area" localSheetId="3">'WP-2012 Sch4-TUTRR'!$A$1:$J$108</definedName>
    <definedName name="_xlnm.Print_Area" localSheetId="2">'WP-2012 True Up TRR Adj'!$A$1:$G$16</definedName>
    <definedName name="_xlnm.Print_Area" localSheetId="7">'WP-2013 Sch21-RevenueCredits'!$A$1:$O$245</definedName>
    <definedName name="_xlnm.Print_Area" localSheetId="6">'WP-2013 Sch4-TUTRR'!$A$1:$J$109</definedName>
    <definedName name="_xlnm.Print_Area" localSheetId="5">'WP-2013 True Up TRR Adj'!$A$2:$G$16</definedName>
    <definedName name="_xlnm.Print_Area" localSheetId="10">'WP-2014 Sch21-RevenueCredits'!$A$1:$O$247</definedName>
    <definedName name="_xlnm.Print_Area" localSheetId="9">'WP-2014 Sch4-TUTRR'!$A$1:$J$109</definedName>
    <definedName name="_xlnm.Print_Area" localSheetId="8">'WP-2014 True Up TRR Adj'!$A$2:$G$16</definedName>
    <definedName name="_xlnm.Print_Area" localSheetId="13">'WP-2016 Sch20-AandG'!$A$1:$J$112</definedName>
    <definedName name="_xlnm.Print_Area" localSheetId="12">'WP-2016 Sch4-TUTRR'!$A$1:$J$109</definedName>
    <definedName name="_xlnm.Print_Area" localSheetId="11">'WP-2016 True Up TRR Adj'!$A$1:$G$15</definedName>
    <definedName name="_xlnm.Print_Area" localSheetId="16">'WP-2017 Sch10-CWIP'!$A$1:$K$444</definedName>
    <definedName name="_xlnm.Print_Area" localSheetId="17">'WP-2017 Sch20-AandG'!$A$1:$J$112</definedName>
    <definedName name="_xlnm.Print_Area" localSheetId="15">'WP-2017 Sch4-TUTRR'!$A$1:$J$109</definedName>
    <definedName name="_xlnm.Print_Area" localSheetId="14">'WP-2017 True Up TRR Adj'!$A$2:$G$16</definedName>
    <definedName name="_xlnm.Print_Area" localSheetId="1">'WP-Total Adj with Int'!$A$1:$W$85</definedName>
    <definedName name="_xlnm.Print_Titles" localSheetId="4">'WP-2012 Sch21-RevenueCredits'!$1:$3</definedName>
    <definedName name="_xlnm.Print_Titles" localSheetId="7">'WP-2013 Sch21-RevenueCredits'!$1:$3</definedName>
    <definedName name="_xlnm.Print_Titles" localSheetId="10">'WP-2014 Sch21-RevenueCredits'!$1:$3</definedName>
    <definedName name="print1" localSheetId="13">#REF!</definedName>
    <definedName name="print1" localSheetId="12">#REF!</definedName>
    <definedName name="print1" localSheetId="11">#REF!</definedName>
    <definedName name="print1" localSheetId="16">#REF!</definedName>
    <definedName name="print1" localSheetId="17">#REF!</definedName>
    <definedName name="print1" localSheetId="15">#REF!</definedName>
    <definedName name="print1" localSheetId="14">#REF!</definedName>
    <definedName name="print1">#REF!</definedName>
    <definedName name="print2" localSheetId="13">#REF!</definedName>
    <definedName name="print2" localSheetId="12">#REF!</definedName>
    <definedName name="print2" localSheetId="11">#REF!</definedName>
    <definedName name="print2" localSheetId="16">#REF!</definedName>
    <definedName name="print2" localSheetId="17">#REF!</definedName>
    <definedName name="print2" localSheetId="15">#REF!</definedName>
    <definedName name="print2" localSheetId="14">#REF!</definedName>
    <definedName name="print2">#REF!</definedName>
    <definedName name="PriorMTMdate">'[11]Input And Prices'!$B$3</definedName>
    <definedName name="ProcessDate" localSheetId="13">#REF!</definedName>
    <definedName name="ProcessDate" localSheetId="12">#REF!</definedName>
    <definedName name="ProcessDate" localSheetId="11">#REF!</definedName>
    <definedName name="ProcessDate" localSheetId="16">#REF!</definedName>
    <definedName name="ProcessDate" localSheetId="17">#REF!</definedName>
    <definedName name="ProcessDate" localSheetId="15">#REF!</definedName>
    <definedName name="ProcessDate" localSheetId="14">#REF!</definedName>
    <definedName name="ProcessDate">#REF!</definedName>
    <definedName name="ProcessDate2">[9]Check!$B$3</definedName>
    <definedName name="ProcessMonth" localSheetId="13">#REF!</definedName>
    <definedName name="ProcessMonth" localSheetId="12">#REF!</definedName>
    <definedName name="ProcessMonth" localSheetId="11">#REF!</definedName>
    <definedName name="ProcessMonth" localSheetId="16">#REF!</definedName>
    <definedName name="ProcessMonth" localSheetId="17">#REF!</definedName>
    <definedName name="ProcessMonth" localSheetId="15">#REF!</definedName>
    <definedName name="ProcessMonth" localSheetId="14">#REF!</definedName>
    <definedName name="ProcessMonth">#REF!</definedName>
    <definedName name="ProxyList">'[3]Calpine Renewable Cntrct  MTM'!$AT$15:$AT$20</definedName>
    <definedName name="QF_Asgn_List_Capacity" localSheetId="13">#REF!</definedName>
    <definedName name="QF_Asgn_List_Capacity" localSheetId="12">#REF!</definedName>
    <definedName name="QF_Asgn_List_Capacity" localSheetId="11">#REF!</definedName>
    <definedName name="QF_Asgn_List_Capacity" localSheetId="16">#REF!</definedName>
    <definedName name="QF_Asgn_List_Capacity" localSheetId="17">#REF!</definedName>
    <definedName name="QF_Asgn_List_Capacity" localSheetId="15">#REF!</definedName>
    <definedName name="QF_Asgn_List_Capacity" localSheetId="14">#REF!</definedName>
    <definedName name="QF_Asgn_List_Capacity">#REF!</definedName>
    <definedName name="QF_Asgn_List0212" localSheetId="13">#REF!</definedName>
    <definedName name="QF_Asgn_List0212" localSheetId="12">#REF!</definedName>
    <definedName name="QF_Asgn_List0212" localSheetId="11">#REF!</definedName>
    <definedName name="QF_Asgn_List0212" localSheetId="16">#REF!</definedName>
    <definedName name="QF_Asgn_List0212" localSheetId="17">#REF!</definedName>
    <definedName name="QF_Asgn_List0212" localSheetId="15">#REF!</definedName>
    <definedName name="QF_Asgn_List0212" localSheetId="14">#REF!</definedName>
    <definedName name="QF_Asgn_List0212">#REF!</definedName>
    <definedName name="QF_Asgn_List0301" localSheetId="13">#REF!</definedName>
    <definedName name="QF_Asgn_List0301" localSheetId="12">#REF!</definedName>
    <definedName name="QF_Asgn_List0301" localSheetId="11">#REF!</definedName>
    <definedName name="QF_Asgn_List0301" localSheetId="16">#REF!</definedName>
    <definedName name="QF_Asgn_List0301" localSheetId="17">#REF!</definedName>
    <definedName name="QF_Asgn_List0301" localSheetId="15">#REF!</definedName>
    <definedName name="QF_Asgn_List0301" localSheetId="14">#REF!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 localSheetId="13">#REF!</definedName>
    <definedName name="SCE_10K_WK_JAN1" localSheetId="12">#REF!</definedName>
    <definedName name="SCE_10K_WK_JAN1" localSheetId="11">#REF!</definedName>
    <definedName name="SCE_10K_WK_JAN1" localSheetId="16">#REF!</definedName>
    <definedName name="SCE_10K_WK_JAN1" localSheetId="17">#REF!</definedName>
    <definedName name="SCE_10K_WK_JAN1" localSheetId="15">#REF!</definedName>
    <definedName name="SCE_10K_WK_JAN1" localSheetId="14">#REF!</definedName>
    <definedName name="SCE_10K_WK_JAN1">#REF!</definedName>
    <definedName name="SCE_10K_WK_LASTMO" localSheetId="13">#REF!</definedName>
    <definedName name="SCE_10K_WK_LASTMO" localSheetId="12">#REF!</definedName>
    <definedName name="SCE_10K_WK_LASTMO" localSheetId="11">#REF!</definedName>
    <definedName name="SCE_10K_WK_LASTMO" localSheetId="16">#REF!</definedName>
    <definedName name="SCE_10K_WK_LASTMO" localSheetId="17">#REF!</definedName>
    <definedName name="SCE_10K_WK_LASTMO" localSheetId="15">#REF!</definedName>
    <definedName name="SCE_10K_WK_LASTMO" localSheetId="14">#REF!</definedName>
    <definedName name="SCE_10K_WK_LASTMO">#REF!</definedName>
    <definedName name="SCE_WS" localSheetId="13">#REF!</definedName>
    <definedName name="SCE_WS" localSheetId="12">#REF!</definedName>
    <definedName name="SCE_WS" localSheetId="11">#REF!</definedName>
    <definedName name="SCE_WS" localSheetId="16">#REF!</definedName>
    <definedName name="SCE_WS" localSheetId="17">#REF!</definedName>
    <definedName name="SCE_WS" localSheetId="15">#REF!</definedName>
    <definedName name="SCE_WS" localSheetId="14">#REF!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 localSheetId="13">#REF!</definedName>
    <definedName name="Solar" localSheetId="12">#REF!</definedName>
    <definedName name="Solar" localSheetId="11">#REF!</definedName>
    <definedName name="Solar" localSheetId="16">#REF!</definedName>
    <definedName name="Solar" localSheetId="17">#REF!</definedName>
    <definedName name="Solar" localSheetId="15">#REF!</definedName>
    <definedName name="Solar" localSheetId="14">#REF!</definedName>
    <definedName name="Solar">#REF!</definedName>
    <definedName name="SUBMITEM" localSheetId="13">#REF!</definedName>
    <definedName name="SUBMITEM" localSheetId="12">#REF!</definedName>
    <definedName name="SUBMITEM" localSheetId="11">#REF!</definedName>
    <definedName name="SUBMITEM" localSheetId="16">#REF!</definedName>
    <definedName name="SUBMITEM" localSheetId="17">#REF!</definedName>
    <definedName name="SUBMITEM" localSheetId="15">#REF!</definedName>
    <definedName name="SUBMITEM" localSheetId="14">#REF!</definedName>
    <definedName name="SUBMITEM">#REF!</definedName>
    <definedName name="SUBMITEMS" localSheetId="13">#REF!</definedName>
    <definedName name="SUBMITEMS" localSheetId="12">#REF!</definedName>
    <definedName name="SUBMITEMS" localSheetId="11">#REF!</definedName>
    <definedName name="SUBMITEMS" localSheetId="16">#REF!</definedName>
    <definedName name="SUBMITEMS" localSheetId="17">#REF!</definedName>
    <definedName name="SUBMITEMS" localSheetId="15">#REF!</definedName>
    <definedName name="SUBMITEMS" localSheetId="14">#REF!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 localSheetId="13">#REF!</definedName>
    <definedName name="TransCapMTM" localSheetId="12">#REF!</definedName>
    <definedName name="TransCapMTM" localSheetId="11">#REF!</definedName>
    <definedName name="TransCapMTM" localSheetId="16">#REF!</definedName>
    <definedName name="TransCapMTM" localSheetId="17">#REF!</definedName>
    <definedName name="TransCapMTM" localSheetId="15">#REF!</definedName>
    <definedName name="TransCapMTM" localSheetId="14">#REF!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13">#REF!</definedName>
    <definedName name="Upload_IR_Access" localSheetId="12">#REF!</definedName>
    <definedName name="Upload_IR_Access" localSheetId="11">#REF!</definedName>
    <definedName name="Upload_IR_Access" localSheetId="16">#REF!</definedName>
    <definedName name="Upload_IR_Access" localSheetId="17">#REF!</definedName>
    <definedName name="Upload_IR_Access" localSheetId="15">#REF!</definedName>
    <definedName name="Upload_IR_Access" localSheetId="14">#REF!</definedName>
    <definedName name="Upload_IR_Access">#REF!</definedName>
    <definedName name="Upload_Pwr">[4]PowerPrices!$B$66</definedName>
    <definedName name="Upload_Pwr_Access">[4]PowerPrices!$B$67</definedName>
    <definedName name="UploadAccess">[4]Volatility!$B$34</definedName>
    <definedName name="Uploads_IR_Access" localSheetId="13">#REF!</definedName>
    <definedName name="Uploads_IR_Access" localSheetId="12">#REF!</definedName>
    <definedName name="Uploads_IR_Access" localSheetId="11">#REF!</definedName>
    <definedName name="Uploads_IR_Access" localSheetId="16">#REF!</definedName>
    <definedName name="Uploads_IR_Access" localSheetId="17">#REF!</definedName>
    <definedName name="Uploads_IR_Access" localSheetId="15">#REF!</definedName>
    <definedName name="Uploads_IR_Access" localSheetId="14">#REF!</definedName>
    <definedName name="Uploads_IR_Access">#REF!</definedName>
    <definedName name="UploadVol">[4]Volatility!$B$33</definedName>
    <definedName name="Volatility_Upload_Date">[3]Check!$B$31</definedName>
    <definedName name="Week" localSheetId="13">{0;1;2;3;4;5}</definedName>
    <definedName name="Week" localSheetId="12">{0;1;2;3;4;5}</definedName>
    <definedName name="Week" localSheetId="11">{0;1;2;3;4;5}</definedName>
    <definedName name="Week" localSheetId="16">{0;1;2;3;4;5}</definedName>
    <definedName name="Week" localSheetId="17">{0;1;2;3;4;5}</definedName>
    <definedName name="Week" localSheetId="15">{0;1;2;3;4;5}</definedName>
    <definedName name="Week" localSheetId="14">{0;1;2;3;4;5}</definedName>
    <definedName name="Week">{0;1;2;3;4;5}</definedName>
    <definedName name="Weekday" localSheetId="13">{1,2,3,4,5,6,7}</definedName>
    <definedName name="Weekday" localSheetId="12">{1,2,3,4,5,6,7}</definedName>
    <definedName name="Weekday" localSheetId="11">{1,2,3,4,5,6,7}</definedName>
    <definedName name="Weekday" localSheetId="16">{1,2,3,4,5,6,7}</definedName>
    <definedName name="Weekday" localSheetId="17">{1,2,3,4,5,6,7}</definedName>
    <definedName name="Weekday" localSheetId="15">{1,2,3,4,5,6,7}</definedName>
    <definedName name="Weekday" localSheetId="14">{1,2,3,4,5,6,7}</definedName>
    <definedName name="Weekday">{1,2,3,4,5,6,7}</definedName>
    <definedName name="Wind" localSheetId="13">#REF!</definedName>
    <definedName name="Wind" localSheetId="12">#REF!</definedName>
    <definedName name="Wind" localSheetId="11">#REF!</definedName>
    <definedName name="Wind" localSheetId="16">#REF!</definedName>
    <definedName name="Wind" localSheetId="17">#REF!</definedName>
    <definedName name="Wind" localSheetId="15">#REF!</definedName>
    <definedName name="Wind" localSheetId="14">#REF!</definedName>
    <definedName name="Wind">#REF!</definedName>
    <definedName name="WITdata">[14]WIT!$A$1:$S$440</definedName>
    <definedName name="wrn.Cover." localSheetId="13" hidden="1">{#N/A,#N/A,TRUE,"Cover";#N/A,#N/A,TRUE,"Contents"}</definedName>
    <definedName name="wrn.Cover." localSheetId="12" hidden="1">{#N/A,#N/A,TRUE,"Cover";#N/A,#N/A,TRUE,"Contents"}</definedName>
    <definedName name="wrn.Cover." localSheetId="11" hidden="1">{#N/A,#N/A,TRUE,"Cover";#N/A,#N/A,TRUE,"Contents"}</definedName>
    <definedName name="wrn.Cover." localSheetId="16" hidden="1">{#N/A,#N/A,TRUE,"Cover";#N/A,#N/A,TRUE,"Contents"}</definedName>
    <definedName name="wrn.Cover." localSheetId="17" hidden="1">{#N/A,#N/A,TRUE,"Cover";#N/A,#N/A,TRUE,"Contents"}</definedName>
    <definedName name="wrn.Cover." localSheetId="15" hidden="1">{#N/A,#N/A,TRUE,"Cover";#N/A,#N/A,TRUE,"Contents"}</definedName>
    <definedName name="wrn.Cover." localSheetId="14" hidden="1">{#N/A,#N/A,TRUE,"Cover";#N/A,#N/A,TRUE,"Contents"}</definedName>
    <definedName name="wrn.Cover." hidden="1">{#N/A,#N/A,TRUE,"Cover";#N/A,#N/A,TRUE,"Contents"}</definedName>
    <definedName name="wrn.CoverContents." localSheetId="13" hidden="1">{#N/A,#N/A,FALSE,"Cover";#N/A,#N/A,FALSE,"Contents"}</definedName>
    <definedName name="wrn.CoverContents." localSheetId="12" hidden="1">{#N/A,#N/A,FALSE,"Cover";#N/A,#N/A,FALSE,"Contents"}</definedName>
    <definedName name="wrn.CoverContents." localSheetId="11" hidden="1">{#N/A,#N/A,FALSE,"Cover";#N/A,#N/A,FALSE,"Contents"}</definedName>
    <definedName name="wrn.CoverContents." localSheetId="16" hidden="1">{#N/A,#N/A,FALSE,"Cover";#N/A,#N/A,FALSE,"Contents"}</definedName>
    <definedName name="wrn.CoverContents." localSheetId="17" hidden="1">{#N/A,#N/A,FALSE,"Cover";#N/A,#N/A,FALSE,"Contents"}</definedName>
    <definedName name="wrn.CoverContents." localSheetId="15" hidden="1">{#N/A,#N/A,FALSE,"Cover";#N/A,#N/A,FALSE,"Contents"}</definedName>
    <definedName name="wrn.CoverContents." localSheetId="14" hidden="1">{#N/A,#N/A,FALSE,"Cover";#N/A,#N/A,FALSE,"Contents"}</definedName>
    <definedName name="wrn.CoverContents." hidden="1">{#N/A,#N/A,FALSE,"Cover";#N/A,#N/A,FALSE,"Contents"}</definedName>
    <definedName name="wrn.Distributed._.Decon._.Notebook." localSheetId="13"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1"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6"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5"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4"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13" hidden="1">{#N/A,#N/A,TRUE,"EPEsum";#N/A,#N/A,TRUE,"Approve1";#N/A,#N/A,TRUE,"Approve2";#N/A,#N/A,TRUE,"Approve3";#N/A,#N/A,TRUE,"EPE1";#N/A,#N/A,TRUE,"EPE2";#N/A,#N/A,TRUE,"CashCompare";#N/A,#N/A,TRUE,"XIRR";#N/A,#N/A,TRUE,"EPEloan";#N/A,#N/A,TRUE,"GraphEPE";#N/A,#N/A,TRUE,"OrgChart";#N/A,#N/A,TRUE,"SA08B"}</definedName>
    <definedName name="wrn.El._.Paso._.Offshore." localSheetId="12" hidden="1">{#N/A,#N/A,TRUE,"EPEsum";#N/A,#N/A,TRUE,"Approve1";#N/A,#N/A,TRUE,"Approve2";#N/A,#N/A,TRUE,"Approve3";#N/A,#N/A,TRUE,"EPE1";#N/A,#N/A,TRUE,"EPE2";#N/A,#N/A,TRUE,"CashCompare";#N/A,#N/A,TRUE,"XIRR";#N/A,#N/A,TRUE,"EPEloan";#N/A,#N/A,TRUE,"GraphEPE";#N/A,#N/A,TRUE,"OrgChart";#N/A,#N/A,TRUE,"SA08B"}</definedName>
    <definedName name="wrn.El._.Paso._.Offshore." localSheetId="11" hidden="1">{#N/A,#N/A,TRUE,"EPEsum";#N/A,#N/A,TRUE,"Approve1";#N/A,#N/A,TRUE,"Approve2";#N/A,#N/A,TRUE,"Approve3";#N/A,#N/A,TRUE,"EPE1";#N/A,#N/A,TRUE,"EPE2";#N/A,#N/A,TRUE,"CashCompare";#N/A,#N/A,TRUE,"XIRR";#N/A,#N/A,TRUE,"EPEloan";#N/A,#N/A,TRUE,"GraphEPE";#N/A,#N/A,TRUE,"OrgChart";#N/A,#N/A,TRUE,"SA08B"}</definedName>
    <definedName name="wrn.El._.Paso._.Offshore." localSheetId="16" hidden="1">{#N/A,#N/A,TRUE,"EPEsum";#N/A,#N/A,TRUE,"Approve1";#N/A,#N/A,TRUE,"Approve2";#N/A,#N/A,TRUE,"Approve3";#N/A,#N/A,TRUE,"EPE1";#N/A,#N/A,TRUE,"EPE2";#N/A,#N/A,TRUE,"CashCompare";#N/A,#N/A,TRUE,"XIRR";#N/A,#N/A,TRUE,"EPEloan";#N/A,#N/A,TRUE,"GraphEPE";#N/A,#N/A,TRUE,"OrgChart";#N/A,#N/A,TRUE,"SA08B"}</definedName>
    <definedName name="wrn.El._.Paso._.Offshore." localSheetId="17" hidden="1">{#N/A,#N/A,TRUE,"EPEsum";#N/A,#N/A,TRUE,"Approve1";#N/A,#N/A,TRUE,"Approve2";#N/A,#N/A,TRUE,"Approve3";#N/A,#N/A,TRUE,"EPE1";#N/A,#N/A,TRUE,"EPE2";#N/A,#N/A,TRUE,"CashCompare";#N/A,#N/A,TRUE,"XIRR";#N/A,#N/A,TRUE,"EPEloan";#N/A,#N/A,TRUE,"GraphEPE";#N/A,#N/A,TRUE,"OrgChart";#N/A,#N/A,TRUE,"SA08B"}</definedName>
    <definedName name="wrn.El._.Paso._.Offshore." localSheetId="15" hidden="1">{#N/A,#N/A,TRUE,"EPEsum";#N/A,#N/A,TRUE,"Approve1";#N/A,#N/A,TRUE,"Approve2";#N/A,#N/A,TRUE,"Approve3";#N/A,#N/A,TRUE,"EPE1";#N/A,#N/A,TRUE,"EPE2";#N/A,#N/A,TRUE,"CashCompare";#N/A,#N/A,TRUE,"XIRR";#N/A,#N/A,TRUE,"EPEloan";#N/A,#N/A,TRUE,"GraphEPE";#N/A,#N/A,TRUE,"OrgChart";#N/A,#N/A,TRUE,"SA08B"}</definedName>
    <definedName name="wrn.El._.Paso._.Offshore." localSheetId="14"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13"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1"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6"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5"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4"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13" hidden="1">{#N/A,#N/A,FALSE,"Cover";#N/A,#N/A,FALSE,"ProjectSelector";#N/A,#N/A,FALSE,"ProjectTable";#N/A,#N/A,FALSE,"SanGorgonio";#N/A,#N/A,FALSE,"Tehachapi";#N/A,#N/A,FALSE,"Results";#N/A,#N/A,FALSE,"ReplaceForecast"}</definedName>
    <definedName name="wrn.PrintOther." localSheetId="12" hidden="1">{#N/A,#N/A,FALSE,"Cover";#N/A,#N/A,FALSE,"ProjectSelector";#N/A,#N/A,FALSE,"ProjectTable";#N/A,#N/A,FALSE,"SanGorgonio";#N/A,#N/A,FALSE,"Tehachapi";#N/A,#N/A,FALSE,"Results";#N/A,#N/A,FALSE,"ReplaceForecast"}</definedName>
    <definedName name="wrn.PrintOther." localSheetId="11" hidden="1">{#N/A,#N/A,FALSE,"Cover";#N/A,#N/A,FALSE,"ProjectSelector";#N/A,#N/A,FALSE,"ProjectTable";#N/A,#N/A,FALSE,"SanGorgonio";#N/A,#N/A,FALSE,"Tehachapi";#N/A,#N/A,FALSE,"Results";#N/A,#N/A,FALSE,"ReplaceForecast"}</definedName>
    <definedName name="wrn.PrintOther." localSheetId="16" hidden="1">{#N/A,#N/A,FALSE,"Cover";#N/A,#N/A,FALSE,"ProjectSelector";#N/A,#N/A,FALSE,"ProjectTable";#N/A,#N/A,FALSE,"SanGorgonio";#N/A,#N/A,FALSE,"Tehachapi";#N/A,#N/A,FALSE,"Results";#N/A,#N/A,FALSE,"ReplaceForecast"}</definedName>
    <definedName name="wrn.PrintOther." localSheetId="17" hidden="1">{#N/A,#N/A,FALSE,"Cover";#N/A,#N/A,FALSE,"ProjectSelector";#N/A,#N/A,FALSE,"ProjectTable";#N/A,#N/A,FALSE,"SanGorgonio";#N/A,#N/A,FALSE,"Tehachapi";#N/A,#N/A,FALSE,"Results";#N/A,#N/A,FALSE,"ReplaceForecast"}</definedName>
    <definedName name="wrn.PrintOther." localSheetId="15" hidden="1">{#N/A,#N/A,FALSE,"Cover";#N/A,#N/A,FALSE,"ProjectSelector";#N/A,#N/A,FALSE,"ProjectTable";#N/A,#N/A,FALSE,"SanGorgonio";#N/A,#N/A,FALSE,"Tehachapi";#N/A,#N/A,FALSE,"Results";#N/A,#N/A,FALSE,"ReplaceForecast"}</definedName>
    <definedName name="wrn.PrintOther." localSheetId="14"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13"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1"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6"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5"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4"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13" hidden="1">{#N/A,#N/A,TRUE,"Section1";"SavingsTop",#N/A,TRUE,"SumSavings";#N/A,#N/A,TRUE,"GraphSum";"SavingsAll",#N/A,TRUE,"SumSavings";#N/A,#N/A,TRUE,"Inputs";#N/A,#N/A,TRUE,"Scenarios";#N/A,#N/A,TRUE,"LineLoss";#N/A,#N/A,TRUE,"Summary";#N/A,#N/A,TRUE,"TermSummary";#N/A,#N/A,TRUE,"NetRates";#N/A,#N/A,TRUE,"PPAtypes"}</definedName>
    <definedName name="wrn.Section1." localSheetId="12" hidden="1">{#N/A,#N/A,TRUE,"Section1";"SavingsTop",#N/A,TRUE,"SumSavings";#N/A,#N/A,TRUE,"GraphSum";"SavingsAll",#N/A,TRUE,"SumSavings";#N/A,#N/A,TRUE,"Inputs";#N/A,#N/A,TRUE,"Scenarios";#N/A,#N/A,TRUE,"LineLoss";#N/A,#N/A,TRUE,"Summary";#N/A,#N/A,TRUE,"TermSummary";#N/A,#N/A,TRUE,"NetRates";#N/A,#N/A,TRUE,"PPAtypes"}</definedName>
    <definedName name="wrn.Section1." localSheetId="11" hidden="1">{#N/A,#N/A,TRUE,"Section1";"SavingsTop",#N/A,TRUE,"SumSavings";#N/A,#N/A,TRUE,"GraphSum";"SavingsAll",#N/A,TRUE,"SumSavings";#N/A,#N/A,TRUE,"Inputs";#N/A,#N/A,TRUE,"Scenarios";#N/A,#N/A,TRUE,"LineLoss";#N/A,#N/A,TRUE,"Summary";#N/A,#N/A,TRUE,"TermSummary";#N/A,#N/A,TRUE,"NetRates";#N/A,#N/A,TRUE,"PPAtypes"}</definedName>
    <definedName name="wrn.Section1." localSheetId="16" hidden="1">{#N/A,#N/A,TRUE,"Section1";"SavingsTop",#N/A,TRUE,"SumSavings";#N/A,#N/A,TRUE,"GraphSum";"SavingsAll",#N/A,TRUE,"SumSavings";#N/A,#N/A,TRUE,"Inputs";#N/A,#N/A,TRUE,"Scenarios";#N/A,#N/A,TRUE,"LineLoss";#N/A,#N/A,TRUE,"Summary";#N/A,#N/A,TRUE,"TermSummary";#N/A,#N/A,TRUE,"NetRates";#N/A,#N/A,TRUE,"PPAtypes"}</definedName>
    <definedName name="wrn.Section1." localSheetId="17" hidden="1">{#N/A,#N/A,TRUE,"Section1";"SavingsTop",#N/A,TRUE,"SumSavings";#N/A,#N/A,TRUE,"GraphSum";"SavingsAll",#N/A,TRUE,"SumSavings";#N/A,#N/A,TRUE,"Inputs";#N/A,#N/A,TRUE,"Scenarios";#N/A,#N/A,TRUE,"LineLoss";#N/A,#N/A,TRUE,"Summary";#N/A,#N/A,TRUE,"TermSummary";#N/A,#N/A,TRUE,"NetRates";#N/A,#N/A,TRUE,"PPAtypes"}</definedName>
    <definedName name="wrn.Section1." localSheetId="15" hidden="1">{#N/A,#N/A,TRUE,"Section1";"SavingsTop",#N/A,TRUE,"SumSavings";#N/A,#N/A,TRUE,"GraphSum";"SavingsAll",#N/A,TRUE,"SumSavings";#N/A,#N/A,TRUE,"Inputs";#N/A,#N/A,TRUE,"Scenarios";#N/A,#N/A,TRUE,"LineLoss";#N/A,#N/A,TRUE,"Summary";#N/A,#N/A,TRUE,"TermSummary";#N/A,#N/A,TRUE,"NetRates";#N/A,#N/A,TRUE,"PPAtypes"}</definedName>
    <definedName name="wrn.Section1." localSheetId="14"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13" hidden="1">{#N/A,#N/A,TRUE,"Section1";#N/A,#N/A,TRUE,"SumF";#N/A,#N/A,TRUE,"FigExchange";#N/A,#N/A,TRUE,"Escalation";#N/A,#N/A,TRUE,"GraphEscalate";#N/A,#N/A,TRUE,"Scenarios"}</definedName>
    <definedName name="wrn.Section1Summaries." localSheetId="12" hidden="1">{#N/A,#N/A,TRUE,"Section1";#N/A,#N/A,TRUE,"SumF";#N/A,#N/A,TRUE,"FigExchange";#N/A,#N/A,TRUE,"Escalation";#N/A,#N/A,TRUE,"GraphEscalate";#N/A,#N/A,TRUE,"Scenarios"}</definedName>
    <definedName name="wrn.Section1Summaries." localSheetId="11" hidden="1">{#N/A,#N/A,TRUE,"Section1";#N/A,#N/A,TRUE,"SumF";#N/A,#N/A,TRUE,"FigExchange";#N/A,#N/A,TRUE,"Escalation";#N/A,#N/A,TRUE,"GraphEscalate";#N/A,#N/A,TRUE,"Scenarios"}</definedName>
    <definedName name="wrn.Section1Summaries." localSheetId="16" hidden="1">{#N/A,#N/A,TRUE,"Section1";#N/A,#N/A,TRUE,"SumF";#N/A,#N/A,TRUE,"FigExchange";#N/A,#N/A,TRUE,"Escalation";#N/A,#N/A,TRUE,"GraphEscalate";#N/A,#N/A,TRUE,"Scenarios"}</definedName>
    <definedName name="wrn.Section1Summaries." localSheetId="17" hidden="1">{#N/A,#N/A,TRUE,"Section1";#N/A,#N/A,TRUE,"SumF";#N/A,#N/A,TRUE,"FigExchange";#N/A,#N/A,TRUE,"Escalation";#N/A,#N/A,TRUE,"GraphEscalate";#N/A,#N/A,TRUE,"Scenarios"}</definedName>
    <definedName name="wrn.Section1Summaries." localSheetId="15" hidden="1">{#N/A,#N/A,TRUE,"Section1";#N/A,#N/A,TRUE,"SumF";#N/A,#N/A,TRUE,"FigExchange";#N/A,#N/A,TRUE,"Escalation";#N/A,#N/A,TRUE,"GraphEscalate";#N/A,#N/A,TRUE,"Scenarios"}</definedName>
    <definedName name="wrn.Section1Summaries." localSheetId="14"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13" hidden="1">{#N/A,#N/A,TRUE,"Section2";#N/A,#N/A,TRUE,"OverPymt";#N/A,#N/A,TRUE,"Energy";#N/A,#N/A,TRUE,"EnergyDiff1";#N/A,#N/A,TRUE,"EnergyDiff2";#N/A,#N/A,TRUE,"CapPerformance";#N/A,#N/A,TRUE,"BonusPerformance";#N/A,#N/A,TRUE,"BonusFormula";#N/A,#N/A,TRUE,"GraphPymt"}</definedName>
    <definedName name="wrn.Section2." localSheetId="12" hidden="1">{#N/A,#N/A,TRUE,"Section2";#N/A,#N/A,TRUE,"OverPymt";#N/A,#N/A,TRUE,"Energy";#N/A,#N/A,TRUE,"EnergyDiff1";#N/A,#N/A,TRUE,"EnergyDiff2";#N/A,#N/A,TRUE,"CapPerformance";#N/A,#N/A,TRUE,"BonusPerformance";#N/A,#N/A,TRUE,"BonusFormula";#N/A,#N/A,TRUE,"GraphPymt"}</definedName>
    <definedName name="wrn.Section2." localSheetId="11" hidden="1">{#N/A,#N/A,TRUE,"Section2";#N/A,#N/A,TRUE,"OverPymt";#N/A,#N/A,TRUE,"Energy";#N/A,#N/A,TRUE,"EnergyDiff1";#N/A,#N/A,TRUE,"EnergyDiff2";#N/A,#N/A,TRUE,"CapPerformance";#N/A,#N/A,TRUE,"BonusPerformance";#N/A,#N/A,TRUE,"BonusFormula";#N/A,#N/A,TRUE,"GraphPymt"}</definedName>
    <definedName name="wrn.Section2." localSheetId="16" hidden="1">{#N/A,#N/A,TRUE,"Section2";#N/A,#N/A,TRUE,"OverPymt";#N/A,#N/A,TRUE,"Energy";#N/A,#N/A,TRUE,"EnergyDiff1";#N/A,#N/A,TRUE,"EnergyDiff2";#N/A,#N/A,TRUE,"CapPerformance";#N/A,#N/A,TRUE,"BonusPerformance";#N/A,#N/A,TRUE,"BonusFormula";#N/A,#N/A,TRUE,"GraphPymt"}</definedName>
    <definedName name="wrn.Section2." localSheetId="17" hidden="1">{#N/A,#N/A,TRUE,"Section2";#N/A,#N/A,TRUE,"OverPymt";#N/A,#N/A,TRUE,"Energy";#N/A,#N/A,TRUE,"EnergyDiff1";#N/A,#N/A,TRUE,"EnergyDiff2";#N/A,#N/A,TRUE,"CapPerformance";#N/A,#N/A,TRUE,"BonusPerformance";#N/A,#N/A,TRUE,"BonusFormula";#N/A,#N/A,TRUE,"GraphPymt"}</definedName>
    <definedName name="wrn.Section2." localSheetId="15" hidden="1">{#N/A,#N/A,TRUE,"Section2";#N/A,#N/A,TRUE,"OverPymt";#N/A,#N/A,TRUE,"Energy";#N/A,#N/A,TRUE,"EnergyDiff1";#N/A,#N/A,TRUE,"EnergyDiff2";#N/A,#N/A,TRUE,"CapPerformance";#N/A,#N/A,TRUE,"BonusPerformance";#N/A,#N/A,TRUE,"BonusFormula";#N/A,#N/A,TRUE,"GraphPymt"}</definedName>
    <definedName name="wrn.Section2." localSheetId="14"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13" hidden="1">{#N/A,#N/A,TRUE,"Section2";#N/A,#N/A,TRUE,"TPCestimate";#N/A,#N/A,TRUE,"SumTPC";#N/A,#N/A,TRUE,"ConstrLoan";#N/A,#N/A,TRUE,"FigBalance";#N/A,#N/A,TRUE,"DEV27air";#N/A,#N/A,TRUE,"Graph27air";#N/A,#N/A,TRUE,"PreOp"}</definedName>
    <definedName name="wrn.Section2TotalProjectCost." localSheetId="12" hidden="1">{#N/A,#N/A,TRUE,"Section2";#N/A,#N/A,TRUE,"TPCestimate";#N/A,#N/A,TRUE,"SumTPC";#N/A,#N/A,TRUE,"ConstrLoan";#N/A,#N/A,TRUE,"FigBalance";#N/A,#N/A,TRUE,"DEV27air";#N/A,#N/A,TRUE,"Graph27air";#N/A,#N/A,TRUE,"PreOp"}</definedName>
    <definedName name="wrn.Section2TotalProjectCost." localSheetId="11" hidden="1">{#N/A,#N/A,TRUE,"Section2";#N/A,#N/A,TRUE,"TPCestimate";#N/A,#N/A,TRUE,"SumTPC";#N/A,#N/A,TRUE,"ConstrLoan";#N/A,#N/A,TRUE,"FigBalance";#N/A,#N/A,TRUE,"DEV27air";#N/A,#N/A,TRUE,"Graph27air";#N/A,#N/A,TRUE,"PreOp"}</definedName>
    <definedName name="wrn.Section2TotalProjectCost." localSheetId="16" hidden="1">{#N/A,#N/A,TRUE,"Section2";#N/A,#N/A,TRUE,"TPCestimate";#N/A,#N/A,TRUE,"SumTPC";#N/A,#N/A,TRUE,"ConstrLoan";#N/A,#N/A,TRUE,"FigBalance";#N/A,#N/A,TRUE,"DEV27air";#N/A,#N/A,TRUE,"Graph27air";#N/A,#N/A,TRUE,"PreOp"}</definedName>
    <definedName name="wrn.Section2TotalProjectCost." localSheetId="17" hidden="1">{#N/A,#N/A,TRUE,"Section2";#N/A,#N/A,TRUE,"TPCestimate";#N/A,#N/A,TRUE,"SumTPC";#N/A,#N/A,TRUE,"ConstrLoan";#N/A,#N/A,TRUE,"FigBalance";#N/A,#N/A,TRUE,"DEV27air";#N/A,#N/A,TRUE,"Graph27air";#N/A,#N/A,TRUE,"PreOp"}</definedName>
    <definedName name="wrn.Section2TotalProjectCost." localSheetId="15" hidden="1">{#N/A,#N/A,TRUE,"Section2";#N/A,#N/A,TRUE,"TPCestimate";#N/A,#N/A,TRUE,"SumTPC";#N/A,#N/A,TRUE,"ConstrLoan";#N/A,#N/A,TRUE,"FigBalance";#N/A,#N/A,TRUE,"DEV27air";#N/A,#N/A,TRUE,"Graph27air";#N/A,#N/A,TRUE,"PreOp"}</definedName>
    <definedName name="wrn.Section2TotalProjectCost." localSheetId="14"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13" hidden="1">{#N/A,#N/A,TRUE,"Section3";#N/A,#N/A,TRUE,"BaseYear";#N/A,#N/A,TRUE,"GenHistory";#N/A,#N/A,TRUE,"GenGraph";#N/A,#N/A,TRUE,"MonthCompare";#N/A,#N/A,TRUE,"HourHistory";#N/A,#N/A,TRUE,"PayHistory";#N/A,#N/A,TRUE,"PayGraphs";#N/A,#N/A,TRUE,"ReplaceForecast";#N/A,#N/A,TRUE,"PPAforecast";#N/A,#N/A,TRUE,"OLSier"}</definedName>
    <definedName name="wrn.Section3." localSheetId="12" hidden="1">{#N/A,#N/A,TRUE,"Section3";#N/A,#N/A,TRUE,"BaseYear";#N/A,#N/A,TRUE,"GenHistory";#N/A,#N/A,TRUE,"GenGraph";#N/A,#N/A,TRUE,"MonthCompare";#N/A,#N/A,TRUE,"HourHistory";#N/A,#N/A,TRUE,"PayHistory";#N/A,#N/A,TRUE,"PayGraphs";#N/A,#N/A,TRUE,"ReplaceForecast";#N/A,#N/A,TRUE,"PPAforecast";#N/A,#N/A,TRUE,"OLSier"}</definedName>
    <definedName name="wrn.Section3." localSheetId="11" hidden="1">{#N/A,#N/A,TRUE,"Section3";#N/A,#N/A,TRUE,"BaseYear";#N/A,#N/A,TRUE,"GenHistory";#N/A,#N/A,TRUE,"GenGraph";#N/A,#N/A,TRUE,"MonthCompare";#N/A,#N/A,TRUE,"HourHistory";#N/A,#N/A,TRUE,"PayHistory";#N/A,#N/A,TRUE,"PayGraphs";#N/A,#N/A,TRUE,"ReplaceForecast";#N/A,#N/A,TRUE,"PPAforecast";#N/A,#N/A,TRUE,"OLSier"}</definedName>
    <definedName name="wrn.Section3." localSheetId="16" hidden="1">{#N/A,#N/A,TRUE,"Section3";#N/A,#N/A,TRUE,"BaseYear";#N/A,#N/A,TRUE,"GenHistory";#N/A,#N/A,TRUE,"GenGraph";#N/A,#N/A,TRUE,"MonthCompare";#N/A,#N/A,TRUE,"HourHistory";#N/A,#N/A,TRUE,"PayHistory";#N/A,#N/A,TRUE,"PayGraphs";#N/A,#N/A,TRUE,"ReplaceForecast";#N/A,#N/A,TRUE,"PPAforecast";#N/A,#N/A,TRUE,"OLSier"}</definedName>
    <definedName name="wrn.Section3." localSheetId="17" hidden="1">{#N/A,#N/A,TRUE,"Section3";#N/A,#N/A,TRUE,"BaseYear";#N/A,#N/A,TRUE,"GenHistory";#N/A,#N/A,TRUE,"GenGraph";#N/A,#N/A,TRUE,"MonthCompare";#N/A,#N/A,TRUE,"HourHistory";#N/A,#N/A,TRUE,"PayHistory";#N/A,#N/A,TRUE,"PayGraphs";#N/A,#N/A,TRUE,"ReplaceForecast";#N/A,#N/A,TRUE,"PPAforecast";#N/A,#N/A,TRUE,"OLSier"}</definedName>
    <definedName name="wrn.Section3." localSheetId="15" hidden="1">{#N/A,#N/A,TRUE,"Section3";#N/A,#N/A,TRUE,"BaseYear";#N/A,#N/A,TRUE,"GenHistory";#N/A,#N/A,TRUE,"GenGraph";#N/A,#N/A,TRUE,"MonthCompare";#N/A,#N/A,TRUE,"HourHistory";#N/A,#N/A,TRUE,"PayHistory";#N/A,#N/A,TRUE,"PayGraphs";#N/A,#N/A,TRUE,"ReplaceForecast";#N/A,#N/A,TRUE,"PPAforecast";#N/A,#N/A,TRUE,"OLSier"}</definedName>
    <definedName name="wrn.Section3." localSheetId="14"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13" hidden="1">{#N/A,#N/A,TRUE,"Section3";#N/A,#N/A,TRUE,"Tax";#N/A,#N/A,TRUE,"Dividend";#N/A,#N/A,TRUE,"Depreciation";#N/A,#N/A,TRUE,"Balance";#N/A,#N/A,TRUE,"SaleGain";#N/A,#N/A,TRUE,"RevExp";#N/A,#N/A,TRUE,"PIG";#N/A,#N/A,TRUE,"GraphPlant"}</definedName>
    <definedName name="wrn.Section3PowerPlantCompany." localSheetId="12" hidden="1">{#N/A,#N/A,TRUE,"Section3";#N/A,#N/A,TRUE,"Tax";#N/A,#N/A,TRUE,"Dividend";#N/A,#N/A,TRUE,"Depreciation";#N/A,#N/A,TRUE,"Balance";#N/A,#N/A,TRUE,"SaleGain";#N/A,#N/A,TRUE,"RevExp";#N/A,#N/A,TRUE,"PIG";#N/A,#N/A,TRUE,"GraphPlant"}</definedName>
    <definedName name="wrn.Section3PowerPlantCompany." localSheetId="11" hidden="1">{#N/A,#N/A,TRUE,"Section3";#N/A,#N/A,TRUE,"Tax";#N/A,#N/A,TRUE,"Dividend";#N/A,#N/A,TRUE,"Depreciation";#N/A,#N/A,TRUE,"Balance";#N/A,#N/A,TRUE,"SaleGain";#N/A,#N/A,TRUE,"RevExp";#N/A,#N/A,TRUE,"PIG";#N/A,#N/A,TRUE,"GraphPlant"}</definedName>
    <definedName name="wrn.Section3PowerPlantCompany." localSheetId="16" hidden="1">{#N/A,#N/A,TRUE,"Section3";#N/A,#N/A,TRUE,"Tax";#N/A,#N/A,TRUE,"Dividend";#N/A,#N/A,TRUE,"Depreciation";#N/A,#N/A,TRUE,"Balance";#N/A,#N/A,TRUE,"SaleGain";#N/A,#N/A,TRUE,"RevExp";#N/A,#N/A,TRUE,"PIG";#N/A,#N/A,TRUE,"GraphPlant"}</definedName>
    <definedName name="wrn.Section3PowerPlantCompany." localSheetId="17" hidden="1">{#N/A,#N/A,TRUE,"Section3";#N/A,#N/A,TRUE,"Tax";#N/A,#N/A,TRUE,"Dividend";#N/A,#N/A,TRUE,"Depreciation";#N/A,#N/A,TRUE,"Balance";#N/A,#N/A,TRUE,"SaleGain";#N/A,#N/A,TRUE,"RevExp";#N/A,#N/A,TRUE,"PIG";#N/A,#N/A,TRUE,"GraphPlant"}</definedName>
    <definedName name="wrn.Section3PowerPlantCompany." localSheetId="15" hidden="1">{#N/A,#N/A,TRUE,"Section3";#N/A,#N/A,TRUE,"Tax";#N/A,#N/A,TRUE,"Dividend";#N/A,#N/A,TRUE,"Depreciation";#N/A,#N/A,TRUE,"Balance";#N/A,#N/A,TRUE,"SaleGain";#N/A,#N/A,TRUE,"RevExp";#N/A,#N/A,TRUE,"PIG";#N/A,#N/A,TRUE,"GraphPlant"}</definedName>
    <definedName name="wrn.Section3PowerPlantCompany." localSheetId="14"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13" hidden="1">{#N/A,#N/A,TRUE,"Section4";#N/A,#N/A,TRUE,"Tariffwksht";#N/A,#N/A,TRUE,"TariffINFO";#N/A,#N/A,TRUE,"Generation";#N/A,#N/A,TRUE,"PPAsum";#N/A,#N/A,TRUE,"PPApayments";#N/A,#N/A,TRUE,"RevExp";#N/A,#N/A,TRUE,"GraphRevenue";#N/A,#N/A,TRUE,"GraphRevExp"}</definedName>
    <definedName name="wrn.Section4." localSheetId="12" hidden="1">{#N/A,#N/A,TRUE,"Section4";#N/A,#N/A,TRUE,"Tariffwksht";#N/A,#N/A,TRUE,"TariffINFO";#N/A,#N/A,TRUE,"Generation";#N/A,#N/A,TRUE,"PPAsum";#N/A,#N/A,TRUE,"PPApayments";#N/A,#N/A,TRUE,"RevExp";#N/A,#N/A,TRUE,"GraphRevenue";#N/A,#N/A,TRUE,"GraphRevExp"}</definedName>
    <definedName name="wrn.Section4." localSheetId="11" hidden="1">{#N/A,#N/A,TRUE,"Section4";#N/A,#N/A,TRUE,"Tariffwksht";#N/A,#N/A,TRUE,"TariffINFO";#N/A,#N/A,TRUE,"Generation";#N/A,#N/A,TRUE,"PPAsum";#N/A,#N/A,TRUE,"PPApayments";#N/A,#N/A,TRUE,"RevExp";#N/A,#N/A,TRUE,"GraphRevenue";#N/A,#N/A,TRUE,"GraphRevExp"}</definedName>
    <definedName name="wrn.Section4." localSheetId="16" hidden="1">{#N/A,#N/A,TRUE,"Section4";#N/A,#N/A,TRUE,"Tariffwksht";#N/A,#N/A,TRUE,"TariffINFO";#N/A,#N/A,TRUE,"Generation";#N/A,#N/A,TRUE,"PPAsum";#N/A,#N/A,TRUE,"PPApayments";#N/A,#N/A,TRUE,"RevExp";#N/A,#N/A,TRUE,"GraphRevenue";#N/A,#N/A,TRUE,"GraphRevExp"}</definedName>
    <definedName name="wrn.Section4." localSheetId="17" hidden="1">{#N/A,#N/A,TRUE,"Section4";#N/A,#N/A,TRUE,"Tariffwksht";#N/A,#N/A,TRUE,"TariffINFO";#N/A,#N/A,TRUE,"Generation";#N/A,#N/A,TRUE,"PPAsum";#N/A,#N/A,TRUE,"PPApayments";#N/A,#N/A,TRUE,"RevExp";#N/A,#N/A,TRUE,"GraphRevenue";#N/A,#N/A,TRUE,"GraphRevExp"}</definedName>
    <definedName name="wrn.Section4." localSheetId="15" hidden="1">{#N/A,#N/A,TRUE,"Section4";#N/A,#N/A,TRUE,"Tariffwksht";#N/A,#N/A,TRUE,"TariffINFO";#N/A,#N/A,TRUE,"Generation";#N/A,#N/A,TRUE,"PPAsum";#N/A,#N/A,TRUE,"PPApayments";#N/A,#N/A,TRUE,"RevExp";#N/A,#N/A,TRUE,"GraphRevenue";#N/A,#N/A,TRUE,"GraphRevExp"}</definedName>
    <definedName name="wrn.Section4." localSheetId="14"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13" hidden="1">{#N/A,#N/A,TRUE,"Section4";#N/A,#N/A,TRUE,"PPAtable";#N/A,#N/A,TRUE,"RFPtable";#N/A,#N/A,TRUE,"RevCap";#N/A,#N/A,TRUE,"RevOther";#N/A,#N/A,TRUE,"RevGas";#N/A,#N/A,TRUE,"GraphRev"}</definedName>
    <definedName name="wrn.Section4Revenue." localSheetId="12" hidden="1">{#N/A,#N/A,TRUE,"Section4";#N/A,#N/A,TRUE,"PPAtable";#N/A,#N/A,TRUE,"RFPtable";#N/A,#N/A,TRUE,"RevCap";#N/A,#N/A,TRUE,"RevOther";#N/A,#N/A,TRUE,"RevGas";#N/A,#N/A,TRUE,"GraphRev"}</definedName>
    <definedName name="wrn.Section4Revenue." localSheetId="11" hidden="1">{#N/A,#N/A,TRUE,"Section4";#N/A,#N/A,TRUE,"PPAtable";#N/A,#N/A,TRUE,"RFPtable";#N/A,#N/A,TRUE,"RevCap";#N/A,#N/A,TRUE,"RevOther";#N/A,#N/A,TRUE,"RevGas";#N/A,#N/A,TRUE,"GraphRev"}</definedName>
    <definedName name="wrn.Section4Revenue." localSheetId="16" hidden="1">{#N/A,#N/A,TRUE,"Section4";#N/A,#N/A,TRUE,"PPAtable";#N/A,#N/A,TRUE,"RFPtable";#N/A,#N/A,TRUE,"RevCap";#N/A,#N/A,TRUE,"RevOther";#N/A,#N/A,TRUE,"RevGas";#N/A,#N/A,TRUE,"GraphRev"}</definedName>
    <definedName name="wrn.Section4Revenue." localSheetId="17" hidden="1">{#N/A,#N/A,TRUE,"Section4";#N/A,#N/A,TRUE,"PPAtable";#N/A,#N/A,TRUE,"RFPtable";#N/A,#N/A,TRUE,"RevCap";#N/A,#N/A,TRUE,"RevOther";#N/A,#N/A,TRUE,"RevGas";#N/A,#N/A,TRUE,"GraphRev"}</definedName>
    <definedName name="wrn.Section4Revenue." localSheetId="15" hidden="1">{#N/A,#N/A,TRUE,"Section4";#N/A,#N/A,TRUE,"PPAtable";#N/A,#N/A,TRUE,"RFPtable";#N/A,#N/A,TRUE,"RevCap";#N/A,#N/A,TRUE,"RevOther";#N/A,#N/A,TRUE,"RevGas";#N/A,#N/A,TRUE,"GraphRev"}</definedName>
    <definedName name="wrn.Section4Revenue." localSheetId="14"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13" hidden="1">{#N/A,#N/A,TRUE,"Section5";#N/A,#N/A,TRUE,"Coal";#N/A,#N/A,TRUE,"Fuel";#N/A,#N/A,TRUE,"OMwksht";#N/A,#N/A,TRUE,"VOM";#N/A,#N/A,TRUE,"FOM";#N/A,#N/A,TRUE,"Debt";#N/A,#N/A,TRUE,"LoanSchedules";#N/A,#N/A,TRUE,"GraphExp";#N/A,#N/A,TRUE,"Conversions"}</definedName>
    <definedName name="wrn.Section5." localSheetId="12" hidden="1">{#N/A,#N/A,TRUE,"Section5";#N/A,#N/A,TRUE,"Coal";#N/A,#N/A,TRUE,"Fuel";#N/A,#N/A,TRUE,"OMwksht";#N/A,#N/A,TRUE,"VOM";#N/A,#N/A,TRUE,"FOM";#N/A,#N/A,TRUE,"Debt";#N/A,#N/A,TRUE,"LoanSchedules";#N/A,#N/A,TRUE,"GraphExp";#N/A,#N/A,TRUE,"Conversions"}</definedName>
    <definedName name="wrn.Section5." localSheetId="11" hidden="1">{#N/A,#N/A,TRUE,"Section5";#N/A,#N/A,TRUE,"Coal";#N/A,#N/A,TRUE,"Fuel";#N/A,#N/A,TRUE,"OMwksht";#N/A,#N/A,TRUE,"VOM";#N/A,#N/A,TRUE,"FOM";#N/A,#N/A,TRUE,"Debt";#N/A,#N/A,TRUE,"LoanSchedules";#N/A,#N/A,TRUE,"GraphExp";#N/A,#N/A,TRUE,"Conversions"}</definedName>
    <definedName name="wrn.Section5." localSheetId="16" hidden="1">{#N/A,#N/A,TRUE,"Section5";#N/A,#N/A,TRUE,"Coal";#N/A,#N/A,TRUE,"Fuel";#N/A,#N/A,TRUE,"OMwksht";#N/A,#N/A,TRUE,"VOM";#N/A,#N/A,TRUE,"FOM";#N/A,#N/A,TRUE,"Debt";#N/A,#N/A,TRUE,"LoanSchedules";#N/A,#N/A,TRUE,"GraphExp";#N/A,#N/A,TRUE,"Conversions"}</definedName>
    <definedName name="wrn.Section5." localSheetId="17" hidden="1">{#N/A,#N/A,TRUE,"Section5";#N/A,#N/A,TRUE,"Coal";#N/A,#N/A,TRUE,"Fuel";#N/A,#N/A,TRUE,"OMwksht";#N/A,#N/A,TRUE,"VOM";#N/A,#N/A,TRUE,"FOM";#N/A,#N/A,TRUE,"Debt";#N/A,#N/A,TRUE,"LoanSchedules";#N/A,#N/A,TRUE,"GraphExp";#N/A,#N/A,TRUE,"Conversions"}</definedName>
    <definedName name="wrn.Section5." localSheetId="15" hidden="1">{#N/A,#N/A,TRUE,"Section5";#N/A,#N/A,TRUE,"Coal";#N/A,#N/A,TRUE,"Fuel";#N/A,#N/A,TRUE,"OMwksht";#N/A,#N/A,TRUE,"VOM";#N/A,#N/A,TRUE,"FOM";#N/A,#N/A,TRUE,"Debt";#N/A,#N/A,TRUE,"LoanSchedules";#N/A,#N/A,TRUE,"GraphExp";#N/A,#N/A,TRUE,"Conversions"}</definedName>
    <definedName name="wrn.Section5." localSheetId="14"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13" hidden="1">{#N/A,#N/A,TRUE,"Section5";#N/A,#N/A,TRUE,"Gas";#N/A,#N/A,TRUE,"Oil";#N/A,#N/A,TRUE,"SumOM";#N/A,#N/A,TRUE,"VOM";#N/A,#N/A,TRUE,"FOM";#N/A,#N/A,TRUE,"StartUps";#N/A,#N/A,TRUE,"Labor";#N/A,#N/A,TRUE,"PlantOrg";#N/A,#N/A,TRUE,"Conversions";#N/A,#N/A,TRUE,"GraphExp"}</definedName>
    <definedName name="wrn.Section5Expenses." localSheetId="12" hidden="1">{#N/A,#N/A,TRUE,"Section5";#N/A,#N/A,TRUE,"Gas";#N/A,#N/A,TRUE,"Oil";#N/A,#N/A,TRUE,"SumOM";#N/A,#N/A,TRUE,"VOM";#N/A,#N/A,TRUE,"FOM";#N/A,#N/A,TRUE,"StartUps";#N/A,#N/A,TRUE,"Labor";#N/A,#N/A,TRUE,"PlantOrg";#N/A,#N/A,TRUE,"Conversions";#N/A,#N/A,TRUE,"GraphExp"}</definedName>
    <definedName name="wrn.Section5Expenses." localSheetId="11" hidden="1">{#N/A,#N/A,TRUE,"Section5";#N/A,#N/A,TRUE,"Gas";#N/A,#N/A,TRUE,"Oil";#N/A,#N/A,TRUE,"SumOM";#N/A,#N/A,TRUE,"VOM";#N/A,#N/A,TRUE,"FOM";#N/A,#N/A,TRUE,"StartUps";#N/A,#N/A,TRUE,"Labor";#N/A,#N/A,TRUE,"PlantOrg";#N/A,#N/A,TRUE,"Conversions";#N/A,#N/A,TRUE,"GraphExp"}</definedName>
    <definedName name="wrn.Section5Expenses." localSheetId="16" hidden="1">{#N/A,#N/A,TRUE,"Section5";#N/A,#N/A,TRUE,"Gas";#N/A,#N/A,TRUE,"Oil";#N/A,#N/A,TRUE,"SumOM";#N/A,#N/A,TRUE,"VOM";#N/A,#N/A,TRUE,"FOM";#N/A,#N/A,TRUE,"StartUps";#N/A,#N/A,TRUE,"Labor";#N/A,#N/A,TRUE,"PlantOrg";#N/A,#N/A,TRUE,"Conversions";#N/A,#N/A,TRUE,"GraphExp"}</definedName>
    <definedName name="wrn.Section5Expenses." localSheetId="17" hidden="1">{#N/A,#N/A,TRUE,"Section5";#N/A,#N/A,TRUE,"Gas";#N/A,#N/A,TRUE,"Oil";#N/A,#N/A,TRUE,"SumOM";#N/A,#N/A,TRUE,"VOM";#N/A,#N/A,TRUE,"FOM";#N/A,#N/A,TRUE,"StartUps";#N/A,#N/A,TRUE,"Labor";#N/A,#N/A,TRUE,"PlantOrg";#N/A,#N/A,TRUE,"Conversions";#N/A,#N/A,TRUE,"GraphExp"}</definedName>
    <definedName name="wrn.Section5Expenses." localSheetId="15" hidden="1">{#N/A,#N/A,TRUE,"Section5";#N/A,#N/A,TRUE,"Gas";#N/A,#N/A,TRUE,"Oil";#N/A,#N/A,TRUE,"SumOM";#N/A,#N/A,TRUE,"VOM";#N/A,#N/A,TRUE,"FOM";#N/A,#N/A,TRUE,"StartUps";#N/A,#N/A,TRUE,"Labor";#N/A,#N/A,TRUE,"PlantOrg";#N/A,#N/A,TRUE,"Conversions";#N/A,#N/A,TRUE,"GraphExp"}</definedName>
    <definedName name="wrn.Section5Expenses." localSheetId="14"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13" hidden="1">{#N/A,#N/A,TRUE,"Section6";#N/A,#N/A,TRUE,"OHcycles";#N/A,#N/A,TRUE,"OHtiming";#N/A,#N/A,TRUE,"OHcosts";#N/A,#N/A,TRUE,"GTdegradation";#N/A,#N/A,TRUE,"GTperformance";#N/A,#N/A,TRUE,"GraphEquip"}</definedName>
    <definedName name="wrn.Section6Equipment." localSheetId="12" hidden="1">{#N/A,#N/A,TRUE,"Section6";#N/A,#N/A,TRUE,"OHcycles";#N/A,#N/A,TRUE,"OHtiming";#N/A,#N/A,TRUE,"OHcosts";#N/A,#N/A,TRUE,"GTdegradation";#N/A,#N/A,TRUE,"GTperformance";#N/A,#N/A,TRUE,"GraphEquip"}</definedName>
    <definedName name="wrn.Section6Equipment." localSheetId="11" hidden="1">{#N/A,#N/A,TRUE,"Section6";#N/A,#N/A,TRUE,"OHcycles";#N/A,#N/A,TRUE,"OHtiming";#N/A,#N/A,TRUE,"OHcosts";#N/A,#N/A,TRUE,"GTdegradation";#N/A,#N/A,TRUE,"GTperformance";#N/A,#N/A,TRUE,"GraphEquip"}</definedName>
    <definedName name="wrn.Section6Equipment." localSheetId="16" hidden="1">{#N/A,#N/A,TRUE,"Section6";#N/A,#N/A,TRUE,"OHcycles";#N/A,#N/A,TRUE,"OHtiming";#N/A,#N/A,TRUE,"OHcosts";#N/A,#N/A,TRUE,"GTdegradation";#N/A,#N/A,TRUE,"GTperformance";#N/A,#N/A,TRUE,"GraphEquip"}</definedName>
    <definedName name="wrn.Section6Equipment." localSheetId="17" hidden="1">{#N/A,#N/A,TRUE,"Section6";#N/A,#N/A,TRUE,"OHcycles";#N/A,#N/A,TRUE,"OHtiming";#N/A,#N/A,TRUE,"OHcosts";#N/A,#N/A,TRUE,"GTdegradation";#N/A,#N/A,TRUE,"GTperformance";#N/A,#N/A,TRUE,"GraphEquip"}</definedName>
    <definedName name="wrn.Section6Equipment." localSheetId="15" hidden="1">{#N/A,#N/A,TRUE,"Section6";#N/A,#N/A,TRUE,"OHcycles";#N/A,#N/A,TRUE,"OHtiming";#N/A,#N/A,TRUE,"OHcosts";#N/A,#N/A,TRUE,"GTdegradation";#N/A,#N/A,TRUE,"GTperformance";#N/A,#N/A,TRUE,"GraphEquip"}</definedName>
    <definedName name="wrn.Section6Equipment." localSheetId="14"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13" hidden="1">{#N/A,#N/A,TRUE,"Section7";#N/A,#N/A,TRUE,"DebtService";#N/A,#N/A,TRUE,"LoanSchedules";#N/A,#N/A,TRUE,"GraphDebt"}</definedName>
    <definedName name="wrn.Section7DebtService." localSheetId="12" hidden="1">{#N/A,#N/A,TRUE,"Section7";#N/A,#N/A,TRUE,"DebtService";#N/A,#N/A,TRUE,"LoanSchedules";#N/A,#N/A,TRUE,"GraphDebt"}</definedName>
    <definedName name="wrn.Section7DebtService." localSheetId="11" hidden="1">{#N/A,#N/A,TRUE,"Section7";#N/A,#N/A,TRUE,"DebtService";#N/A,#N/A,TRUE,"LoanSchedules";#N/A,#N/A,TRUE,"GraphDebt"}</definedName>
    <definedName name="wrn.Section7DebtService." localSheetId="16" hidden="1">{#N/A,#N/A,TRUE,"Section7";#N/A,#N/A,TRUE,"DebtService";#N/A,#N/A,TRUE,"LoanSchedules";#N/A,#N/A,TRUE,"GraphDebt"}</definedName>
    <definedName name="wrn.Section7DebtService." localSheetId="17" hidden="1">{#N/A,#N/A,TRUE,"Section7";#N/A,#N/A,TRUE,"DebtService";#N/A,#N/A,TRUE,"LoanSchedules";#N/A,#N/A,TRUE,"GraphDebt"}</definedName>
    <definedName name="wrn.Section7DebtService." localSheetId="15" hidden="1">{#N/A,#N/A,TRUE,"Section7";#N/A,#N/A,TRUE,"DebtService";#N/A,#N/A,TRUE,"LoanSchedules";#N/A,#N/A,TRUE,"GraphDebt"}</definedName>
    <definedName name="wrn.Section7DebtService." localSheetId="14" hidden="1">{#N/A,#N/A,TRUE,"Section7";#N/A,#N/A,TRUE,"DebtService";#N/A,#N/A,TRUE,"LoanSchedules";#N/A,#N/A,TRUE,"GraphDebt"}</definedName>
    <definedName name="wrn.Section7DebtService." hidden="1">{#N/A,#N/A,TRUE,"Section7";#N/A,#N/A,TRUE,"DebtService";#N/A,#N/A,TRUE,"LoanSchedules";#N/A,#N/A,TRUE,"GraphDebt"}</definedName>
    <definedName name="wrn.SponsorSection." localSheetId="13" hidden="1">{#N/A,#N/A,TRUE,"Cover";#N/A,#N/A,TRUE,"Contents";#N/A,#N/A,TRUE,"Organization";#N/A,#N/A,TRUE,"SumSponsor";#N/A,#N/A,TRUE,"Plant1";#N/A,#N/A,TRUE,"Plant2";#N/A,#N/A,TRUE,"Sponsors";#N/A,#N/A,TRUE,"ElPaso1";#N/A,#N/A,TRUE,"GraphSponsor"}</definedName>
    <definedName name="wrn.SponsorSection." localSheetId="12" hidden="1">{#N/A,#N/A,TRUE,"Cover";#N/A,#N/A,TRUE,"Contents";#N/A,#N/A,TRUE,"Organization";#N/A,#N/A,TRUE,"SumSponsor";#N/A,#N/A,TRUE,"Plant1";#N/A,#N/A,TRUE,"Plant2";#N/A,#N/A,TRUE,"Sponsors";#N/A,#N/A,TRUE,"ElPaso1";#N/A,#N/A,TRUE,"GraphSponsor"}</definedName>
    <definedName name="wrn.SponsorSection." localSheetId="11" hidden="1">{#N/A,#N/A,TRUE,"Cover";#N/A,#N/A,TRUE,"Contents";#N/A,#N/A,TRUE,"Organization";#N/A,#N/A,TRUE,"SumSponsor";#N/A,#N/A,TRUE,"Plant1";#N/A,#N/A,TRUE,"Plant2";#N/A,#N/A,TRUE,"Sponsors";#N/A,#N/A,TRUE,"ElPaso1";#N/A,#N/A,TRUE,"GraphSponsor"}</definedName>
    <definedName name="wrn.SponsorSection." localSheetId="16" hidden="1">{#N/A,#N/A,TRUE,"Cover";#N/A,#N/A,TRUE,"Contents";#N/A,#N/A,TRUE,"Organization";#N/A,#N/A,TRUE,"SumSponsor";#N/A,#N/A,TRUE,"Plant1";#N/A,#N/A,TRUE,"Plant2";#N/A,#N/A,TRUE,"Sponsors";#N/A,#N/A,TRUE,"ElPaso1";#N/A,#N/A,TRUE,"GraphSponsor"}</definedName>
    <definedName name="wrn.SponsorSection." localSheetId="17" hidden="1">{#N/A,#N/A,TRUE,"Cover";#N/A,#N/A,TRUE,"Contents";#N/A,#N/A,TRUE,"Organization";#N/A,#N/A,TRUE,"SumSponsor";#N/A,#N/A,TRUE,"Plant1";#N/A,#N/A,TRUE,"Plant2";#N/A,#N/A,TRUE,"Sponsors";#N/A,#N/A,TRUE,"ElPaso1";#N/A,#N/A,TRUE,"GraphSponsor"}</definedName>
    <definedName name="wrn.SponsorSection." localSheetId="15" hidden="1">{#N/A,#N/A,TRUE,"Cover";#N/A,#N/A,TRUE,"Contents";#N/A,#N/A,TRUE,"Organization";#N/A,#N/A,TRUE,"SumSponsor";#N/A,#N/A,TRUE,"Plant1";#N/A,#N/A,TRUE,"Plant2";#N/A,#N/A,TRUE,"Sponsors";#N/A,#N/A,TRUE,"ElPaso1";#N/A,#N/A,TRUE,"GraphSponsor"}</definedName>
    <definedName name="wrn.SponsorSection." localSheetId="14"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13" hidden="1">{"Table A",#N/A,FALSE,"Summary";"Table D",#N/A,FALSE,"Summary";"Table E",#N/A,FALSE,"Summary"}</definedName>
    <definedName name="wrn.Summary." localSheetId="12" hidden="1">{"Table A",#N/A,FALSE,"Summary";"Table D",#N/A,FALSE,"Summary";"Table E",#N/A,FALSE,"Summary"}</definedName>
    <definedName name="wrn.Summary." localSheetId="11" hidden="1">{"Table A",#N/A,FALSE,"Summary";"Table D",#N/A,FALSE,"Summary";"Table E",#N/A,FALSE,"Summary"}</definedName>
    <definedName name="wrn.Summary." localSheetId="16" hidden="1">{"Table A",#N/A,FALSE,"Summary";"Table D",#N/A,FALSE,"Summary";"Table E",#N/A,FALSE,"Summary"}</definedName>
    <definedName name="wrn.Summary." localSheetId="17" hidden="1">{"Table A",#N/A,FALSE,"Summary";"Table D",#N/A,FALSE,"Summary";"Table E",#N/A,FALSE,"Summary"}</definedName>
    <definedName name="wrn.Summary." localSheetId="15" hidden="1">{"Table A",#N/A,FALSE,"Summary";"Table D",#N/A,FALSE,"Summary";"Table E",#N/A,FALSE,"Summary"}</definedName>
    <definedName name="wrn.Summary." localSheetId="14" hidden="1">{"Table A",#N/A,FALSE,"Summary";"Table D",#N/A,FALSE,"Summary";"Table E",#N/A,FALSE,"Summary"}</definedName>
    <definedName name="wrn.Summary." hidden="1">{"Table A",#N/A,FALSE,"Summary";"Table D",#N/A,FALSE,"Summary";"Table E",#N/A,FALSE,"Summary"}</definedName>
    <definedName name="wrn.Total._.Summary." localSheetId="13" hidden="1">{"Total Summary",#N/A,FALSE,"Summary"}</definedName>
    <definedName name="wrn.Total._.Summary." localSheetId="12" hidden="1">{"Total Summary",#N/A,FALSE,"Summary"}</definedName>
    <definedName name="wrn.Total._.Summary." localSheetId="11" hidden="1">{"Total Summary",#N/A,FALSE,"Summary"}</definedName>
    <definedName name="wrn.Total._.Summary." localSheetId="16" hidden="1">{"Total Summary",#N/A,FALSE,"Summary"}</definedName>
    <definedName name="wrn.Total._.Summary." localSheetId="17" hidden="1">{"Total Summary",#N/A,FALSE,"Summary"}</definedName>
    <definedName name="wrn.Total._.Summary." localSheetId="15" hidden="1">{"Total Summary",#N/A,FALSE,"Summary"}</definedName>
    <definedName name="wrn.Total._.Summary." localSheetId="14"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85" i="86" l="1"/>
  <c r="F26" i="100"/>
  <c r="C108" i="200" l="1"/>
  <c r="F70" i="200"/>
  <c r="E70" i="200"/>
  <c r="H43" i="200" s="1"/>
  <c r="D43" i="200" s="1"/>
  <c r="G12" i="200" s="1"/>
  <c r="H12" i="200" s="1"/>
  <c r="F64" i="200"/>
  <c r="E64" i="200"/>
  <c r="G58" i="200"/>
  <c r="G37" i="200" s="1"/>
  <c r="D37" i="200" s="1"/>
  <c r="G6" i="200" s="1"/>
  <c r="H6" i="200" s="1"/>
  <c r="H57" i="200"/>
  <c r="G57" i="200"/>
  <c r="D50" i="200"/>
  <c r="G19" i="200" s="1"/>
  <c r="H19" i="200" s="1"/>
  <c r="D49" i="200"/>
  <c r="G18" i="200" s="1"/>
  <c r="H18" i="200" s="1"/>
  <c r="D48" i="200"/>
  <c r="G17" i="200" s="1"/>
  <c r="H17" i="200" s="1"/>
  <c r="D47" i="200"/>
  <c r="G16" i="200" s="1"/>
  <c r="H16" i="200" s="1"/>
  <c r="D46" i="200"/>
  <c r="D45" i="200"/>
  <c r="F44" i="200"/>
  <c r="D44" i="200" s="1"/>
  <c r="G13" i="200" s="1"/>
  <c r="H13" i="200" s="1"/>
  <c r="D42" i="200"/>
  <c r="G11" i="200" s="1"/>
  <c r="H11" i="200" s="1"/>
  <c r="D41" i="200"/>
  <c r="G10" i="200" s="1"/>
  <c r="H10" i="200" s="1"/>
  <c r="F29" i="200" s="1"/>
  <c r="D40" i="200"/>
  <c r="G9" i="200" s="1"/>
  <c r="H9" i="200" s="1"/>
  <c r="D39" i="200"/>
  <c r="G8" i="200" s="1"/>
  <c r="H8" i="200" s="1"/>
  <c r="D38" i="200"/>
  <c r="G28" i="200"/>
  <c r="F28" i="200"/>
  <c r="G26" i="200"/>
  <c r="F26" i="200"/>
  <c r="F24" i="200"/>
  <c r="E20" i="200"/>
  <c r="H15" i="200"/>
  <c r="G15" i="200"/>
  <c r="G14" i="200"/>
  <c r="H14" i="200" s="1"/>
  <c r="G7" i="200"/>
  <c r="H7" i="200" s="1"/>
  <c r="A7" i="200"/>
  <c r="A8" i="200" s="1"/>
  <c r="A9" i="200" s="1"/>
  <c r="A10" i="200" s="1"/>
  <c r="F434" i="199"/>
  <c r="F433" i="199"/>
  <c r="F432" i="199"/>
  <c r="F431" i="199"/>
  <c r="F430" i="199"/>
  <c r="F429" i="199"/>
  <c r="F428" i="199"/>
  <c r="F427" i="199"/>
  <c r="F426" i="199"/>
  <c r="F425" i="199"/>
  <c r="F424" i="199"/>
  <c r="F423" i="199"/>
  <c r="F422" i="199"/>
  <c r="F421" i="199"/>
  <c r="F420" i="199"/>
  <c r="F419" i="199"/>
  <c r="F418" i="199"/>
  <c r="F417" i="199"/>
  <c r="F416" i="199"/>
  <c r="F415" i="199"/>
  <c r="F414" i="199"/>
  <c r="F413" i="199"/>
  <c r="F412" i="199"/>
  <c r="J411" i="199"/>
  <c r="F411" i="199"/>
  <c r="K409" i="199"/>
  <c r="J409" i="199"/>
  <c r="I409" i="199"/>
  <c r="H409" i="199"/>
  <c r="F409" i="199"/>
  <c r="E409" i="199"/>
  <c r="D409" i="199"/>
  <c r="K408" i="199"/>
  <c r="J408" i="199"/>
  <c r="I408" i="199"/>
  <c r="H408" i="199"/>
  <c r="F408" i="199"/>
  <c r="E408" i="199"/>
  <c r="D408" i="199"/>
  <c r="I401" i="199"/>
  <c r="E401" i="199"/>
  <c r="F401" i="199" s="1"/>
  <c r="I400" i="199"/>
  <c r="E400" i="199"/>
  <c r="F400" i="199" s="1"/>
  <c r="I399" i="199"/>
  <c r="E399" i="199"/>
  <c r="F399" i="199" s="1"/>
  <c r="I398" i="199"/>
  <c r="E398" i="199"/>
  <c r="F398" i="199" s="1"/>
  <c r="I397" i="199"/>
  <c r="E397" i="199"/>
  <c r="F397" i="199" s="1"/>
  <c r="I396" i="199"/>
  <c r="E396" i="199"/>
  <c r="F396" i="199" s="1"/>
  <c r="I395" i="199"/>
  <c r="E395" i="199"/>
  <c r="F395" i="199" s="1"/>
  <c r="I394" i="199"/>
  <c r="E394" i="199"/>
  <c r="F394" i="199" s="1"/>
  <c r="I393" i="199"/>
  <c r="E393" i="199"/>
  <c r="F393" i="199" s="1"/>
  <c r="I392" i="199"/>
  <c r="E392" i="199"/>
  <c r="F392" i="199" s="1"/>
  <c r="I391" i="199"/>
  <c r="E391" i="199"/>
  <c r="F391" i="199" s="1"/>
  <c r="I390" i="199"/>
  <c r="E390" i="199"/>
  <c r="F390" i="199" s="1"/>
  <c r="I389" i="199"/>
  <c r="E389" i="199"/>
  <c r="F389" i="199" s="1"/>
  <c r="I388" i="199"/>
  <c r="E388" i="199"/>
  <c r="F388" i="199" s="1"/>
  <c r="I387" i="199"/>
  <c r="E387" i="199"/>
  <c r="F387" i="199" s="1"/>
  <c r="I386" i="199"/>
  <c r="E386" i="199"/>
  <c r="F386" i="199" s="1"/>
  <c r="I385" i="199"/>
  <c r="E385" i="199"/>
  <c r="F385" i="199" s="1"/>
  <c r="I384" i="199"/>
  <c r="E384" i="199"/>
  <c r="F384" i="199" s="1"/>
  <c r="I383" i="199"/>
  <c r="E383" i="199"/>
  <c r="F383" i="199" s="1"/>
  <c r="I382" i="199"/>
  <c r="E382" i="199"/>
  <c r="F382" i="199" s="1"/>
  <c r="I381" i="199"/>
  <c r="E381" i="199"/>
  <c r="F381" i="199" s="1"/>
  <c r="I380" i="199"/>
  <c r="E380" i="199"/>
  <c r="F380" i="199" s="1"/>
  <c r="I379" i="199"/>
  <c r="E379" i="199"/>
  <c r="F379" i="199" s="1"/>
  <c r="I378" i="199"/>
  <c r="E378" i="199"/>
  <c r="F378" i="199" s="1"/>
  <c r="K376" i="199"/>
  <c r="J376" i="199"/>
  <c r="I376" i="199"/>
  <c r="H376" i="199"/>
  <c r="G376" i="199"/>
  <c r="F376" i="199"/>
  <c r="E376" i="199"/>
  <c r="D376" i="199"/>
  <c r="K375" i="199"/>
  <c r="J375" i="199"/>
  <c r="I375" i="199"/>
  <c r="H375" i="199"/>
  <c r="G375" i="199"/>
  <c r="F375" i="199"/>
  <c r="E375" i="199"/>
  <c r="D375" i="199"/>
  <c r="G374" i="199"/>
  <c r="I368" i="199"/>
  <c r="E368" i="199"/>
  <c r="F368" i="199" s="1"/>
  <c r="I367" i="199"/>
  <c r="E367" i="199"/>
  <c r="F367" i="199" s="1"/>
  <c r="I366" i="199"/>
  <c r="E366" i="199"/>
  <c r="F366" i="199" s="1"/>
  <c r="I365" i="199"/>
  <c r="E365" i="199"/>
  <c r="F365" i="199" s="1"/>
  <c r="I364" i="199"/>
  <c r="E364" i="199"/>
  <c r="F364" i="199" s="1"/>
  <c r="I363" i="199"/>
  <c r="E363" i="199"/>
  <c r="F363" i="199" s="1"/>
  <c r="I362" i="199"/>
  <c r="E362" i="199"/>
  <c r="F362" i="199" s="1"/>
  <c r="I361" i="199"/>
  <c r="E361" i="199"/>
  <c r="F361" i="199" s="1"/>
  <c r="I360" i="199"/>
  <c r="E360" i="199"/>
  <c r="F360" i="199" s="1"/>
  <c r="I359" i="199"/>
  <c r="E359" i="199"/>
  <c r="F359" i="199" s="1"/>
  <c r="I358" i="199"/>
  <c r="E358" i="199"/>
  <c r="F358" i="199" s="1"/>
  <c r="I357" i="199"/>
  <c r="F357" i="199"/>
  <c r="E357" i="199"/>
  <c r="I356" i="199"/>
  <c r="E356" i="199"/>
  <c r="F356" i="199" s="1"/>
  <c r="I355" i="199"/>
  <c r="E355" i="199"/>
  <c r="F355" i="199" s="1"/>
  <c r="I354" i="199"/>
  <c r="E354" i="199"/>
  <c r="F354" i="199" s="1"/>
  <c r="I353" i="199"/>
  <c r="E353" i="199"/>
  <c r="F353" i="199" s="1"/>
  <c r="I352" i="199"/>
  <c r="E352" i="199"/>
  <c r="F352" i="199" s="1"/>
  <c r="I351" i="199"/>
  <c r="E351" i="199"/>
  <c r="F351" i="199" s="1"/>
  <c r="I350" i="199"/>
  <c r="E350" i="199"/>
  <c r="F350" i="199" s="1"/>
  <c r="I349" i="199"/>
  <c r="E349" i="199"/>
  <c r="F349" i="199" s="1"/>
  <c r="I348" i="199"/>
  <c r="E348" i="199"/>
  <c r="F348" i="199" s="1"/>
  <c r="I347" i="199"/>
  <c r="E347" i="199"/>
  <c r="F347" i="199" s="1"/>
  <c r="I346" i="199"/>
  <c r="E346" i="199"/>
  <c r="F346" i="199" s="1"/>
  <c r="I345" i="199"/>
  <c r="E345" i="199"/>
  <c r="F345" i="199" s="1"/>
  <c r="J344" i="199"/>
  <c r="K343" i="199"/>
  <c r="J343" i="199"/>
  <c r="I343" i="199"/>
  <c r="H343" i="199"/>
  <c r="G343" i="199"/>
  <c r="F343" i="199"/>
  <c r="E343" i="199"/>
  <c r="D343" i="199"/>
  <c r="K342" i="199"/>
  <c r="J342" i="199"/>
  <c r="I342" i="199"/>
  <c r="H342" i="199"/>
  <c r="G342" i="199"/>
  <c r="F342" i="199"/>
  <c r="E342" i="199"/>
  <c r="D342" i="199"/>
  <c r="G341" i="199"/>
  <c r="I337" i="199"/>
  <c r="E337" i="199"/>
  <c r="F337" i="199" s="1"/>
  <c r="I336" i="199"/>
  <c r="E336" i="199"/>
  <c r="F336" i="199" s="1"/>
  <c r="I335" i="199"/>
  <c r="E335" i="199"/>
  <c r="F335" i="199" s="1"/>
  <c r="I334" i="199"/>
  <c r="E334" i="199"/>
  <c r="F334" i="199" s="1"/>
  <c r="I333" i="199"/>
  <c r="E333" i="199"/>
  <c r="F333" i="199" s="1"/>
  <c r="I332" i="199"/>
  <c r="E332" i="199"/>
  <c r="F332" i="199" s="1"/>
  <c r="I331" i="199"/>
  <c r="E331" i="199"/>
  <c r="F331" i="199" s="1"/>
  <c r="I330" i="199"/>
  <c r="E330" i="199"/>
  <c r="F330" i="199" s="1"/>
  <c r="I329" i="199"/>
  <c r="E329" i="199"/>
  <c r="F329" i="199" s="1"/>
  <c r="I328" i="199"/>
  <c r="E328" i="199"/>
  <c r="F328" i="199" s="1"/>
  <c r="I327" i="199"/>
  <c r="E327" i="199"/>
  <c r="F327" i="199" s="1"/>
  <c r="I326" i="199"/>
  <c r="E326" i="199"/>
  <c r="F326" i="199" s="1"/>
  <c r="I325" i="199"/>
  <c r="E325" i="199"/>
  <c r="F325" i="199" s="1"/>
  <c r="I324" i="199"/>
  <c r="E324" i="199"/>
  <c r="F324" i="199" s="1"/>
  <c r="I323" i="199"/>
  <c r="E323" i="199"/>
  <c r="F323" i="199" s="1"/>
  <c r="I322" i="199"/>
  <c r="E322" i="199"/>
  <c r="F322" i="199" s="1"/>
  <c r="I321" i="199"/>
  <c r="F321" i="199"/>
  <c r="E321" i="199"/>
  <c r="I320" i="199"/>
  <c r="E320" i="199"/>
  <c r="F320" i="199" s="1"/>
  <c r="I319" i="199"/>
  <c r="E319" i="199"/>
  <c r="F319" i="199" s="1"/>
  <c r="I318" i="199"/>
  <c r="E318" i="199"/>
  <c r="F318" i="199" s="1"/>
  <c r="I317" i="199"/>
  <c r="E317" i="199"/>
  <c r="F317" i="199" s="1"/>
  <c r="I316" i="199"/>
  <c r="E316" i="199"/>
  <c r="F316" i="199" s="1"/>
  <c r="I315" i="199"/>
  <c r="E315" i="199"/>
  <c r="F315" i="199" s="1"/>
  <c r="I314" i="199"/>
  <c r="F314" i="199"/>
  <c r="J314" i="199" s="1"/>
  <c r="E314" i="199"/>
  <c r="J313" i="199"/>
  <c r="K312" i="199"/>
  <c r="J312" i="199"/>
  <c r="I312" i="199"/>
  <c r="H312" i="199"/>
  <c r="G312" i="199"/>
  <c r="F312" i="199"/>
  <c r="E312" i="199"/>
  <c r="D312" i="199"/>
  <c r="K311" i="199"/>
  <c r="J311" i="199"/>
  <c r="I311" i="199"/>
  <c r="H311" i="199"/>
  <c r="G311" i="199"/>
  <c r="F311" i="199"/>
  <c r="E311" i="199"/>
  <c r="D311" i="199"/>
  <c r="G310" i="199"/>
  <c r="I304" i="199"/>
  <c r="E304" i="199"/>
  <c r="F304" i="199" s="1"/>
  <c r="I303" i="199"/>
  <c r="E303" i="199"/>
  <c r="F303" i="199" s="1"/>
  <c r="I302" i="199"/>
  <c r="E302" i="199"/>
  <c r="F302" i="199" s="1"/>
  <c r="I301" i="199"/>
  <c r="E301" i="199"/>
  <c r="F301" i="199" s="1"/>
  <c r="I300" i="199"/>
  <c r="E300" i="199"/>
  <c r="F300" i="199" s="1"/>
  <c r="I299" i="199"/>
  <c r="E299" i="199"/>
  <c r="F299" i="199" s="1"/>
  <c r="I298" i="199"/>
  <c r="E298" i="199"/>
  <c r="F298" i="199" s="1"/>
  <c r="I297" i="199"/>
  <c r="E297" i="199"/>
  <c r="F297" i="199" s="1"/>
  <c r="I296" i="199"/>
  <c r="E296" i="199"/>
  <c r="F296" i="199" s="1"/>
  <c r="I295" i="199"/>
  <c r="E295" i="199"/>
  <c r="F295" i="199" s="1"/>
  <c r="I294" i="199"/>
  <c r="E294" i="199"/>
  <c r="F294" i="199" s="1"/>
  <c r="I293" i="199"/>
  <c r="E293" i="199"/>
  <c r="F293" i="199" s="1"/>
  <c r="I292" i="199"/>
  <c r="E292" i="199"/>
  <c r="F292" i="199" s="1"/>
  <c r="I291" i="199"/>
  <c r="E291" i="199"/>
  <c r="F291" i="199" s="1"/>
  <c r="I290" i="199"/>
  <c r="E290" i="199"/>
  <c r="F290" i="199" s="1"/>
  <c r="I289" i="199"/>
  <c r="E289" i="199"/>
  <c r="F289" i="199" s="1"/>
  <c r="I288" i="199"/>
  <c r="E288" i="199"/>
  <c r="F288" i="199" s="1"/>
  <c r="I287" i="199"/>
  <c r="E287" i="199"/>
  <c r="F287" i="199" s="1"/>
  <c r="I286" i="199"/>
  <c r="E286" i="199"/>
  <c r="F286" i="199" s="1"/>
  <c r="I285" i="199"/>
  <c r="E285" i="199"/>
  <c r="F285" i="199" s="1"/>
  <c r="I284" i="199"/>
  <c r="E284" i="199"/>
  <c r="F284" i="199" s="1"/>
  <c r="I283" i="199"/>
  <c r="E283" i="199"/>
  <c r="F283" i="199" s="1"/>
  <c r="I282" i="199"/>
  <c r="E282" i="199"/>
  <c r="F282" i="199" s="1"/>
  <c r="I281" i="199"/>
  <c r="E281" i="199"/>
  <c r="F281" i="199" s="1"/>
  <c r="J280" i="199"/>
  <c r="J281" i="199" s="1"/>
  <c r="K279" i="199"/>
  <c r="J279" i="199"/>
  <c r="I279" i="199"/>
  <c r="H279" i="199"/>
  <c r="G279" i="199"/>
  <c r="F279" i="199"/>
  <c r="E279" i="199"/>
  <c r="D279" i="199"/>
  <c r="K278" i="199"/>
  <c r="J278" i="199"/>
  <c r="I278" i="199"/>
  <c r="H278" i="199"/>
  <c r="G278" i="199"/>
  <c r="F278" i="199"/>
  <c r="E278" i="199"/>
  <c r="D278" i="199"/>
  <c r="G277" i="199"/>
  <c r="I273" i="199"/>
  <c r="E273" i="199"/>
  <c r="F273" i="199" s="1"/>
  <c r="I272" i="199"/>
  <c r="E272" i="199"/>
  <c r="F272" i="199" s="1"/>
  <c r="I271" i="199"/>
  <c r="E271" i="199"/>
  <c r="F271" i="199" s="1"/>
  <c r="I270" i="199"/>
  <c r="E270" i="199"/>
  <c r="F270" i="199" s="1"/>
  <c r="I269" i="199"/>
  <c r="E269" i="199"/>
  <c r="F269" i="199" s="1"/>
  <c r="I268" i="199"/>
  <c r="F268" i="199"/>
  <c r="E268" i="199"/>
  <c r="I267" i="199"/>
  <c r="E267" i="199"/>
  <c r="F267" i="199" s="1"/>
  <c r="I266" i="199"/>
  <c r="E266" i="199"/>
  <c r="F266" i="199" s="1"/>
  <c r="I265" i="199"/>
  <c r="E265" i="199"/>
  <c r="F265" i="199" s="1"/>
  <c r="I264" i="199"/>
  <c r="E264" i="199"/>
  <c r="F264" i="199" s="1"/>
  <c r="I263" i="199"/>
  <c r="E263" i="199"/>
  <c r="F263" i="199" s="1"/>
  <c r="I262" i="199"/>
  <c r="E262" i="199"/>
  <c r="F262" i="199" s="1"/>
  <c r="I261" i="199"/>
  <c r="E261" i="199"/>
  <c r="F261" i="199" s="1"/>
  <c r="I260" i="199"/>
  <c r="E260" i="199"/>
  <c r="F260" i="199" s="1"/>
  <c r="I259" i="199"/>
  <c r="E259" i="199"/>
  <c r="F259" i="199" s="1"/>
  <c r="I258" i="199"/>
  <c r="E258" i="199"/>
  <c r="F258" i="199" s="1"/>
  <c r="I257" i="199"/>
  <c r="E257" i="199"/>
  <c r="F257" i="199" s="1"/>
  <c r="I256" i="199"/>
  <c r="E256" i="199"/>
  <c r="F256" i="199" s="1"/>
  <c r="I255" i="199"/>
  <c r="E255" i="199"/>
  <c r="F255" i="199" s="1"/>
  <c r="I254" i="199"/>
  <c r="E254" i="199"/>
  <c r="F254" i="199" s="1"/>
  <c r="I253" i="199"/>
  <c r="E253" i="199"/>
  <c r="F253" i="199" s="1"/>
  <c r="I252" i="199"/>
  <c r="F252" i="199"/>
  <c r="E252" i="199"/>
  <c r="I251" i="199"/>
  <c r="E251" i="199"/>
  <c r="F251" i="199" s="1"/>
  <c r="I250" i="199"/>
  <c r="E250" i="199"/>
  <c r="F250" i="199" s="1"/>
  <c r="J250" i="199" s="1"/>
  <c r="J249" i="199"/>
  <c r="K248" i="199"/>
  <c r="J248" i="199"/>
  <c r="I248" i="199"/>
  <c r="H248" i="199"/>
  <c r="F248" i="199"/>
  <c r="E248" i="199"/>
  <c r="D248" i="199"/>
  <c r="K247" i="199"/>
  <c r="J247" i="199"/>
  <c r="I247" i="199"/>
  <c r="H247" i="199"/>
  <c r="F247" i="199"/>
  <c r="E247" i="199"/>
  <c r="D247" i="199"/>
  <c r="I240" i="199"/>
  <c r="E240" i="199"/>
  <c r="F240" i="199" s="1"/>
  <c r="I239" i="199"/>
  <c r="F239" i="199"/>
  <c r="E239" i="199"/>
  <c r="I238" i="199"/>
  <c r="F238" i="199"/>
  <c r="E238" i="199"/>
  <c r="I237" i="199"/>
  <c r="E237" i="199"/>
  <c r="F237" i="199" s="1"/>
  <c r="I236" i="199"/>
  <c r="E236" i="199"/>
  <c r="F236" i="199" s="1"/>
  <c r="I235" i="199"/>
  <c r="F235" i="199"/>
  <c r="E235" i="199"/>
  <c r="I234" i="199"/>
  <c r="E234" i="199"/>
  <c r="F234" i="199" s="1"/>
  <c r="I233" i="199"/>
  <c r="E233" i="199"/>
  <c r="F233" i="199" s="1"/>
  <c r="I232" i="199"/>
  <c r="E232" i="199"/>
  <c r="F232" i="199" s="1"/>
  <c r="I231" i="199"/>
  <c r="E231" i="199"/>
  <c r="F231" i="199" s="1"/>
  <c r="I230" i="199"/>
  <c r="E230" i="199"/>
  <c r="F230" i="199" s="1"/>
  <c r="I229" i="199"/>
  <c r="E229" i="199"/>
  <c r="F229" i="199" s="1"/>
  <c r="I228" i="199"/>
  <c r="E228" i="199"/>
  <c r="F228" i="199" s="1"/>
  <c r="I227" i="199"/>
  <c r="E227" i="199"/>
  <c r="F227" i="199" s="1"/>
  <c r="I226" i="199"/>
  <c r="E226" i="199"/>
  <c r="F226" i="199" s="1"/>
  <c r="I225" i="199"/>
  <c r="E225" i="199"/>
  <c r="F225" i="199" s="1"/>
  <c r="I224" i="199"/>
  <c r="F224" i="199"/>
  <c r="E224" i="199"/>
  <c r="I223" i="199"/>
  <c r="E223" i="199"/>
  <c r="F223" i="199" s="1"/>
  <c r="I222" i="199"/>
  <c r="E222" i="199"/>
  <c r="F222" i="199" s="1"/>
  <c r="I221" i="199"/>
  <c r="E221" i="199"/>
  <c r="F221" i="199" s="1"/>
  <c r="I220" i="199"/>
  <c r="F220" i="199"/>
  <c r="E220" i="199"/>
  <c r="I219" i="199"/>
  <c r="E219" i="199"/>
  <c r="F219" i="199" s="1"/>
  <c r="I218" i="199"/>
  <c r="E218" i="199"/>
  <c r="F218" i="199" s="1"/>
  <c r="I217" i="199"/>
  <c r="J217" i="199" s="1"/>
  <c r="E217" i="199"/>
  <c r="F217" i="199" s="1"/>
  <c r="J216" i="199"/>
  <c r="K215" i="199"/>
  <c r="J215" i="199"/>
  <c r="I215" i="199"/>
  <c r="H215" i="199"/>
  <c r="G215" i="199"/>
  <c r="F215" i="199"/>
  <c r="E215" i="199"/>
  <c r="D215" i="199"/>
  <c r="K214" i="199"/>
  <c r="J214" i="199"/>
  <c r="I214" i="199"/>
  <c r="H214" i="199"/>
  <c r="G214" i="199"/>
  <c r="F214" i="199"/>
  <c r="E214" i="199"/>
  <c r="D214" i="199"/>
  <c r="G213" i="199"/>
  <c r="I209" i="199"/>
  <c r="E209" i="199"/>
  <c r="F209" i="199" s="1"/>
  <c r="I208" i="199"/>
  <c r="E208" i="199"/>
  <c r="F208" i="199" s="1"/>
  <c r="I207" i="199"/>
  <c r="E207" i="199"/>
  <c r="F207" i="199" s="1"/>
  <c r="I206" i="199"/>
  <c r="E206" i="199"/>
  <c r="F206" i="199" s="1"/>
  <c r="I205" i="199"/>
  <c r="E205" i="199"/>
  <c r="F205" i="199" s="1"/>
  <c r="I204" i="199"/>
  <c r="E204" i="199"/>
  <c r="F204" i="199" s="1"/>
  <c r="I203" i="199"/>
  <c r="E203" i="199"/>
  <c r="I202" i="199"/>
  <c r="E202" i="199"/>
  <c r="F202" i="199" s="1"/>
  <c r="I201" i="199"/>
  <c r="E201" i="199"/>
  <c r="F201" i="199" s="1"/>
  <c r="I200" i="199"/>
  <c r="E200" i="199"/>
  <c r="F200" i="199" s="1"/>
  <c r="I199" i="199"/>
  <c r="F199" i="199"/>
  <c r="E199" i="199"/>
  <c r="I198" i="199"/>
  <c r="E198" i="199"/>
  <c r="F198" i="199" s="1"/>
  <c r="I197" i="199"/>
  <c r="E197" i="199"/>
  <c r="F197" i="199" s="1"/>
  <c r="I196" i="199"/>
  <c r="F196" i="199"/>
  <c r="E196" i="199"/>
  <c r="I195" i="199"/>
  <c r="E195" i="199"/>
  <c r="F195" i="199" s="1"/>
  <c r="I194" i="199"/>
  <c r="E194" i="199"/>
  <c r="F194" i="199" s="1"/>
  <c r="I193" i="199"/>
  <c r="E193" i="199"/>
  <c r="F193" i="199" s="1"/>
  <c r="I192" i="199"/>
  <c r="E192" i="199"/>
  <c r="F192" i="199" s="1"/>
  <c r="I191" i="199"/>
  <c r="E191" i="199"/>
  <c r="F191" i="199" s="1"/>
  <c r="I190" i="199"/>
  <c r="E190" i="199"/>
  <c r="F190" i="199" s="1"/>
  <c r="I189" i="199"/>
  <c r="E189" i="199"/>
  <c r="F189" i="199" s="1"/>
  <c r="I188" i="199"/>
  <c r="F188" i="199"/>
  <c r="E188" i="199"/>
  <c r="I187" i="199"/>
  <c r="E187" i="199"/>
  <c r="F187" i="199" s="1"/>
  <c r="I186" i="199"/>
  <c r="E186" i="199"/>
  <c r="F186" i="199" s="1"/>
  <c r="J186" i="199" s="1"/>
  <c r="J185" i="199"/>
  <c r="K184" i="199"/>
  <c r="J184" i="199"/>
  <c r="I184" i="199"/>
  <c r="H184" i="199"/>
  <c r="G184" i="199"/>
  <c r="F184" i="199"/>
  <c r="E184" i="199"/>
  <c r="D184" i="199"/>
  <c r="K183" i="199"/>
  <c r="J183" i="199"/>
  <c r="I183" i="199"/>
  <c r="H183" i="199"/>
  <c r="G183" i="199"/>
  <c r="F183" i="199"/>
  <c r="E183" i="199"/>
  <c r="D183" i="199"/>
  <c r="G182" i="199"/>
  <c r="I176" i="199"/>
  <c r="E176" i="199"/>
  <c r="F176" i="199" s="1"/>
  <c r="I175" i="199"/>
  <c r="E175" i="199"/>
  <c r="F175" i="199" s="1"/>
  <c r="I174" i="199"/>
  <c r="E174" i="199"/>
  <c r="F174" i="199" s="1"/>
  <c r="I173" i="199"/>
  <c r="E173" i="199"/>
  <c r="F173" i="199" s="1"/>
  <c r="I172" i="199"/>
  <c r="E172" i="199"/>
  <c r="F172" i="199" s="1"/>
  <c r="I171" i="199"/>
  <c r="E171" i="199"/>
  <c r="F171" i="199" s="1"/>
  <c r="I170" i="199"/>
  <c r="E170" i="199"/>
  <c r="F170" i="199" s="1"/>
  <c r="I169" i="199"/>
  <c r="E169" i="199"/>
  <c r="F169" i="199" s="1"/>
  <c r="I168" i="199"/>
  <c r="E168" i="199"/>
  <c r="F168" i="199" s="1"/>
  <c r="I167" i="199"/>
  <c r="E167" i="199"/>
  <c r="F167" i="199" s="1"/>
  <c r="I166" i="199"/>
  <c r="E166" i="199"/>
  <c r="F166" i="199" s="1"/>
  <c r="I165" i="199"/>
  <c r="E165" i="199"/>
  <c r="F165" i="199" s="1"/>
  <c r="I164" i="199"/>
  <c r="E164" i="199"/>
  <c r="F164" i="199" s="1"/>
  <c r="I163" i="199"/>
  <c r="E163" i="199"/>
  <c r="F163" i="199" s="1"/>
  <c r="I162" i="199"/>
  <c r="I64" i="199" s="1"/>
  <c r="E162" i="199"/>
  <c r="F162" i="199" s="1"/>
  <c r="I161" i="199"/>
  <c r="E161" i="199"/>
  <c r="F161" i="199" s="1"/>
  <c r="I160" i="199"/>
  <c r="E160" i="199"/>
  <c r="F160" i="199" s="1"/>
  <c r="I159" i="199"/>
  <c r="E159" i="199"/>
  <c r="F159" i="199" s="1"/>
  <c r="I158" i="199"/>
  <c r="I60" i="199" s="1"/>
  <c r="E158" i="199"/>
  <c r="F158" i="199" s="1"/>
  <c r="I157" i="199"/>
  <c r="E157" i="199"/>
  <c r="F157" i="199" s="1"/>
  <c r="I156" i="199"/>
  <c r="E156" i="199"/>
  <c r="F156" i="199" s="1"/>
  <c r="I155" i="199"/>
  <c r="E155" i="199"/>
  <c r="F155" i="199" s="1"/>
  <c r="I154" i="199"/>
  <c r="E154" i="199"/>
  <c r="F154" i="199" s="1"/>
  <c r="I153" i="199"/>
  <c r="E153" i="199"/>
  <c r="F153" i="199" s="1"/>
  <c r="J152" i="199"/>
  <c r="K151" i="199"/>
  <c r="J151" i="199"/>
  <c r="I151" i="199"/>
  <c r="H151" i="199"/>
  <c r="G151" i="199"/>
  <c r="F151" i="199"/>
  <c r="E151" i="199"/>
  <c r="D151" i="199"/>
  <c r="K150" i="199"/>
  <c r="J150" i="199"/>
  <c r="I150" i="199"/>
  <c r="H150" i="199"/>
  <c r="G150" i="199"/>
  <c r="F150" i="199"/>
  <c r="E150" i="199"/>
  <c r="D150" i="199"/>
  <c r="G149" i="199"/>
  <c r="I145" i="199"/>
  <c r="E145" i="199"/>
  <c r="F145" i="199" s="1"/>
  <c r="I144" i="199"/>
  <c r="E144" i="199"/>
  <c r="F144" i="199" s="1"/>
  <c r="I143" i="199"/>
  <c r="E143" i="199"/>
  <c r="F143" i="199" s="1"/>
  <c r="I142" i="199"/>
  <c r="E142" i="199"/>
  <c r="F142" i="199" s="1"/>
  <c r="I141" i="199"/>
  <c r="E141" i="199"/>
  <c r="F141" i="199" s="1"/>
  <c r="I140" i="199"/>
  <c r="E140" i="199"/>
  <c r="F140" i="199" s="1"/>
  <c r="I139" i="199"/>
  <c r="E139" i="199"/>
  <c r="F139" i="199" s="1"/>
  <c r="I138" i="199"/>
  <c r="F138" i="199"/>
  <c r="E138" i="199"/>
  <c r="I137" i="199"/>
  <c r="E137" i="199"/>
  <c r="F137" i="199" s="1"/>
  <c r="I136" i="199"/>
  <c r="E136" i="199"/>
  <c r="F136" i="199" s="1"/>
  <c r="I135" i="199"/>
  <c r="E135" i="199"/>
  <c r="F135" i="199" s="1"/>
  <c r="I134" i="199"/>
  <c r="E134" i="199"/>
  <c r="F134" i="199" s="1"/>
  <c r="I133" i="199"/>
  <c r="E133" i="199"/>
  <c r="F133" i="199" s="1"/>
  <c r="I132" i="199"/>
  <c r="F132" i="199"/>
  <c r="E132" i="199"/>
  <c r="I131" i="199"/>
  <c r="E131" i="199"/>
  <c r="F131" i="199" s="1"/>
  <c r="I130" i="199"/>
  <c r="E130" i="199"/>
  <c r="F130" i="199" s="1"/>
  <c r="I129" i="199"/>
  <c r="E129" i="199"/>
  <c r="F129" i="199" s="1"/>
  <c r="I128" i="199"/>
  <c r="E128" i="199"/>
  <c r="F128" i="199" s="1"/>
  <c r="I127" i="199"/>
  <c r="E127" i="199"/>
  <c r="F127" i="199" s="1"/>
  <c r="I126" i="199"/>
  <c r="F126" i="199"/>
  <c r="E126" i="199"/>
  <c r="I125" i="199"/>
  <c r="E125" i="199"/>
  <c r="F125" i="199" s="1"/>
  <c r="I124" i="199"/>
  <c r="E124" i="199"/>
  <c r="F124" i="199" s="1"/>
  <c r="I123" i="199"/>
  <c r="E123" i="199"/>
  <c r="F123" i="199" s="1"/>
  <c r="I122" i="199"/>
  <c r="E122" i="199"/>
  <c r="F122" i="199" s="1"/>
  <c r="J121" i="199"/>
  <c r="K120" i="199"/>
  <c r="J120" i="199"/>
  <c r="I120" i="199"/>
  <c r="H120" i="199"/>
  <c r="G120" i="199"/>
  <c r="F120" i="199"/>
  <c r="E120" i="199"/>
  <c r="D120" i="199"/>
  <c r="K119" i="199"/>
  <c r="J119" i="199"/>
  <c r="I119" i="199"/>
  <c r="H119" i="199"/>
  <c r="G119" i="199"/>
  <c r="F119" i="199"/>
  <c r="E119" i="199"/>
  <c r="D119" i="199"/>
  <c r="G118" i="199"/>
  <c r="I112" i="199"/>
  <c r="E112" i="199"/>
  <c r="F112" i="199" s="1"/>
  <c r="I111" i="199"/>
  <c r="E111" i="199"/>
  <c r="F111" i="199" s="1"/>
  <c r="I110" i="199"/>
  <c r="F110" i="199"/>
  <c r="E110" i="199"/>
  <c r="I109" i="199"/>
  <c r="E109" i="199"/>
  <c r="F109" i="199" s="1"/>
  <c r="I108" i="199"/>
  <c r="E108" i="199"/>
  <c r="F108" i="199" s="1"/>
  <c r="I107" i="199"/>
  <c r="E107" i="199"/>
  <c r="F107" i="199" s="1"/>
  <c r="I106" i="199"/>
  <c r="E106" i="199"/>
  <c r="F106" i="199" s="1"/>
  <c r="I105" i="199"/>
  <c r="E105" i="199"/>
  <c r="F105" i="199" s="1"/>
  <c r="I104" i="199"/>
  <c r="E104" i="199"/>
  <c r="F104" i="199" s="1"/>
  <c r="I103" i="199"/>
  <c r="E103" i="199"/>
  <c r="F103" i="199" s="1"/>
  <c r="I102" i="199"/>
  <c r="E102" i="199"/>
  <c r="F102" i="199" s="1"/>
  <c r="I101" i="199"/>
  <c r="E101" i="199"/>
  <c r="F101" i="199" s="1"/>
  <c r="I100" i="199"/>
  <c r="E100" i="199"/>
  <c r="F100" i="199" s="1"/>
  <c r="I99" i="199"/>
  <c r="E99" i="199"/>
  <c r="F99" i="199" s="1"/>
  <c r="I98" i="199"/>
  <c r="E98" i="199"/>
  <c r="F98" i="199" s="1"/>
  <c r="I97" i="199"/>
  <c r="E97" i="199"/>
  <c r="F97" i="199" s="1"/>
  <c r="I96" i="199"/>
  <c r="E96" i="199"/>
  <c r="F96" i="199" s="1"/>
  <c r="I95" i="199"/>
  <c r="I61" i="199" s="1"/>
  <c r="E95" i="199"/>
  <c r="F95" i="199" s="1"/>
  <c r="I94" i="199"/>
  <c r="E94" i="199"/>
  <c r="F94" i="199" s="1"/>
  <c r="I93" i="199"/>
  <c r="E93" i="199"/>
  <c r="F93" i="199" s="1"/>
  <c r="I92" i="199"/>
  <c r="E92" i="199"/>
  <c r="F92" i="199" s="1"/>
  <c r="I91" i="199"/>
  <c r="I57" i="199" s="1"/>
  <c r="E91" i="199"/>
  <c r="F91" i="199" s="1"/>
  <c r="I90" i="199"/>
  <c r="E90" i="199"/>
  <c r="I89" i="199"/>
  <c r="E89" i="199"/>
  <c r="F89" i="199" s="1"/>
  <c r="J88" i="199"/>
  <c r="K87" i="199"/>
  <c r="J87" i="199"/>
  <c r="I87" i="199"/>
  <c r="H87" i="199"/>
  <c r="G87" i="199"/>
  <c r="G409" i="199" s="1"/>
  <c r="F87" i="199"/>
  <c r="E87" i="199"/>
  <c r="D87" i="199"/>
  <c r="K86" i="199"/>
  <c r="J86" i="199"/>
  <c r="I86" i="199"/>
  <c r="H86" i="199"/>
  <c r="G86" i="199"/>
  <c r="G408" i="199" s="1"/>
  <c r="F86" i="199"/>
  <c r="E86" i="199"/>
  <c r="D86" i="199"/>
  <c r="G85" i="199"/>
  <c r="G407" i="199" s="1"/>
  <c r="H78" i="199"/>
  <c r="G78" i="199"/>
  <c r="D78" i="199"/>
  <c r="H77" i="199"/>
  <c r="G77" i="199"/>
  <c r="D77" i="199"/>
  <c r="H76" i="199"/>
  <c r="G76" i="199"/>
  <c r="D76" i="199"/>
  <c r="H75" i="199"/>
  <c r="G75" i="199"/>
  <c r="D75" i="199"/>
  <c r="H74" i="199"/>
  <c r="G74" i="199"/>
  <c r="D74" i="199"/>
  <c r="H73" i="199"/>
  <c r="G73" i="199"/>
  <c r="D73" i="199"/>
  <c r="H72" i="199"/>
  <c r="G72" i="199"/>
  <c r="D72" i="199"/>
  <c r="H71" i="199"/>
  <c r="G71" i="199"/>
  <c r="D71" i="199"/>
  <c r="H70" i="199"/>
  <c r="G70" i="199"/>
  <c r="D70" i="199"/>
  <c r="H69" i="199"/>
  <c r="G69" i="199"/>
  <c r="D69" i="199"/>
  <c r="H68" i="199"/>
  <c r="G68" i="199"/>
  <c r="D68" i="199"/>
  <c r="H67" i="199"/>
  <c r="G67" i="199"/>
  <c r="D67" i="199"/>
  <c r="H66" i="199"/>
  <c r="G66" i="199"/>
  <c r="D66" i="199"/>
  <c r="H65" i="199"/>
  <c r="G65" i="199"/>
  <c r="D65" i="199"/>
  <c r="H64" i="199"/>
  <c r="G64" i="199"/>
  <c r="D64" i="199"/>
  <c r="I63" i="199"/>
  <c r="H63" i="199"/>
  <c r="G63" i="199"/>
  <c r="D63" i="199"/>
  <c r="H62" i="199"/>
  <c r="G62" i="199"/>
  <c r="D62" i="199"/>
  <c r="H61" i="199"/>
  <c r="G61" i="199"/>
  <c r="D61" i="199"/>
  <c r="H60" i="199"/>
  <c r="G60" i="199"/>
  <c r="D60" i="199"/>
  <c r="H59" i="199"/>
  <c r="G59" i="199"/>
  <c r="D59" i="199"/>
  <c r="H58" i="199"/>
  <c r="G58" i="199"/>
  <c r="D58" i="199"/>
  <c r="H57" i="199"/>
  <c r="G57" i="199"/>
  <c r="E57" i="199"/>
  <c r="D57" i="199"/>
  <c r="H56" i="199"/>
  <c r="G56" i="199"/>
  <c r="D56" i="199"/>
  <c r="H55" i="199"/>
  <c r="G55" i="199"/>
  <c r="D55" i="199"/>
  <c r="J54" i="199"/>
  <c r="H46" i="199"/>
  <c r="G46" i="199"/>
  <c r="F46" i="199"/>
  <c r="E46" i="199"/>
  <c r="D46" i="199"/>
  <c r="I26" i="199"/>
  <c r="H26" i="199"/>
  <c r="G26" i="199"/>
  <c r="F26" i="199"/>
  <c r="E26" i="199"/>
  <c r="D25" i="199"/>
  <c r="D24" i="199"/>
  <c r="D23" i="199"/>
  <c r="D22" i="199"/>
  <c r="D21" i="199"/>
  <c r="D20" i="199"/>
  <c r="D19" i="199"/>
  <c r="D18" i="199"/>
  <c r="D17" i="199"/>
  <c r="D16" i="199"/>
  <c r="D15" i="199"/>
  <c r="D14" i="199"/>
  <c r="A14" i="199"/>
  <c r="A15" i="199" s="1"/>
  <c r="A16" i="199" s="1"/>
  <c r="A17" i="199" s="1"/>
  <c r="A18" i="199" s="1"/>
  <c r="A19" i="199" s="1"/>
  <c r="A20" i="199" s="1"/>
  <c r="A21" i="199" s="1"/>
  <c r="A22" i="199" s="1"/>
  <c r="A23" i="199" s="1"/>
  <c r="A24" i="199" s="1"/>
  <c r="A25" i="199" s="1"/>
  <c r="A26" i="199" s="1"/>
  <c r="A33" i="199" s="1"/>
  <c r="A34" i="199" s="1"/>
  <c r="A35" i="199" s="1"/>
  <c r="A36" i="199" s="1"/>
  <c r="A37" i="199" s="1"/>
  <c r="A38" i="199" s="1"/>
  <c r="A39" i="199" s="1"/>
  <c r="A40" i="199" s="1"/>
  <c r="A41" i="199" s="1"/>
  <c r="A42" i="199" s="1"/>
  <c r="A43" i="199" s="1"/>
  <c r="A44" i="199" s="1"/>
  <c r="A45" i="199" s="1"/>
  <c r="A46" i="199" s="1"/>
  <c r="A54" i="199" s="1"/>
  <c r="A55" i="199" s="1"/>
  <c r="A56" i="199" s="1"/>
  <c r="A57" i="199" s="1"/>
  <c r="A58" i="199" s="1"/>
  <c r="A59" i="199" s="1"/>
  <c r="A60" i="199" s="1"/>
  <c r="A61" i="199" s="1"/>
  <c r="A62" i="199" s="1"/>
  <c r="A63" i="199" s="1"/>
  <c r="A64" i="199" s="1"/>
  <c r="A65" i="199" s="1"/>
  <c r="A66" i="199" s="1"/>
  <c r="A67" i="199" s="1"/>
  <c r="A68" i="199" s="1"/>
  <c r="A69" i="199" s="1"/>
  <c r="A70" i="199" s="1"/>
  <c r="A71" i="199" s="1"/>
  <c r="A72" i="199" s="1"/>
  <c r="A73" i="199" s="1"/>
  <c r="A74" i="199" s="1"/>
  <c r="A75" i="199" s="1"/>
  <c r="A76" i="199" s="1"/>
  <c r="A77" i="199" s="1"/>
  <c r="A78" i="199" s="1"/>
  <c r="A79" i="199" s="1"/>
  <c r="A88" i="199" s="1"/>
  <c r="A89" i="199" s="1"/>
  <c r="A90" i="199" s="1"/>
  <c r="A91" i="199" s="1"/>
  <c r="A92" i="199" s="1"/>
  <c r="A93" i="199" s="1"/>
  <c r="A94" i="199" s="1"/>
  <c r="A95" i="199" s="1"/>
  <c r="A96" i="199" s="1"/>
  <c r="A97" i="199" s="1"/>
  <c r="A98" i="199" s="1"/>
  <c r="A99" i="199" s="1"/>
  <c r="A100" i="199" s="1"/>
  <c r="A101" i="199" s="1"/>
  <c r="A102" i="199" s="1"/>
  <c r="A103" i="199" s="1"/>
  <c r="A104" i="199" s="1"/>
  <c r="A105" i="199" s="1"/>
  <c r="A106" i="199" s="1"/>
  <c r="A107" i="199" s="1"/>
  <c r="A108" i="199" s="1"/>
  <c r="A109" i="199" s="1"/>
  <c r="A110" i="199" s="1"/>
  <c r="A111" i="199" s="1"/>
  <c r="A112" i="199" s="1"/>
  <c r="A113" i="199" s="1"/>
  <c r="A121" i="199" s="1"/>
  <c r="A122" i="199" s="1"/>
  <c r="A123" i="199" s="1"/>
  <c r="A124" i="199" s="1"/>
  <c r="A125" i="199" s="1"/>
  <c r="A126" i="199" s="1"/>
  <c r="A127" i="199" s="1"/>
  <c r="A128" i="199" s="1"/>
  <c r="A129" i="199" s="1"/>
  <c r="A130" i="199" s="1"/>
  <c r="A131" i="199" s="1"/>
  <c r="A132" i="199" s="1"/>
  <c r="A133" i="199" s="1"/>
  <c r="A134" i="199" s="1"/>
  <c r="A135" i="199" s="1"/>
  <c r="A136" i="199" s="1"/>
  <c r="A137" i="199" s="1"/>
  <c r="A138" i="199" s="1"/>
  <c r="A139" i="199" s="1"/>
  <c r="A140" i="199" s="1"/>
  <c r="A141" i="199" s="1"/>
  <c r="A142" i="199" s="1"/>
  <c r="A143" i="199" s="1"/>
  <c r="A144" i="199" s="1"/>
  <c r="A145" i="199" s="1"/>
  <c r="A146" i="199" s="1"/>
  <c r="A152" i="199" s="1"/>
  <c r="A153" i="199" s="1"/>
  <c r="A154" i="199" s="1"/>
  <c r="A155" i="199" s="1"/>
  <c r="A156" i="199" s="1"/>
  <c r="A157" i="199" s="1"/>
  <c r="A158" i="199" s="1"/>
  <c r="A159" i="199" s="1"/>
  <c r="A160" i="199" s="1"/>
  <c r="A161" i="199" s="1"/>
  <c r="A162" i="199" s="1"/>
  <c r="A163" i="199" s="1"/>
  <c r="A164" i="199" s="1"/>
  <c r="A165" i="199" s="1"/>
  <c r="A166" i="199" s="1"/>
  <c r="A167" i="199" s="1"/>
  <c r="A168" i="199" s="1"/>
  <c r="A169" i="199" s="1"/>
  <c r="A170" i="199" s="1"/>
  <c r="A171" i="199" s="1"/>
  <c r="A172" i="199" s="1"/>
  <c r="A173" i="199" s="1"/>
  <c r="A174" i="199" s="1"/>
  <c r="A175" i="199" s="1"/>
  <c r="A176" i="199" s="1"/>
  <c r="A177" i="199" s="1"/>
  <c r="A185" i="199" s="1"/>
  <c r="A186" i="199" s="1"/>
  <c r="A187" i="199" s="1"/>
  <c r="A188" i="199" s="1"/>
  <c r="A189" i="199" s="1"/>
  <c r="A190" i="199" s="1"/>
  <c r="A191" i="199" s="1"/>
  <c r="A192" i="199" s="1"/>
  <c r="A193" i="199" s="1"/>
  <c r="A194" i="199" s="1"/>
  <c r="A195" i="199" s="1"/>
  <c r="A196" i="199" s="1"/>
  <c r="A197" i="199" s="1"/>
  <c r="A198" i="199" s="1"/>
  <c r="A199" i="199" s="1"/>
  <c r="A200" i="199" s="1"/>
  <c r="A201" i="199" s="1"/>
  <c r="A202" i="199" s="1"/>
  <c r="A203" i="199" s="1"/>
  <c r="A204" i="199" s="1"/>
  <c r="A205" i="199" s="1"/>
  <c r="A206" i="199" s="1"/>
  <c r="A207" i="199" s="1"/>
  <c r="A208" i="199" s="1"/>
  <c r="A209" i="199" s="1"/>
  <c r="A210" i="199" s="1"/>
  <c r="A216" i="199" s="1"/>
  <c r="A217" i="199" s="1"/>
  <c r="A218" i="199" s="1"/>
  <c r="A219" i="199" s="1"/>
  <c r="A220" i="199" s="1"/>
  <c r="A221" i="199" s="1"/>
  <c r="A222" i="199" s="1"/>
  <c r="A223" i="199" s="1"/>
  <c r="A224" i="199" s="1"/>
  <c r="A225" i="199" s="1"/>
  <c r="A226" i="199" s="1"/>
  <c r="A227" i="199" s="1"/>
  <c r="A228" i="199" s="1"/>
  <c r="A229" i="199" s="1"/>
  <c r="A230" i="199" s="1"/>
  <c r="A231" i="199" s="1"/>
  <c r="A232" i="199" s="1"/>
  <c r="A233" i="199" s="1"/>
  <c r="A234" i="199" s="1"/>
  <c r="A235" i="199" s="1"/>
  <c r="A236" i="199" s="1"/>
  <c r="A237" i="199" s="1"/>
  <c r="A238" i="199" s="1"/>
  <c r="A239" i="199" s="1"/>
  <c r="A240" i="199" s="1"/>
  <c r="A241" i="199" s="1"/>
  <c r="A249" i="199" s="1"/>
  <c r="A250" i="199" s="1"/>
  <c r="A251" i="199" s="1"/>
  <c r="A252" i="199" s="1"/>
  <c r="A253" i="199" s="1"/>
  <c r="A254" i="199" s="1"/>
  <c r="A255" i="199" s="1"/>
  <c r="A256" i="199" s="1"/>
  <c r="A257" i="199" s="1"/>
  <c r="A258" i="199" s="1"/>
  <c r="A259" i="199" s="1"/>
  <c r="A260" i="199" s="1"/>
  <c r="A261" i="199" s="1"/>
  <c r="A262" i="199" s="1"/>
  <c r="A263" i="199" s="1"/>
  <c r="A264" i="199" s="1"/>
  <c r="A265" i="199" s="1"/>
  <c r="A266" i="199" s="1"/>
  <c r="A267" i="199" s="1"/>
  <c r="A268" i="199" s="1"/>
  <c r="A269" i="199" s="1"/>
  <c r="A270" i="199" s="1"/>
  <c r="A271" i="199" s="1"/>
  <c r="A272" i="199" s="1"/>
  <c r="A273" i="199" s="1"/>
  <c r="A274" i="199" s="1"/>
  <c r="A280" i="199" s="1"/>
  <c r="A281" i="199" s="1"/>
  <c r="A282" i="199" s="1"/>
  <c r="A283" i="199" s="1"/>
  <c r="A284" i="199" s="1"/>
  <c r="A285" i="199" s="1"/>
  <c r="A286" i="199" s="1"/>
  <c r="A287" i="199" s="1"/>
  <c r="A288" i="199" s="1"/>
  <c r="A289" i="199" s="1"/>
  <c r="A290" i="199" s="1"/>
  <c r="A291" i="199" s="1"/>
  <c r="A292" i="199" s="1"/>
  <c r="A293" i="199" s="1"/>
  <c r="A294" i="199" s="1"/>
  <c r="A295" i="199" s="1"/>
  <c r="A296" i="199" s="1"/>
  <c r="A297" i="199" s="1"/>
  <c r="A298" i="199" s="1"/>
  <c r="A299" i="199" s="1"/>
  <c r="A300" i="199" s="1"/>
  <c r="A301" i="199" s="1"/>
  <c r="A302" i="199" s="1"/>
  <c r="A303" i="199" s="1"/>
  <c r="A304" i="199" s="1"/>
  <c r="A305" i="199" s="1"/>
  <c r="A313" i="199" s="1"/>
  <c r="A314" i="199" s="1"/>
  <c r="A315" i="199" s="1"/>
  <c r="A316" i="199" s="1"/>
  <c r="A317" i="199" s="1"/>
  <c r="A318" i="199" s="1"/>
  <c r="A319" i="199" s="1"/>
  <c r="A320" i="199" s="1"/>
  <c r="A321" i="199" s="1"/>
  <c r="A322" i="199" s="1"/>
  <c r="A323" i="199" s="1"/>
  <c r="A324" i="199" s="1"/>
  <c r="A325" i="199" s="1"/>
  <c r="A326" i="199" s="1"/>
  <c r="A327" i="199" s="1"/>
  <c r="A328" i="199" s="1"/>
  <c r="A329" i="199" s="1"/>
  <c r="A330" i="199" s="1"/>
  <c r="A331" i="199" s="1"/>
  <c r="A332" i="199" s="1"/>
  <c r="A333" i="199" s="1"/>
  <c r="A334" i="199" s="1"/>
  <c r="A335" i="199" s="1"/>
  <c r="A336" i="199" s="1"/>
  <c r="A337" i="199" s="1"/>
  <c r="A338" i="199" s="1"/>
  <c r="A344" i="199" s="1"/>
  <c r="A345" i="199" s="1"/>
  <c r="A346" i="199" s="1"/>
  <c r="A347" i="199" s="1"/>
  <c r="A348" i="199" s="1"/>
  <c r="A349" i="199" s="1"/>
  <c r="A350" i="199" s="1"/>
  <c r="A351" i="199" s="1"/>
  <c r="A352" i="199" s="1"/>
  <c r="A353" i="199" s="1"/>
  <c r="A354" i="199" s="1"/>
  <c r="A355" i="199" s="1"/>
  <c r="A356" i="199" s="1"/>
  <c r="A357" i="199" s="1"/>
  <c r="A358" i="199" s="1"/>
  <c r="A359" i="199" s="1"/>
  <c r="A360" i="199" s="1"/>
  <c r="A361" i="199" s="1"/>
  <c r="A362" i="199" s="1"/>
  <c r="A363" i="199" s="1"/>
  <c r="A364" i="199" s="1"/>
  <c r="A365" i="199" s="1"/>
  <c r="A366" i="199" s="1"/>
  <c r="A367" i="199" s="1"/>
  <c r="A368" i="199" s="1"/>
  <c r="A369" i="199" s="1"/>
  <c r="A377" i="199" s="1"/>
  <c r="A378" i="199" s="1"/>
  <c r="A379" i="199" s="1"/>
  <c r="A380" i="199" s="1"/>
  <c r="A381" i="199" s="1"/>
  <c r="A382" i="199" s="1"/>
  <c r="A383" i="199" s="1"/>
  <c r="A384" i="199" s="1"/>
  <c r="A385" i="199" s="1"/>
  <c r="A386" i="199" s="1"/>
  <c r="A387" i="199" s="1"/>
  <c r="A388" i="199" s="1"/>
  <c r="A389" i="199" s="1"/>
  <c r="A390" i="199" s="1"/>
  <c r="A391" i="199" s="1"/>
  <c r="A392" i="199" s="1"/>
  <c r="A393" i="199" s="1"/>
  <c r="A394" i="199" s="1"/>
  <c r="A395" i="199" s="1"/>
  <c r="A396" i="199" s="1"/>
  <c r="A397" i="199" s="1"/>
  <c r="A398" i="199" s="1"/>
  <c r="A399" i="199" s="1"/>
  <c r="A400" i="199" s="1"/>
  <c r="A401" i="199" s="1"/>
  <c r="A402" i="199" s="1"/>
  <c r="A410" i="199" s="1"/>
  <c r="A411" i="199" s="1"/>
  <c r="A412" i="199" s="1"/>
  <c r="A413" i="199" s="1"/>
  <c r="A414" i="199" s="1"/>
  <c r="A415" i="199" s="1"/>
  <c r="A416" i="199" s="1"/>
  <c r="A417" i="199" s="1"/>
  <c r="A418" i="199" s="1"/>
  <c r="A419" i="199" s="1"/>
  <c r="A420" i="199" s="1"/>
  <c r="A421" i="199" s="1"/>
  <c r="A422" i="199" s="1"/>
  <c r="A423" i="199" s="1"/>
  <c r="A424" i="199" s="1"/>
  <c r="A425" i="199" s="1"/>
  <c r="A426" i="199" s="1"/>
  <c r="A427" i="199" s="1"/>
  <c r="A428" i="199" s="1"/>
  <c r="A429" i="199" s="1"/>
  <c r="A430" i="199" s="1"/>
  <c r="A431" i="199" s="1"/>
  <c r="A432" i="199" s="1"/>
  <c r="A433" i="199" s="1"/>
  <c r="A434" i="199" s="1"/>
  <c r="A435" i="199" s="1"/>
  <c r="D13" i="199"/>
  <c r="F103" i="198"/>
  <c r="F98" i="198"/>
  <c r="F97" i="198"/>
  <c r="F96" i="198"/>
  <c r="E96" i="198"/>
  <c r="F95" i="198"/>
  <c r="E95" i="198"/>
  <c r="J86" i="198"/>
  <c r="F84" i="198"/>
  <c r="E84" i="198"/>
  <c r="G71" i="198"/>
  <c r="E71" i="198"/>
  <c r="G69" i="198"/>
  <c r="E69" i="198"/>
  <c r="J62" i="198"/>
  <c r="H62" i="198"/>
  <c r="J59" i="198"/>
  <c r="H59" i="198"/>
  <c r="J58" i="198"/>
  <c r="H58" i="198"/>
  <c r="J55" i="198"/>
  <c r="H55" i="198"/>
  <c r="J54" i="198"/>
  <c r="H54" i="198"/>
  <c r="J53" i="198"/>
  <c r="H53" i="198"/>
  <c r="J52" i="198"/>
  <c r="H52" i="198"/>
  <c r="J51" i="198"/>
  <c r="H51" i="198"/>
  <c r="J50" i="198"/>
  <c r="H50" i="198"/>
  <c r="J49" i="198"/>
  <c r="H49" i="198"/>
  <c r="J48" i="198"/>
  <c r="H48" i="198"/>
  <c r="J45" i="198"/>
  <c r="H45" i="198"/>
  <c r="J44" i="198"/>
  <c r="H44" i="198"/>
  <c r="J43" i="198"/>
  <c r="H43" i="198"/>
  <c r="H42" i="198"/>
  <c r="H41" i="198"/>
  <c r="H33" i="198"/>
  <c r="A33" i="198"/>
  <c r="H34" i="198" s="1"/>
  <c r="J27" i="198"/>
  <c r="H27" i="198"/>
  <c r="J26" i="198"/>
  <c r="H26" i="198"/>
  <c r="J25" i="198"/>
  <c r="H25" i="198"/>
  <c r="J24" i="198"/>
  <c r="H24" i="198"/>
  <c r="J23" i="198"/>
  <c r="H23" i="198"/>
  <c r="J20" i="198"/>
  <c r="H20" i="198"/>
  <c r="J19" i="198"/>
  <c r="H19" i="198"/>
  <c r="J18" i="198"/>
  <c r="H18" i="198"/>
  <c r="J14" i="198"/>
  <c r="H14" i="198"/>
  <c r="J13" i="198"/>
  <c r="H13" i="198"/>
  <c r="J12" i="198"/>
  <c r="H12" i="198"/>
  <c r="J9" i="198"/>
  <c r="H9" i="198"/>
  <c r="J8" i="198"/>
  <c r="H8" i="198"/>
  <c r="A8" i="198"/>
  <c r="J7" i="198"/>
  <c r="H7" i="198"/>
  <c r="A7" i="198"/>
  <c r="J6" i="198"/>
  <c r="H6" i="198"/>
  <c r="D6" i="197"/>
  <c r="C108" i="196"/>
  <c r="F70" i="196"/>
  <c r="E70" i="196"/>
  <c r="F64" i="196"/>
  <c r="E64" i="196"/>
  <c r="G58" i="196"/>
  <c r="G37" i="196" s="1"/>
  <c r="D37" i="196" s="1"/>
  <c r="G6" i="196" s="1"/>
  <c r="H6" i="196" s="1"/>
  <c r="H57" i="196"/>
  <c r="G57" i="196"/>
  <c r="D50" i="196"/>
  <c r="D49" i="196"/>
  <c r="D48" i="196"/>
  <c r="D47" i="196"/>
  <c r="G16" i="196" s="1"/>
  <c r="H16" i="196" s="1"/>
  <c r="D46" i="196"/>
  <c r="D45" i="196"/>
  <c r="G14" i="196" s="1"/>
  <c r="H14" i="196" s="1"/>
  <c r="F44" i="196"/>
  <c r="D44" i="196" s="1"/>
  <c r="G13" i="196" s="1"/>
  <c r="H13" i="196" s="1"/>
  <c r="H43" i="196"/>
  <c r="D43" i="196"/>
  <c r="D42" i="196"/>
  <c r="D41" i="196"/>
  <c r="D40" i="196"/>
  <c r="G9" i="196" s="1"/>
  <c r="H9" i="196" s="1"/>
  <c r="D39" i="196"/>
  <c r="G8" i="196" s="1"/>
  <c r="H8" i="196" s="1"/>
  <c r="D38" i="196"/>
  <c r="G7" i="196" s="1"/>
  <c r="H7" i="196" s="1"/>
  <c r="G28" i="196"/>
  <c r="F28" i="196"/>
  <c r="G26" i="196"/>
  <c r="F26" i="196"/>
  <c r="F24" i="196"/>
  <c r="E20" i="196"/>
  <c r="G19" i="196"/>
  <c r="H19" i="196" s="1"/>
  <c r="G18" i="196"/>
  <c r="H18" i="196" s="1"/>
  <c r="H17" i="196"/>
  <c r="G17" i="196"/>
  <c r="H15" i="196"/>
  <c r="G15" i="196"/>
  <c r="G12" i="196"/>
  <c r="H12" i="196" s="1"/>
  <c r="G11" i="196"/>
  <c r="H11" i="196" s="1"/>
  <c r="G10" i="196"/>
  <c r="H10" i="196" s="1"/>
  <c r="A7" i="196"/>
  <c r="A8" i="196" s="1"/>
  <c r="A9" i="196" s="1"/>
  <c r="A10" i="196" s="1"/>
  <c r="F103" i="195"/>
  <c r="F98" i="195"/>
  <c r="F97" i="195"/>
  <c r="F96" i="195"/>
  <c r="E96" i="195"/>
  <c r="F95" i="195"/>
  <c r="E95" i="195"/>
  <c r="J86" i="195"/>
  <c r="F84" i="195"/>
  <c r="E84" i="195"/>
  <c r="G71" i="195"/>
  <c r="E71" i="195"/>
  <c r="G69" i="195"/>
  <c r="E69" i="195"/>
  <c r="J62" i="195"/>
  <c r="H62" i="195"/>
  <c r="J59" i="195"/>
  <c r="H59" i="195"/>
  <c r="J58" i="195"/>
  <c r="H58" i="195"/>
  <c r="J55" i="195"/>
  <c r="H55" i="195"/>
  <c r="J54" i="195"/>
  <c r="H54" i="195"/>
  <c r="J53" i="195"/>
  <c r="H53" i="195"/>
  <c r="J52" i="195"/>
  <c r="H52" i="195"/>
  <c r="J51" i="195"/>
  <c r="H51" i="195"/>
  <c r="J50" i="195"/>
  <c r="H50" i="195"/>
  <c r="J49" i="195"/>
  <c r="H49" i="195"/>
  <c r="J48" i="195"/>
  <c r="H48" i="195"/>
  <c r="J45" i="195"/>
  <c r="H45" i="195"/>
  <c r="J44" i="195"/>
  <c r="H44" i="195"/>
  <c r="J43" i="195"/>
  <c r="H43" i="195"/>
  <c r="H42" i="195"/>
  <c r="H41" i="195"/>
  <c r="H33" i="195"/>
  <c r="A33" i="195"/>
  <c r="H34" i="195" s="1"/>
  <c r="J27" i="195"/>
  <c r="H27" i="195"/>
  <c r="J26" i="195"/>
  <c r="H26" i="195"/>
  <c r="J25" i="195"/>
  <c r="H25" i="195"/>
  <c r="J24" i="195"/>
  <c r="H24" i="195"/>
  <c r="J23" i="195"/>
  <c r="H23" i="195"/>
  <c r="J20" i="195"/>
  <c r="H20" i="195"/>
  <c r="J19" i="195"/>
  <c r="H19" i="195"/>
  <c r="J18" i="195"/>
  <c r="H18" i="195"/>
  <c r="J14" i="195"/>
  <c r="H14" i="195"/>
  <c r="J13" i="195"/>
  <c r="H13" i="195"/>
  <c r="J12" i="195"/>
  <c r="H12" i="195"/>
  <c r="J9" i="195"/>
  <c r="H9" i="195"/>
  <c r="J8" i="195"/>
  <c r="H8" i="195"/>
  <c r="A8" i="195"/>
  <c r="A9" i="195" s="1"/>
  <c r="A12" i="195" s="1"/>
  <c r="J7" i="195"/>
  <c r="H7" i="195"/>
  <c r="A7" i="195"/>
  <c r="J6" i="195"/>
  <c r="H6" i="195"/>
  <c r="D6" i="194"/>
  <c r="E60" i="199" l="1"/>
  <c r="F75" i="199"/>
  <c r="I78" i="199"/>
  <c r="I73" i="199"/>
  <c r="I72" i="199"/>
  <c r="A34" i="195"/>
  <c r="H56" i="195" s="1"/>
  <c r="I59" i="199"/>
  <c r="I71" i="199"/>
  <c r="I66" i="199"/>
  <c r="E87" i="198"/>
  <c r="E97" i="198" s="1"/>
  <c r="E56" i="199"/>
  <c r="E72" i="199"/>
  <c r="J122" i="199"/>
  <c r="I65" i="199"/>
  <c r="I55" i="199"/>
  <c r="I68" i="199"/>
  <c r="E71" i="199"/>
  <c r="F67" i="199"/>
  <c r="E87" i="195"/>
  <c r="E97" i="195" s="1"/>
  <c r="D26" i="199"/>
  <c r="I62" i="199"/>
  <c r="I69" i="199"/>
  <c r="I58" i="199"/>
  <c r="F59" i="199"/>
  <c r="A34" i="198"/>
  <c r="H56" i="198" s="1"/>
  <c r="E69" i="199"/>
  <c r="I74" i="199"/>
  <c r="I56" i="199"/>
  <c r="F74" i="199"/>
  <c r="F60" i="199"/>
  <c r="K122" i="199"/>
  <c r="J123" i="199"/>
  <c r="J124" i="199" s="1"/>
  <c r="J125" i="199" s="1"/>
  <c r="F69" i="199"/>
  <c r="F58" i="199"/>
  <c r="F90" i="199"/>
  <c r="F56" i="199" s="1"/>
  <c r="F29" i="196"/>
  <c r="E64" i="199"/>
  <c r="E76" i="199"/>
  <c r="F64" i="199"/>
  <c r="F68" i="199"/>
  <c r="F203" i="199"/>
  <c r="F72" i="199" s="1"/>
  <c r="F73" i="199"/>
  <c r="E59" i="199"/>
  <c r="E73" i="199"/>
  <c r="F78" i="199"/>
  <c r="F71" i="199"/>
  <c r="F57" i="199"/>
  <c r="J21" i="195"/>
  <c r="J21" i="198"/>
  <c r="E75" i="199"/>
  <c r="I75" i="199"/>
  <c r="F66" i="199"/>
  <c r="F63" i="199"/>
  <c r="F61" i="199"/>
  <c r="I67" i="199"/>
  <c r="F70" i="199"/>
  <c r="F77" i="199"/>
  <c r="J153" i="199"/>
  <c r="K153" i="199" s="1"/>
  <c r="I76" i="199"/>
  <c r="E68" i="199"/>
  <c r="F65" i="199"/>
  <c r="F76" i="199"/>
  <c r="J15" i="195"/>
  <c r="J15" i="198"/>
  <c r="J29" i="198" s="1"/>
  <c r="E65" i="199"/>
  <c r="E67" i="199"/>
  <c r="I70" i="199"/>
  <c r="I77" i="199"/>
  <c r="F62" i="199"/>
  <c r="J378" i="199"/>
  <c r="K378" i="199" s="1"/>
  <c r="A11" i="200"/>
  <c r="A12" i="200" s="1"/>
  <c r="A13" i="200" s="1"/>
  <c r="A14" i="200" s="1"/>
  <c r="A15" i="200" s="1"/>
  <c r="A16" i="200" s="1"/>
  <c r="A17" i="200" s="1"/>
  <c r="A18" i="200" s="1"/>
  <c r="A19" i="200" s="1"/>
  <c r="G24" i="200"/>
  <c r="H20" i="200"/>
  <c r="F23" i="200" s="1"/>
  <c r="F25" i="200" s="1"/>
  <c r="F27" i="200" s="1"/>
  <c r="F30" i="200" s="1"/>
  <c r="E61" i="199"/>
  <c r="E77" i="199"/>
  <c r="E78" i="199"/>
  <c r="J89" i="199"/>
  <c r="K123" i="199"/>
  <c r="E62" i="199"/>
  <c r="E70" i="199"/>
  <c r="J154" i="199"/>
  <c r="E55" i="199"/>
  <c r="E63" i="199"/>
  <c r="K250" i="199"/>
  <c r="J251" i="199"/>
  <c r="J282" i="199"/>
  <c r="K281" i="199"/>
  <c r="F55" i="199"/>
  <c r="K186" i="199"/>
  <c r="J187" i="199"/>
  <c r="E58" i="199"/>
  <c r="E66" i="199"/>
  <c r="E74" i="199"/>
  <c r="J218" i="199"/>
  <c r="K217" i="199"/>
  <c r="K314" i="199"/>
  <c r="J315" i="199"/>
  <c r="J412" i="199"/>
  <c r="K411" i="199"/>
  <c r="J345" i="199"/>
  <c r="E98" i="198"/>
  <c r="J33" i="198" s="1"/>
  <c r="E103" i="198"/>
  <c r="J42" i="198" s="1"/>
  <c r="A9" i="198"/>
  <c r="A12" i="198" s="1"/>
  <c r="A38" i="198"/>
  <c r="H20" i="196"/>
  <c r="F23" i="196" s="1"/>
  <c r="F25" i="196" s="1"/>
  <c r="F27" i="196" s="1"/>
  <c r="F30" i="196" s="1"/>
  <c r="A11" i="196"/>
  <c r="A12" i="196" s="1"/>
  <c r="A13" i="196" s="1"/>
  <c r="A14" i="196" s="1"/>
  <c r="A15" i="196" s="1"/>
  <c r="A16" i="196" s="1"/>
  <c r="A17" i="196" s="1"/>
  <c r="A18" i="196" s="1"/>
  <c r="A19" i="196" s="1"/>
  <c r="G24" i="196"/>
  <c r="A13" i="195"/>
  <c r="A14" i="195" s="1"/>
  <c r="A15" i="195" s="1"/>
  <c r="A18" i="195" s="1"/>
  <c r="E98" i="195"/>
  <c r="J33" i="195" s="1"/>
  <c r="E103" i="195"/>
  <c r="J42" i="195" s="1"/>
  <c r="H15" i="195" l="1"/>
  <c r="J29" i="195"/>
  <c r="J41" i="195" s="1"/>
  <c r="A38" i="195"/>
  <c r="H57" i="195" s="1"/>
  <c r="K124" i="199"/>
  <c r="J41" i="198"/>
  <c r="J34" i="198"/>
  <c r="J56" i="198" s="1"/>
  <c r="J38" i="195"/>
  <c r="J57" i="195" s="1"/>
  <c r="J34" i="195"/>
  <c r="J56" i="195" s="1"/>
  <c r="J60" i="195" s="1"/>
  <c r="J64" i="195" s="1"/>
  <c r="E68" i="195" s="1"/>
  <c r="J379" i="199"/>
  <c r="J38" i="198"/>
  <c r="J57" i="198" s="1"/>
  <c r="C76" i="200"/>
  <c r="A20" i="200"/>
  <c r="K345" i="199"/>
  <c r="J346" i="199"/>
  <c r="J219" i="199"/>
  <c r="K218" i="199"/>
  <c r="J283" i="199"/>
  <c r="K282" i="199"/>
  <c r="K251" i="199"/>
  <c r="J252" i="199"/>
  <c r="K412" i="199"/>
  <c r="J413" i="199"/>
  <c r="J90" i="199"/>
  <c r="K89" i="199"/>
  <c r="J55" i="199"/>
  <c r="K379" i="199"/>
  <c r="J380" i="199"/>
  <c r="K187" i="199"/>
  <c r="J188" i="199"/>
  <c r="K315" i="199"/>
  <c r="J316" i="199"/>
  <c r="J155" i="199"/>
  <c r="K154" i="199"/>
  <c r="K125" i="199"/>
  <c r="J126" i="199"/>
  <c r="A13" i="198"/>
  <c r="A14" i="198" s="1"/>
  <c r="A15" i="198" s="1"/>
  <c r="A18" i="198" s="1"/>
  <c r="H57" i="198"/>
  <c r="A41" i="198"/>
  <c r="A42" i="198" s="1"/>
  <c r="A43" i="198" s="1"/>
  <c r="A44" i="198" s="1"/>
  <c r="A45" i="198" s="1"/>
  <c r="A48" i="198" s="1"/>
  <c r="C76" i="196"/>
  <c r="A20" i="196"/>
  <c r="A19" i="195"/>
  <c r="A20" i="195" s="1"/>
  <c r="A21" i="195" s="1"/>
  <c r="H21" i="195"/>
  <c r="A41" i="195" l="1"/>
  <c r="A42" i="195" s="1"/>
  <c r="A43" i="195" s="1"/>
  <c r="A44" i="195" s="1"/>
  <c r="A45" i="195" s="1"/>
  <c r="A48" i="195" s="1"/>
  <c r="J60" i="198"/>
  <c r="J64" i="198" s="1"/>
  <c r="E68" i="198" s="1"/>
  <c r="G23" i="200"/>
  <c r="A23" i="200"/>
  <c r="K380" i="199"/>
  <c r="J381" i="199"/>
  <c r="J253" i="199"/>
  <c r="K252" i="199"/>
  <c r="J284" i="199"/>
  <c r="K283" i="199"/>
  <c r="K126" i="199"/>
  <c r="J127" i="199"/>
  <c r="K155" i="199"/>
  <c r="J156" i="199"/>
  <c r="K55" i="199"/>
  <c r="K188" i="199"/>
  <c r="J189" i="199"/>
  <c r="K316" i="199"/>
  <c r="J317" i="199"/>
  <c r="K90" i="199"/>
  <c r="J91" i="199"/>
  <c r="J56" i="199"/>
  <c r="J220" i="199"/>
  <c r="K219" i="199"/>
  <c r="J414" i="199"/>
  <c r="K413" i="199"/>
  <c r="J347" i="199"/>
  <c r="K346" i="199"/>
  <c r="A49" i="198"/>
  <c r="A51" i="198" s="1"/>
  <c r="A52" i="198" s="1"/>
  <c r="A53" i="198" s="1"/>
  <c r="A54" i="198" s="1"/>
  <c r="A55" i="198" s="1"/>
  <c r="A56" i="198" s="1"/>
  <c r="A57" i="198" s="1"/>
  <c r="A58" i="198" s="1"/>
  <c r="A59" i="198" s="1"/>
  <c r="A60" i="198" s="1"/>
  <c r="H15" i="198"/>
  <c r="A19" i="198"/>
  <c r="A20" i="198" s="1"/>
  <c r="A21" i="198" s="1"/>
  <c r="G23" i="196"/>
  <c r="A23" i="196"/>
  <c r="A23" i="195"/>
  <c r="H29" i="195"/>
  <c r="A49" i="195"/>
  <c r="A51" i="195" s="1"/>
  <c r="A52" i="195" s="1"/>
  <c r="A53" i="195" s="1"/>
  <c r="A54" i="195" s="1"/>
  <c r="A55" i="195" s="1"/>
  <c r="A56" i="195" s="1"/>
  <c r="A57" i="195" s="1"/>
  <c r="A58" i="195" s="1"/>
  <c r="A59" i="195" s="1"/>
  <c r="A60" i="195" s="1"/>
  <c r="E70" i="195"/>
  <c r="E72" i="195"/>
  <c r="H60" i="195" l="1"/>
  <c r="K56" i="199"/>
  <c r="E73" i="195"/>
  <c r="J70" i="195" s="1"/>
  <c r="J72" i="195" s="1"/>
  <c r="E70" i="198"/>
  <c r="E72" i="198"/>
  <c r="E73" i="198" s="1"/>
  <c r="J70" i="198" s="1"/>
  <c r="J72" i="198" s="1"/>
  <c r="A24" i="200"/>
  <c r="A25" i="200" s="1"/>
  <c r="K347" i="199"/>
  <c r="J348" i="199"/>
  <c r="J128" i="199"/>
  <c r="K127" i="199"/>
  <c r="K414" i="199"/>
  <c r="J415" i="199"/>
  <c r="K284" i="199"/>
  <c r="J285" i="199"/>
  <c r="K317" i="199"/>
  <c r="J318" i="199"/>
  <c r="K189" i="199"/>
  <c r="J190" i="199"/>
  <c r="J92" i="199"/>
  <c r="K91" i="199"/>
  <c r="J57" i="199"/>
  <c r="K220" i="199"/>
  <c r="J221" i="199"/>
  <c r="K253" i="199"/>
  <c r="J254" i="199"/>
  <c r="J157" i="199"/>
  <c r="K156" i="199"/>
  <c r="J382" i="199"/>
  <c r="K381" i="199"/>
  <c r="H21" i="198"/>
  <c r="A23" i="198"/>
  <c r="H29" i="198"/>
  <c r="A62" i="198"/>
  <c r="A64" i="198" s="1"/>
  <c r="H60" i="198"/>
  <c r="A24" i="196"/>
  <c r="A25" i="196" s="1"/>
  <c r="A24" i="195"/>
  <c r="A25" i="195" s="1"/>
  <c r="H30" i="195"/>
  <c r="A62" i="195"/>
  <c r="A64" i="195" s="1"/>
  <c r="H64" i="195" l="1"/>
  <c r="A26" i="200"/>
  <c r="A27" i="200" s="1"/>
  <c r="G25" i="200"/>
  <c r="K57" i="199"/>
  <c r="J93" i="199"/>
  <c r="K92" i="199"/>
  <c r="J58" i="199"/>
  <c r="J416" i="199"/>
  <c r="K415" i="199"/>
  <c r="J158" i="199"/>
  <c r="K157" i="199"/>
  <c r="K190" i="199"/>
  <c r="J191" i="199"/>
  <c r="J222" i="199"/>
  <c r="K221" i="199"/>
  <c r="J286" i="199"/>
  <c r="K285" i="199"/>
  <c r="K382" i="199"/>
  <c r="J383" i="199"/>
  <c r="K254" i="199"/>
  <c r="J255" i="199"/>
  <c r="K128" i="199"/>
  <c r="J129" i="199"/>
  <c r="K318" i="199"/>
  <c r="J319" i="199"/>
  <c r="K348" i="199"/>
  <c r="J349" i="199"/>
  <c r="A68" i="198"/>
  <c r="G68" i="198"/>
  <c r="A24" i="198"/>
  <c r="A25" i="198" s="1"/>
  <c r="H64" i="198"/>
  <c r="A26" i="196"/>
  <c r="A27" i="196" s="1"/>
  <c r="G25" i="196"/>
  <c r="A68" i="195"/>
  <c r="G68" i="195"/>
  <c r="G27" i="196" l="1"/>
  <c r="A28" i="200"/>
  <c r="G27" i="200"/>
  <c r="J159" i="199"/>
  <c r="K158" i="199"/>
  <c r="K349" i="199"/>
  <c r="J350" i="199"/>
  <c r="J287" i="199"/>
  <c r="K286" i="199"/>
  <c r="K416" i="199"/>
  <c r="J417" i="199"/>
  <c r="K383" i="199"/>
  <c r="J384" i="199"/>
  <c r="K319" i="199"/>
  <c r="J320" i="199"/>
  <c r="K129" i="199"/>
  <c r="J130" i="199"/>
  <c r="J223" i="199"/>
  <c r="K222" i="199"/>
  <c r="K58" i="199"/>
  <c r="K255" i="199"/>
  <c r="J256" i="199"/>
  <c r="K191" i="199"/>
  <c r="J192" i="199"/>
  <c r="J94" i="199"/>
  <c r="J59" i="199"/>
  <c r="K93" i="199"/>
  <c r="A69" i="198"/>
  <c r="A70" i="198" s="1"/>
  <c r="H30" i="198"/>
  <c r="A28" i="196"/>
  <c r="A69" i="195"/>
  <c r="A70" i="195" s="1"/>
  <c r="K59" i="199" l="1"/>
  <c r="A29" i="200"/>
  <c r="G29" i="200"/>
  <c r="K192" i="199"/>
  <c r="J193" i="199"/>
  <c r="J288" i="199"/>
  <c r="K287" i="199"/>
  <c r="K159" i="199"/>
  <c r="J160" i="199"/>
  <c r="J224" i="199"/>
  <c r="K223" i="199"/>
  <c r="K320" i="199"/>
  <c r="J321" i="199"/>
  <c r="J351" i="199"/>
  <c r="K350" i="199"/>
  <c r="J418" i="199"/>
  <c r="K417" i="199"/>
  <c r="K94" i="199"/>
  <c r="J60" i="199"/>
  <c r="J95" i="199"/>
  <c r="K130" i="199"/>
  <c r="J131" i="199"/>
  <c r="J257" i="199"/>
  <c r="K256" i="199"/>
  <c r="K384" i="199"/>
  <c r="J385" i="199"/>
  <c r="A71" i="198"/>
  <c r="A72" i="198" s="1"/>
  <c r="A73" i="198" s="1"/>
  <c r="G70" i="198"/>
  <c r="A29" i="196"/>
  <c r="G29" i="196"/>
  <c r="A71" i="195"/>
  <c r="A72" i="195" s="1"/>
  <c r="A73" i="195" s="1"/>
  <c r="G70" i="195"/>
  <c r="G73" i="195" l="1"/>
  <c r="K60" i="199"/>
  <c r="A30" i="200"/>
  <c r="A37" i="200" s="1"/>
  <c r="G30" i="200"/>
  <c r="K224" i="199"/>
  <c r="J225" i="199"/>
  <c r="J96" i="199"/>
  <c r="J61" i="199"/>
  <c r="K95" i="199"/>
  <c r="K418" i="199"/>
  <c r="J419" i="199"/>
  <c r="J386" i="199"/>
  <c r="K385" i="199"/>
  <c r="J161" i="199"/>
  <c r="K160" i="199"/>
  <c r="K257" i="199"/>
  <c r="J258" i="199"/>
  <c r="K131" i="199"/>
  <c r="J132" i="199"/>
  <c r="K351" i="199"/>
  <c r="J352" i="199"/>
  <c r="K288" i="199"/>
  <c r="J289" i="199"/>
  <c r="K321" i="199"/>
  <c r="J322" i="199"/>
  <c r="K193" i="199"/>
  <c r="J194" i="199"/>
  <c r="G73" i="198"/>
  <c r="G72" i="198"/>
  <c r="A30" i="196"/>
  <c r="A37" i="196" s="1"/>
  <c r="G30" i="196"/>
  <c r="G72" i="195"/>
  <c r="G77" i="200" l="1"/>
  <c r="A38" i="200"/>
  <c r="A39" i="200" s="1"/>
  <c r="A40" i="200" s="1"/>
  <c r="A41" i="200" s="1"/>
  <c r="A42" i="200" s="1"/>
  <c r="A43" i="200" s="1"/>
  <c r="J420" i="199"/>
  <c r="K419" i="199"/>
  <c r="K194" i="199"/>
  <c r="J195" i="199"/>
  <c r="K386" i="199"/>
  <c r="J387" i="199"/>
  <c r="K258" i="199"/>
  <c r="J259" i="199"/>
  <c r="K61" i="199"/>
  <c r="K352" i="199"/>
  <c r="J353" i="199"/>
  <c r="K322" i="199"/>
  <c r="J323" i="199"/>
  <c r="K132" i="199"/>
  <c r="J133" i="199"/>
  <c r="J290" i="199"/>
  <c r="K289" i="199"/>
  <c r="J97" i="199"/>
  <c r="J62" i="199"/>
  <c r="K96" i="199"/>
  <c r="K62" i="199" s="1"/>
  <c r="J162" i="199"/>
  <c r="K161" i="199"/>
  <c r="J226" i="199"/>
  <c r="K225" i="199"/>
  <c r="A38" i="196"/>
  <c r="A39" i="196" s="1"/>
  <c r="A40" i="196" s="1"/>
  <c r="A41" i="196" s="1"/>
  <c r="A42" i="196" s="1"/>
  <c r="A43" i="196" s="1"/>
  <c r="G77" i="196"/>
  <c r="C78" i="200" l="1"/>
  <c r="A44" i="200"/>
  <c r="J227" i="199"/>
  <c r="K226" i="199"/>
  <c r="J291" i="199"/>
  <c r="K290" i="199"/>
  <c r="K387" i="199"/>
  <c r="J388" i="199"/>
  <c r="K420" i="199"/>
  <c r="J421" i="199"/>
  <c r="K133" i="199"/>
  <c r="J134" i="199"/>
  <c r="J163" i="199"/>
  <c r="K162" i="199"/>
  <c r="K323" i="199"/>
  <c r="J324" i="199"/>
  <c r="K195" i="199"/>
  <c r="J196" i="199"/>
  <c r="K259" i="199"/>
  <c r="J260" i="199"/>
  <c r="K353" i="199"/>
  <c r="J354" i="199"/>
  <c r="J98" i="199"/>
  <c r="J63" i="199"/>
  <c r="K97" i="199"/>
  <c r="C78" i="196"/>
  <c r="A44" i="196"/>
  <c r="K63" i="199" l="1"/>
  <c r="C72" i="200"/>
  <c r="A45" i="200"/>
  <c r="A46" i="200" s="1"/>
  <c r="A47" i="200" s="1"/>
  <c r="A48" i="200" s="1"/>
  <c r="A49" i="200" s="1"/>
  <c r="A50" i="200" s="1"/>
  <c r="J228" i="199"/>
  <c r="K227" i="199"/>
  <c r="K196" i="199"/>
  <c r="J197" i="199"/>
  <c r="K324" i="199"/>
  <c r="J325" i="199"/>
  <c r="K98" i="199"/>
  <c r="J99" i="199"/>
  <c r="J64" i="199"/>
  <c r="J355" i="199"/>
  <c r="K354" i="199"/>
  <c r="K163" i="199"/>
  <c r="J164" i="199"/>
  <c r="J292" i="199"/>
  <c r="K291" i="199"/>
  <c r="J422" i="199"/>
  <c r="K421" i="199"/>
  <c r="K388" i="199"/>
  <c r="J389" i="199"/>
  <c r="J261" i="199"/>
  <c r="K260" i="199"/>
  <c r="K134" i="199"/>
  <c r="J135" i="199"/>
  <c r="C72" i="196"/>
  <c r="A45" i="196"/>
  <c r="A46" i="196" s="1"/>
  <c r="A47" i="196" s="1"/>
  <c r="A48" i="196" s="1"/>
  <c r="A49" i="196" s="1"/>
  <c r="A50" i="196" s="1"/>
  <c r="K64" i="199" l="1"/>
  <c r="J100" i="199"/>
  <c r="K99" i="199"/>
  <c r="J65" i="199"/>
  <c r="J390" i="199"/>
  <c r="K389" i="199"/>
  <c r="K325" i="199"/>
  <c r="J326" i="199"/>
  <c r="K261" i="199"/>
  <c r="J262" i="199"/>
  <c r="K197" i="199"/>
  <c r="J198" i="199"/>
  <c r="K355" i="199"/>
  <c r="J356" i="199"/>
  <c r="K422" i="199"/>
  <c r="J423" i="199"/>
  <c r="K135" i="199"/>
  <c r="J136" i="199"/>
  <c r="K292" i="199"/>
  <c r="J293" i="199"/>
  <c r="J165" i="199"/>
  <c r="K164" i="199"/>
  <c r="K228" i="199"/>
  <c r="J229" i="199"/>
  <c r="J166" i="199" l="1"/>
  <c r="K165" i="199"/>
  <c r="K390" i="199"/>
  <c r="J391" i="199"/>
  <c r="K229" i="199"/>
  <c r="J230" i="199"/>
  <c r="K326" i="199"/>
  <c r="J327" i="199"/>
  <c r="J294" i="199"/>
  <c r="K293" i="199"/>
  <c r="K198" i="199"/>
  <c r="J199" i="199"/>
  <c r="K65" i="199"/>
  <c r="J424" i="199"/>
  <c r="K423" i="199"/>
  <c r="K356" i="199"/>
  <c r="J357" i="199"/>
  <c r="K136" i="199"/>
  <c r="J137" i="199"/>
  <c r="K262" i="199"/>
  <c r="J263" i="199"/>
  <c r="J101" i="199"/>
  <c r="K100" i="199"/>
  <c r="J66" i="199"/>
  <c r="K66" i="199" l="1"/>
  <c r="K327" i="199"/>
  <c r="J328" i="199"/>
  <c r="J167" i="199"/>
  <c r="K166" i="199"/>
  <c r="J102" i="199"/>
  <c r="K101" i="199"/>
  <c r="K67" i="199" s="1"/>
  <c r="J67" i="199"/>
  <c r="K263" i="199"/>
  <c r="J264" i="199"/>
  <c r="K424" i="199"/>
  <c r="J425" i="199"/>
  <c r="K199" i="199"/>
  <c r="J200" i="199"/>
  <c r="K391" i="199"/>
  <c r="J392" i="199"/>
  <c r="J295" i="199"/>
  <c r="K294" i="199"/>
  <c r="K137" i="199"/>
  <c r="J138" i="199"/>
  <c r="K357" i="199"/>
  <c r="J358" i="199"/>
  <c r="K230" i="199"/>
  <c r="J231" i="199"/>
  <c r="J296" i="199" l="1"/>
  <c r="K295" i="199"/>
  <c r="K392" i="199"/>
  <c r="J393" i="199"/>
  <c r="K231" i="199"/>
  <c r="J232" i="199"/>
  <c r="K102" i="199"/>
  <c r="J68" i="199"/>
  <c r="J103" i="199"/>
  <c r="K200" i="199"/>
  <c r="J201" i="199"/>
  <c r="K138" i="199"/>
  <c r="J139" i="199"/>
  <c r="J426" i="199"/>
  <c r="K425" i="199"/>
  <c r="J359" i="199"/>
  <c r="K358" i="199"/>
  <c r="K167" i="199"/>
  <c r="J168" i="199"/>
  <c r="J265" i="199"/>
  <c r="K264" i="199"/>
  <c r="K328" i="199"/>
  <c r="J329" i="199"/>
  <c r="K139" i="199" l="1"/>
  <c r="J140" i="199"/>
  <c r="K329" i="199"/>
  <c r="J330" i="199"/>
  <c r="K426" i="199"/>
  <c r="J427" i="199"/>
  <c r="K201" i="199"/>
  <c r="J202" i="199"/>
  <c r="J394" i="199"/>
  <c r="K393" i="199"/>
  <c r="K359" i="199"/>
  <c r="J360" i="199"/>
  <c r="J104" i="199"/>
  <c r="K103" i="199"/>
  <c r="J69" i="199"/>
  <c r="K265" i="199"/>
  <c r="J266" i="199"/>
  <c r="K232" i="199"/>
  <c r="J233" i="199"/>
  <c r="J169" i="199"/>
  <c r="K168" i="199"/>
  <c r="K68" i="199"/>
  <c r="K296" i="199"/>
  <c r="J297" i="199"/>
  <c r="J105" i="199" l="1"/>
  <c r="J70" i="199"/>
  <c r="K104" i="199"/>
  <c r="K360" i="199"/>
  <c r="J361" i="199"/>
  <c r="K330" i="199"/>
  <c r="J331" i="199"/>
  <c r="J170" i="199"/>
  <c r="K169" i="199"/>
  <c r="J428" i="199"/>
  <c r="K427" i="199"/>
  <c r="K233" i="199"/>
  <c r="J234" i="199"/>
  <c r="K140" i="199"/>
  <c r="J141" i="199"/>
  <c r="J298" i="199"/>
  <c r="K297" i="199"/>
  <c r="K266" i="199"/>
  <c r="J267" i="199"/>
  <c r="K394" i="199"/>
  <c r="J395" i="199"/>
  <c r="K69" i="199"/>
  <c r="K202" i="199"/>
  <c r="J203" i="199"/>
  <c r="J171" i="199" l="1"/>
  <c r="K170" i="199"/>
  <c r="K361" i="199"/>
  <c r="J362" i="199"/>
  <c r="K331" i="199"/>
  <c r="J332" i="199"/>
  <c r="K267" i="199"/>
  <c r="J268" i="199"/>
  <c r="K141" i="199"/>
  <c r="J142" i="199"/>
  <c r="K395" i="199"/>
  <c r="J396" i="199"/>
  <c r="K203" i="199"/>
  <c r="J204" i="199"/>
  <c r="K428" i="199"/>
  <c r="J429" i="199"/>
  <c r="K70" i="199"/>
  <c r="J235" i="199"/>
  <c r="K234" i="199"/>
  <c r="J299" i="199"/>
  <c r="K298" i="199"/>
  <c r="J106" i="199"/>
  <c r="K105" i="199"/>
  <c r="J71" i="199"/>
  <c r="J363" i="199" l="1"/>
  <c r="K362" i="199"/>
  <c r="K106" i="199"/>
  <c r="K72" i="199" s="1"/>
  <c r="J107" i="199"/>
  <c r="J72" i="199"/>
  <c r="K396" i="199"/>
  <c r="J397" i="199"/>
  <c r="K235" i="199"/>
  <c r="J236" i="199"/>
  <c r="K142" i="199"/>
  <c r="J143" i="199"/>
  <c r="K71" i="199"/>
  <c r="K204" i="199"/>
  <c r="J205" i="199"/>
  <c r="J300" i="199"/>
  <c r="K299" i="199"/>
  <c r="K171" i="199"/>
  <c r="J172" i="199"/>
  <c r="K332" i="199"/>
  <c r="J333" i="199"/>
  <c r="J430" i="199"/>
  <c r="K429" i="199"/>
  <c r="J269" i="199"/>
  <c r="K268" i="199"/>
  <c r="K333" i="199" l="1"/>
  <c r="J334" i="199"/>
  <c r="J108" i="199"/>
  <c r="K107" i="199"/>
  <c r="J73" i="199"/>
  <c r="K300" i="199"/>
  <c r="J301" i="199"/>
  <c r="K205" i="199"/>
  <c r="J206" i="199"/>
  <c r="J173" i="199"/>
  <c r="K172" i="199"/>
  <c r="J398" i="199"/>
  <c r="K397" i="199"/>
  <c r="K143" i="199"/>
  <c r="J144" i="199"/>
  <c r="K269" i="199"/>
  <c r="J270" i="199"/>
  <c r="K430" i="199"/>
  <c r="J431" i="199"/>
  <c r="K236" i="199"/>
  <c r="J237" i="199"/>
  <c r="K363" i="199"/>
  <c r="J364" i="199"/>
  <c r="K144" i="199" l="1"/>
  <c r="J145" i="199"/>
  <c r="K145" i="199" s="1"/>
  <c r="K146" i="199" s="1"/>
  <c r="K270" i="199"/>
  <c r="J271" i="199"/>
  <c r="K73" i="199"/>
  <c r="K364" i="199"/>
  <c r="J365" i="199"/>
  <c r="J432" i="199"/>
  <c r="K431" i="199"/>
  <c r="J109" i="199"/>
  <c r="K108" i="199"/>
  <c r="J74" i="199"/>
  <c r="K206" i="199"/>
  <c r="J207" i="199"/>
  <c r="J302" i="199"/>
  <c r="K301" i="199"/>
  <c r="K237" i="199"/>
  <c r="J238" i="199"/>
  <c r="K398" i="199"/>
  <c r="J399" i="199"/>
  <c r="J174" i="199"/>
  <c r="K173" i="199"/>
  <c r="K334" i="199"/>
  <c r="J335" i="199"/>
  <c r="K207" i="199" l="1"/>
  <c r="J208" i="199"/>
  <c r="K365" i="199"/>
  <c r="J366" i="199"/>
  <c r="K271" i="199"/>
  <c r="J272" i="199"/>
  <c r="K399" i="199"/>
  <c r="J400" i="199"/>
  <c r="K238" i="199"/>
  <c r="J239" i="199"/>
  <c r="J110" i="199"/>
  <c r="J75" i="199"/>
  <c r="K109" i="199"/>
  <c r="K75" i="199" s="1"/>
  <c r="J175" i="199"/>
  <c r="K174" i="199"/>
  <c r="J303" i="199"/>
  <c r="K302" i="199"/>
  <c r="K74" i="199"/>
  <c r="K335" i="199"/>
  <c r="J336" i="199"/>
  <c r="K432" i="199"/>
  <c r="J433" i="199"/>
  <c r="J304" i="199" l="1"/>
  <c r="K304" i="199" s="1"/>
  <c r="K305" i="199" s="1"/>
  <c r="K303" i="199"/>
  <c r="J434" i="199"/>
  <c r="K434" i="199" s="1"/>
  <c r="K433" i="199"/>
  <c r="J367" i="199"/>
  <c r="K366" i="199"/>
  <c r="K400" i="199"/>
  <c r="J401" i="199"/>
  <c r="K401" i="199" s="1"/>
  <c r="K402" i="199" s="1"/>
  <c r="K110" i="199"/>
  <c r="J76" i="199"/>
  <c r="J111" i="199"/>
  <c r="K175" i="199"/>
  <c r="J176" i="199"/>
  <c r="K176" i="199" s="1"/>
  <c r="K177" i="199" s="1"/>
  <c r="J273" i="199"/>
  <c r="K273" i="199" s="1"/>
  <c r="K274" i="199" s="1"/>
  <c r="K272" i="199"/>
  <c r="K336" i="199"/>
  <c r="J337" i="199"/>
  <c r="K337" i="199" s="1"/>
  <c r="K239" i="199"/>
  <c r="J240" i="199"/>
  <c r="K240" i="199" s="1"/>
  <c r="K241" i="199" s="1"/>
  <c r="K208" i="199"/>
  <c r="J209" i="199"/>
  <c r="K209" i="199" s="1"/>
  <c r="K210" i="199" s="1"/>
  <c r="K367" i="199" l="1"/>
  <c r="J368" i="199"/>
  <c r="K368" i="199" s="1"/>
  <c r="K369" i="199" s="1"/>
  <c r="K435" i="199"/>
  <c r="J112" i="199"/>
  <c r="J77" i="199"/>
  <c r="K111" i="199"/>
  <c r="K77" i="199" s="1"/>
  <c r="K338" i="199"/>
  <c r="K76" i="199"/>
  <c r="J78" i="199" l="1"/>
  <c r="K112" i="199"/>
  <c r="K78" i="199" l="1"/>
  <c r="K79" i="199" s="1"/>
  <c r="K113" i="199"/>
  <c r="E34" i="100" l="1"/>
  <c r="F218" i="185" l="1"/>
  <c r="F217" i="185"/>
  <c r="E216" i="185"/>
  <c r="F215" i="185"/>
  <c r="F214" i="185"/>
  <c r="F212" i="185"/>
  <c r="L201" i="185"/>
  <c r="H201" i="185"/>
  <c r="E201" i="185"/>
  <c r="M198" i="185"/>
  <c r="H198" i="185"/>
  <c r="F198" i="185"/>
  <c r="F197" i="185"/>
  <c r="J197" i="185" s="1"/>
  <c r="M197" i="185" s="1"/>
  <c r="F196" i="185"/>
  <c r="J196" i="185" s="1"/>
  <c r="M196" i="185" s="1"/>
  <c r="N195" i="185"/>
  <c r="M195" i="185"/>
  <c r="J195" i="185"/>
  <c r="G195" i="185"/>
  <c r="I195" i="185" s="1"/>
  <c r="F194" i="185"/>
  <c r="N194" i="185" s="1"/>
  <c r="F193" i="185"/>
  <c r="J193" i="185" s="1"/>
  <c r="M193" i="185" s="1"/>
  <c r="L188" i="185"/>
  <c r="H188" i="185"/>
  <c r="E188" i="185"/>
  <c r="J185" i="185"/>
  <c r="M185" i="185" s="1"/>
  <c r="F185" i="185"/>
  <c r="N185" i="185" s="1"/>
  <c r="F184" i="185"/>
  <c r="J184" i="185" s="1"/>
  <c r="M184" i="185" s="1"/>
  <c r="F183" i="185"/>
  <c r="N183" i="185" s="1"/>
  <c r="F182" i="185"/>
  <c r="J181" i="185"/>
  <c r="M181" i="185" s="1"/>
  <c r="F181" i="185"/>
  <c r="N181" i="185" s="1"/>
  <c r="F180" i="185"/>
  <c r="J180" i="185" s="1"/>
  <c r="M180" i="185" s="1"/>
  <c r="F179" i="185"/>
  <c r="N179" i="185" s="1"/>
  <c r="F178" i="185"/>
  <c r="F177" i="185"/>
  <c r="N177" i="185" s="1"/>
  <c r="F176" i="185"/>
  <c r="J176" i="185" s="1"/>
  <c r="M176" i="185" s="1"/>
  <c r="F175" i="185"/>
  <c r="N175" i="185" s="1"/>
  <c r="F174" i="185"/>
  <c r="F173" i="185"/>
  <c r="N173" i="185" s="1"/>
  <c r="F172" i="185"/>
  <c r="J172" i="185" s="1"/>
  <c r="M172" i="185" s="1"/>
  <c r="F171" i="185"/>
  <c r="N171" i="185" s="1"/>
  <c r="N167" i="185"/>
  <c r="M167" i="185"/>
  <c r="L167" i="185"/>
  <c r="J167" i="185"/>
  <c r="I167" i="185"/>
  <c r="H167" i="185"/>
  <c r="G167" i="185"/>
  <c r="E167" i="185"/>
  <c r="N162" i="185"/>
  <c r="M162" i="185"/>
  <c r="L162" i="185"/>
  <c r="J162" i="185"/>
  <c r="I162" i="185"/>
  <c r="H162" i="185"/>
  <c r="G162" i="185"/>
  <c r="E162" i="185"/>
  <c r="L157" i="185"/>
  <c r="E157" i="185"/>
  <c r="F154" i="185"/>
  <c r="F153" i="185"/>
  <c r="N153" i="185" s="1"/>
  <c r="F152" i="185"/>
  <c r="J152" i="185" s="1"/>
  <c r="M152" i="185" s="1"/>
  <c r="F151" i="185"/>
  <c r="N151" i="185" s="1"/>
  <c r="F150" i="185"/>
  <c r="F149" i="185"/>
  <c r="N149" i="185" s="1"/>
  <c r="F148" i="185"/>
  <c r="J148" i="185" s="1"/>
  <c r="M148" i="185" s="1"/>
  <c r="F147" i="185"/>
  <c r="N147" i="185" s="1"/>
  <c r="F146" i="185"/>
  <c r="J145" i="185"/>
  <c r="M145" i="185" s="1"/>
  <c r="F145" i="185"/>
  <c r="N145" i="185" s="1"/>
  <c r="F144" i="185"/>
  <c r="J144" i="185" s="1"/>
  <c r="M144" i="185" s="1"/>
  <c r="F143" i="185"/>
  <c r="N143" i="185" s="1"/>
  <c r="F142" i="185"/>
  <c r="J142" i="185" s="1"/>
  <c r="M142" i="185" s="1"/>
  <c r="F141" i="185"/>
  <c r="G140" i="185"/>
  <c r="I140" i="185" s="1"/>
  <c r="F140" i="185"/>
  <c r="N140" i="185" s="1"/>
  <c r="F139" i="185"/>
  <c r="F138" i="185"/>
  <c r="N138" i="185" s="1"/>
  <c r="F137" i="185"/>
  <c r="N136" i="185"/>
  <c r="F136" i="185"/>
  <c r="J136" i="185" s="1"/>
  <c r="L133" i="185"/>
  <c r="E133" i="185"/>
  <c r="F130" i="185"/>
  <c r="J130" i="185" s="1"/>
  <c r="M130" i="185" s="1"/>
  <c r="J129" i="185"/>
  <c r="M129" i="185" s="1"/>
  <c r="F129" i="185"/>
  <c r="N128" i="185"/>
  <c r="J128" i="185"/>
  <c r="M128" i="185" s="1"/>
  <c r="G128" i="185"/>
  <c r="I128" i="185" s="1"/>
  <c r="N127" i="185"/>
  <c r="J127" i="185"/>
  <c r="M127" i="185" s="1"/>
  <c r="G127" i="185"/>
  <c r="I127" i="185" s="1"/>
  <c r="F126" i="185"/>
  <c r="F125" i="185"/>
  <c r="J125" i="185" s="1"/>
  <c r="M125" i="185" s="1"/>
  <c r="F124" i="185"/>
  <c r="J124" i="185" s="1"/>
  <c r="M124" i="185" s="1"/>
  <c r="F123" i="185"/>
  <c r="N123" i="185" s="1"/>
  <c r="F122" i="185"/>
  <c r="F121" i="185"/>
  <c r="J121" i="185" s="1"/>
  <c r="M121" i="185" s="1"/>
  <c r="J120" i="185"/>
  <c r="M120" i="185" s="1"/>
  <c r="F120" i="185"/>
  <c r="N119" i="185"/>
  <c r="F119" i="185"/>
  <c r="F118" i="185"/>
  <c r="G117" i="185"/>
  <c r="I117" i="185" s="1"/>
  <c r="F117" i="185"/>
  <c r="J117" i="185" s="1"/>
  <c r="M117" i="185" s="1"/>
  <c r="F116" i="185"/>
  <c r="F115" i="185"/>
  <c r="J115" i="185" s="1"/>
  <c r="M115" i="185" s="1"/>
  <c r="F114" i="185"/>
  <c r="J114" i="185" s="1"/>
  <c r="M114" i="185" s="1"/>
  <c r="F113" i="185"/>
  <c r="J113" i="185" s="1"/>
  <c r="M113" i="185" s="1"/>
  <c r="F112" i="185"/>
  <c r="J112" i="185" s="1"/>
  <c r="M112" i="185" s="1"/>
  <c r="F111" i="185"/>
  <c r="N111" i="185" s="1"/>
  <c r="F110" i="185"/>
  <c r="F109" i="185"/>
  <c r="J109" i="185" s="1"/>
  <c r="M109" i="185" s="1"/>
  <c r="F108" i="185"/>
  <c r="F107" i="185"/>
  <c r="J107" i="185" s="1"/>
  <c r="M107" i="185" s="1"/>
  <c r="F106" i="185"/>
  <c r="J106" i="185" s="1"/>
  <c r="M106" i="185" s="1"/>
  <c r="M105" i="185"/>
  <c r="F105" i="185"/>
  <c r="J105" i="185" s="1"/>
  <c r="F104" i="185"/>
  <c r="J104" i="185" s="1"/>
  <c r="M104" i="185" s="1"/>
  <c r="F103" i="185"/>
  <c r="N103" i="185" s="1"/>
  <c r="F102" i="185"/>
  <c r="F101" i="185"/>
  <c r="J101" i="185" s="1"/>
  <c r="M101" i="185" s="1"/>
  <c r="F100" i="185"/>
  <c r="F99" i="185"/>
  <c r="J99" i="185" s="1"/>
  <c r="M99" i="185" s="1"/>
  <c r="F98" i="185"/>
  <c r="J98" i="185" s="1"/>
  <c r="M98" i="185" s="1"/>
  <c r="F97" i="185"/>
  <c r="J97" i="185" s="1"/>
  <c r="M97" i="185" s="1"/>
  <c r="F96" i="185"/>
  <c r="J96" i="185" s="1"/>
  <c r="M96" i="185" s="1"/>
  <c r="F95" i="185"/>
  <c r="N95" i="185" s="1"/>
  <c r="F94" i="185"/>
  <c r="G93" i="185"/>
  <c r="I93" i="185" s="1"/>
  <c r="F93" i="185"/>
  <c r="J93" i="185" s="1"/>
  <c r="M93" i="185" s="1"/>
  <c r="F92" i="185"/>
  <c r="M91" i="185"/>
  <c r="F91" i="185"/>
  <c r="J91" i="185" s="1"/>
  <c r="J90" i="185"/>
  <c r="M90" i="185" s="1"/>
  <c r="F90" i="185"/>
  <c r="M89" i="185"/>
  <c r="F89" i="185"/>
  <c r="J89" i="185" s="1"/>
  <c r="F88" i="185"/>
  <c r="J88" i="185" s="1"/>
  <c r="M88" i="185" s="1"/>
  <c r="F87" i="185"/>
  <c r="N87" i="185" s="1"/>
  <c r="F86" i="185"/>
  <c r="N86" i="185" s="1"/>
  <c r="F85" i="185"/>
  <c r="J85" i="185" s="1"/>
  <c r="M85" i="185" s="1"/>
  <c r="F84" i="185"/>
  <c r="N84" i="185" s="1"/>
  <c r="F83" i="185"/>
  <c r="J83" i="185" s="1"/>
  <c r="M83" i="185" s="1"/>
  <c r="H82" i="185"/>
  <c r="G82" i="185" s="1"/>
  <c r="F82" i="185"/>
  <c r="J82" i="185" s="1"/>
  <c r="M82" i="185" s="1"/>
  <c r="H81" i="185"/>
  <c r="F81" i="185"/>
  <c r="N81" i="185" s="1"/>
  <c r="F80" i="185"/>
  <c r="N80" i="185" s="1"/>
  <c r="M79" i="185"/>
  <c r="F79" i="185"/>
  <c r="J79" i="185" s="1"/>
  <c r="F78" i="185"/>
  <c r="N78" i="185" s="1"/>
  <c r="M77" i="185"/>
  <c r="F77" i="185"/>
  <c r="J77" i="185" s="1"/>
  <c r="J76" i="185"/>
  <c r="M76" i="185" s="1"/>
  <c r="F76" i="185"/>
  <c r="N76" i="185" s="1"/>
  <c r="F75" i="185"/>
  <c r="J75" i="185" s="1"/>
  <c r="M75" i="185" s="1"/>
  <c r="F74" i="185"/>
  <c r="N74" i="185" s="1"/>
  <c r="F73" i="185"/>
  <c r="J73" i="185" s="1"/>
  <c r="M73" i="185" s="1"/>
  <c r="L70" i="185"/>
  <c r="E70" i="185"/>
  <c r="N67" i="185"/>
  <c r="J67" i="185"/>
  <c r="M67" i="185" s="1"/>
  <c r="G67" i="185"/>
  <c r="I67" i="185" s="1"/>
  <c r="N66" i="185"/>
  <c r="J66" i="185"/>
  <c r="M66" i="185" s="1"/>
  <c r="G66" i="185"/>
  <c r="I66" i="185" s="1"/>
  <c r="N65" i="185"/>
  <c r="M65" i="185"/>
  <c r="J65" i="185"/>
  <c r="G65" i="185"/>
  <c r="I65" i="185" s="1"/>
  <c r="F64" i="185"/>
  <c r="N64" i="185" s="1"/>
  <c r="F63" i="185"/>
  <c r="J63" i="185" s="1"/>
  <c r="M63" i="185" s="1"/>
  <c r="N62" i="185"/>
  <c r="F62" i="185"/>
  <c r="G62" i="185" s="1"/>
  <c r="I62" i="185" s="1"/>
  <c r="F61" i="185"/>
  <c r="J61" i="185" s="1"/>
  <c r="M61" i="185" s="1"/>
  <c r="N60" i="185"/>
  <c r="G60" i="185"/>
  <c r="I60" i="185" s="1"/>
  <c r="F60" i="185"/>
  <c r="J60" i="185" s="1"/>
  <c r="M60" i="185" s="1"/>
  <c r="F59" i="185"/>
  <c r="J59" i="185" s="1"/>
  <c r="M59" i="185" s="1"/>
  <c r="F58" i="185"/>
  <c r="N58" i="185" s="1"/>
  <c r="F57" i="185"/>
  <c r="J57" i="185" s="1"/>
  <c r="M57" i="185" s="1"/>
  <c r="H56" i="185"/>
  <c r="F56" i="185"/>
  <c r="G56" i="185" s="1"/>
  <c r="H55" i="185"/>
  <c r="G55" i="185" s="1"/>
  <c r="F55" i="185"/>
  <c r="J55" i="185" s="1"/>
  <c r="M55" i="185" s="1"/>
  <c r="H54" i="185"/>
  <c r="F54" i="185"/>
  <c r="H53" i="185"/>
  <c r="G53" i="185" s="1"/>
  <c r="F53" i="185"/>
  <c r="J53" i="185" s="1"/>
  <c r="M53" i="185" s="1"/>
  <c r="F52" i="185"/>
  <c r="N51" i="185"/>
  <c r="F51" i="185"/>
  <c r="J51" i="185" s="1"/>
  <c r="M51" i="185" s="1"/>
  <c r="F50" i="185"/>
  <c r="N50" i="185" s="1"/>
  <c r="F49" i="185"/>
  <c r="J49" i="185" s="1"/>
  <c r="M49" i="185" s="1"/>
  <c r="F48" i="185"/>
  <c r="N48" i="185" s="1"/>
  <c r="J47" i="185"/>
  <c r="M47" i="185" s="1"/>
  <c r="G47" i="185"/>
  <c r="I47" i="185" s="1"/>
  <c r="F47" i="185"/>
  <c r="N47" i="185" s="1"/>
  <c r="F46" i="185"/>
  <c r="N46" i="185" s="1"/>
  <c r="F45" i="185"/>
  <c r="J45" i="185" s="1"/>
  <c r="M45" i="185" s="1"/>
  <c r="F44" i="185"/>
  <c r="N44" i="185" s="1"/>
  <c r="F43" i="185"/>
  <c r="N43" i="185" s="1"/>
  <c r="J42" i="185"/>
  <c r="M42" i="185" s="1"/>
  <c r="F42" i="185"/>
  <c r="N42" i="185" s="1"/>
  <c r="L39" i="185"/>
  <c r="H39" i="185"/>
  <c r="E39" i="185"/>
  <c r="F36" i="185"/>
  <c r="N36" i="185" s="1"/>
  <c r="F35" i="185"/>
  <c r="G35" i="185" s="1"/>
  <c r="I35" i="185" s="1"/>
  <c r="J34" i="185"/>
  <c r="M34" i="185" s="1"/>
  <c r="F34" i="185"/>
  <c r="N34" i="185" s="1"/>
  <c r="L31" i="185"/>
  <c r="H31" i="185"/>
  <c r="E31" i="185"/>
  <c r="N28" i="185"/>
  <c r="J28" i="185"/>
  <c r="M28" i="185" s="1"/>
  <c r="G28" i="185"/>
  <c r="I28" i="185" s="1"/>
  <c r="N27" i="185"/>
  <c r="J27" i="185"/>
  <c r="M27" i="185" s="1"/>
  <c r="G27" i="185"/>
  <c r="I27" i="185" s="1"/>
  <c r="N26" i="185"/>
  <c r="J26" i="185"/>
  <c r="M26" i="185" s="1"/>
  <c r="G26" i="185"/>
  <c r="I26" i="185" s="1"/>
  <c r="N25" i="185"/>
  <c r="J25" i="185"/>
  <c r="M25" i="185" s="1"/>
  <c r="G25" i="185"/>
  <c r="I25" i="185" s="1"/>
  <c r="N24" i="185"/>
  <c r="J24" i="185"/>
  <c r="M24" i="185" s="1"/>
  <c r="G24" i="185"/>
  <c r="I24" i="185" s="1"/>
  <c r="N23" i="185"/>
  <c r="M23" i="185"/>
  <c r="J23" i="185"/>
  <c r="I23" i="185"/>
  <c r="G23" i="185"/>
  <c r="N22" i="185"/>
  <c r="J22" i="185"/>
  <c r="M22" i="185" s="1"/>
  <c r="G22" i="185"/>
  <c r="I22" i="185" s="1"/>
  <c r="N21" i="185"/>
  <c r="J21" i="185"/>
  <c r="M21" i="185" s="1"/>
  <c r="I21" i="185"/>
  <c r="G21" i="185"/>
  <c r="F20" i="185"/>
  <c r="N20" i="185" s="1"/>
  <c r="F19" i="185"/>
  <c r="N19" i="185" s="1"/>
  <c r="F18" i="185"/>
  <c r="N18" i="185" s="1"/>
  <c r="G17" i="185"/>
  <c r="I17" i="185" s="1"/>
  <c r="F17" i="185"/>
  <c r="N17" i="185" s="1"/>
  <c r="F16" i="185"/>
  <c r="N16" i="185" s="1"/>
  <c r="F15" i="185"/>
  <c r="N15" i="185" s="1"/>
  <c r="F14" i="185"/>
  <c r="N14" i="185" s="1"/>
  <c r="G13" i="185"/>
  <c r="I13" i="185" s="1"/>
  <c r="F13" i="185"/>
  <c r="N13" i="185" s="1"/>
  <c r="F12" i="185"/>
  <c r="N12" i="185" s="1"/>
  <c r="L9" i="185"/>
  <c r="H9" i="185"/>
  <c r="E9" i="185"/>
  <c r="F6" i="185"/>
  <c r="G6" i="185" s="1"/>
  <c r="I6" i="185" s="1"/>
  <c r="F5" i="185"/>
  <c r="G5" i="185" s="1"/>
  <c r="I5" i="185" s="1"/>
  <c r="N4" i="185"/>
  <c r="J4" i="185"/>
  <c r="M4" i="185" s="1"/>
  <c r="G4" i="185"/>
  <c r="I4" i="185" s="1"/>
  <c r="F4" i="185"/>
  <c r="D6" i="106"/>
  <c r="F103" i="184"/>
  <c r="F98" i="184"/>
  <c r="E103" i="184"/>
  <c r="J42" i="184" s="1"/>
  <c r="J86" i="184"/>
  <c r="E87" i="184" s="1"/>
  <c r="H42" i="184"/>
  <c r="H41" i="184"/>
  <c r="H33" i="184"/>
  <c r="A33" i="184"/>
  <c r="A34" i="184" s="1"/>
  <c r="J21" i="184"/>
  <c r="A8" i="184"/>
  <c r="A9" i="184" s="1"/>
  <c r="A12" i="184" s="1"/>
  <c r="A13" i="184" s="1"/>
  <c r="A14" i="184" s="1"/>
  <c r="A15" i="184" s="1"/>
  <c r="A18" i="184" s="1"/>
  <c r="A7" i="184"/>
  <c r="G12" i="185" l="1"/>
  <c r="I12" i="185" s="1"/>
  <c r="G16" i="185"/>
  <c r="I16" i="185" s="1"/>
  <c r="G20" i="185"/>
  <c r="I20" i="185" s="1"/>
  <c r="G42" i="185"/>
  <c r="I42" i="185" s="1"/>
  <c r="N45" i="185"/>
  <c r="G51" i="185"/>
  <c r="I51" i="185" s="1"/>
  <c r="G77" i="185"/>
  <c r="I77" i="185" s="1"/>
  <c r="J80" i="185"/>
  <c r="M80" i="185" s="1"/>
  <c r="J175" i="185"/>
  <c r="M175" i="185" s="1"/>
  <c r="J6" i="185"/>
  <c r="M6" i="185" s="1"/>
  <c r="J13" i="185"/>
  <c r="M13" i="185" s="1"/>
  <c r="J17" i="185"/>
  <c r="M17" i="185" s="1"/>
  <c r="G46" i="185"/>
  <c r="I46" i="185" s="1"/>
  <c r="N49" i="185"/>
  <c r="G64" i="185"/>
  <c r="I64" i="185" s="1"/>
  <c r="G73" i="185"/>
  <c r="N77" i="185"/>
  <c r="G81" i="185"/>
  <c r="I81" i="185" s="1"/>
  <c r="G107" i="185"/>
  <c r="I107" i="185" s="1"/>
  <c r="J151" i="185"/>
  <c r="M151" i="185" s="1"/>
  <c r="J171" i="185"/>
  <c r="G176" i="185"/>
  <c r="I176" i="185" s="1"/>
  <c r="J46" i="185"/>
  <c r="M46" i="185" s="1"/>
  <c r="N56" i="185"/>
  <c r="J64" i="185"/>
  <c r="M64" i="185" s="1"/>
  <c r="J14" i="185"/>
  <c r="M14" i="185" s="1"/>
  <c r="J18" i="185"/>
  <c r="M18" i="185" s="1"/>
  <c r="G43" i="185"/>
  <c r="I43" i="185" s="1"/>
  <c r="G50" i="185"/>
  <c r="I50" i="185" s="1"/>
  <c r="J78" i="185"/>
  <c r="M78" i="185" s="1"/>
  <c r="J81" i="185"/>
  <c r="M81" i="185" s="1"/>
  <c r="G86" i="185"/>
  <c r="I86" i="185" s="1"/>
  <c r="J140" i="185"/>
  <c r="M140" i="185" s="1"/>
  <c r="G152" i="185"/>
  <c r="I152" i="185" s="1"/>
  <c r="G172" i="185"/>
  <c r="I172" i="185" s="1"/>
  <c r="J177" i="185"/>
  <c r="M177" i="185" s="1"/>
  <c r="J43" i="185"/>
  <c r="M43" i="185" s="1"/>
  <c r="J50" i="185"/>
  <c r="M50" i="185" s="1"/>
  <c r="J86" i="185"/>
  <c r="M86" i="185" s="1"/>
  <c r="G91" i="185"/>
  <c r="I91" i="185" s="1"/>
  <c r="G109" i="185"/>
  <c r="I109" i="185" s="1"/>
  <c r="N6" i="185"/>
  <c r="G15" i="185"/>
  <c r="I15" i="185" s="1"/>
  <c r="G19" i="185"/>
  <c r="I19" i="185" s="1"/>
  <c r="J35" i="185"/>
  <c r="M35" i="185" s="1"/>
  <c r="G58" i="185"/>
  <c r="I58" i="185" s="1"/>
  <c r="J62" i="185"/>
  <c r="M62" i="185" s="1"/>
  <c r="N73" i="185"/>
  <c r="G130" i="185"/>
  <c r="I130" i="185" s="1"/>
  <c r="G138" i="185"/>
  <c r="I138" i="185" s="1"/>
  <c r="G144" i="185"/>
  <c r="I144" i="185" s="1"/>
  <c r="G148" i="185"/>
  <c r="I148" i="185" s="1"/>
  <c r="J194" i="185"/>
  <c r="M194" i="185" s="1"/>
  <c r="M201" i="185" s="1"/>
  <c r="G197" i="185"/>
  <c r="I197" i="185" s="1"/>
  <c r="J138" i="185"/>
  <c r="M138" i="185" s="1"/>
  <c r="J15" i="185"/>
  <c r="M15" i="185" s="1"/>
  <c r="J19" i="185"/>
  <c r="M19" i="185" s="1"/>
  <c r="G36" i="185"/>
  <c r="I36" i="185" s="1"/>
  <c r="G44" i="185"/>
  <c r="I44" i="185" s="1"/>
  <c r="G48" i="185"/>
  <c r="I48" i="185" s="1"/>
  <c r="I56" i="185"/>
  <c r="J58" i="185"/>
  <c r="M58" i="185" s="1"/>
  <c r="J74" i="185"/>
  <c r="M74" i="185" s="1"/>
  <c r="G84" i="185"/>
  <c r="I84" i="185" s="1"/>
  <c r="N109" i="185"/>
  <c r="G121" i="185"/>
  <c r="I121" i="185" s="1"/>
  <c r="G125" i="185"/>
  <c r="I125" i="185" s="1"/>
  <c r="G142" i="185"/>
  <c r="N148" i="185"/>
  <c r="N152" i="185"/>
  <c r="J179" i="185"/>
  <c r="M179" i="185" s="1"/>
  <c r="J183" i="185"/>
  <c r="M183" i="185" s="1"/>
  <c r="N197" i="185"/>
  <c r="J36" i="185"/>
  <c r="M36" i="185" s="1"/>
  <c r="N53" i="185"/>
  <c r="I9" i="185"/>
  <c r="N31" i="185"/>
  <c r="G14" i="185"/>
  <c r="I14" i="185" s="1"/>
  <c r="G18" i="185"/>
  <c r="I18" i="185" s="1"/>
  <c r="G34" i="185"/>
  <c r="G39" i="185" s="1"/>
  <c r="G45" i="185"/>
  <c r="I45" i="185" s="1"/>
  <c r="G49" i="185"/>
  <c r="I49" i="185" s="1"/>
  <c r="J84" i="185"/>
  <c r="M84" i="185" s="1"/>
  <c r="G115" i="185"/>
  <c r="I115" i="185" s="1"/>
  <c r="N142" i="185"/>
  <c r="J149" i="185"/>
  <c r="M149" i="185" s="1"/>
  <c r="J153" i="185"/>
  <c r="M153" i="185" s="1"/>
  <c r="N172" i="185"/>
  <c r="G180" i="185"/>
  <c r="I180" i="185" s="1"/>
  <c r="G184" i="185"/>
  <c r="I184" i="185" s="1"/>
  <c r="G193" i="185"/>
  <c r="N176" i="185"/>
  <c r="N180" i="185"/>
  <c r="N184" i="185"/>
  <c r="N144" i="185"/>
  <c r="I31" i="185"/>
  <c r="G99" i="185"/>
  <c r="I99" i="185" s="1"/>
  <c r="N115" i="185"/>
  <c r="J143" i="185"/>
  <c r="M143" i="185" s="1"/>
  <c r="J147" i="185"/>
  <c r="M147" i="185" s="1"/>
  <c r="J173" i="185"/>
  <c r="M173" i="185" s="1"/>
  <c r="N193" i="185"/>
  <c r="J15" i="184"/>
  <c r="J29" i="184" s="1"/>
  <c r="N5" i="185"/>
  <c r="N9" i="185" s="1"/>
  <c r="E205" i="185"/>
  <c r="N35" i="185"/>
  <c r="N39" i="185" s="1"/>
  <c r="N82" i="185"/>
  <c r="J95" i="185"/>
  <c r="M95" i="185" s="1"/>
  <c r="G95" i="185"/>
  <c r="I95" i="185" s="1"/>
  <c r="N100" i="185"/>
  <c r="G100" i="185"/>
  <c r="I100" i="185" s="1"/>
  <c r="J100" i="185"/>
  <c r="M100" i="185" s="1"/>
  <c r="N101" i="185"/>
  <c r="N110" i="185"/>
  <c r="G110" i="185"/>
  <c r="I110" i="185" s="1"/>
  <c r="J110" i="185"/>
  <c r="M110" i="185" s="1"/>
  <c r="N118" i="185"/>
  <c r="G118" i="185"/>
  <c r="I118" i="185" s="1"/>
  <c r="J118" i="185"/>
  <c r="M118" i="185" s="1"/>
  <c r="M39" i="185"/>
  <c r="J39" i="185"/>
  <c r="N52" i="185"/>
  <c r="G52" i="185"/>
  <c r="I52" i="185" s="1"/>
  <c r="N54" i="185"/>
  <c r="G54" i="185"/>
  <c r="I54" i="185" s="1"/>
  <c r="N55" i="185"/>
  <c r="J5" i="185"/>
  <c r="M5" i="185" s="1"/>
  <c r="M9" i="185" s="1"/>
  <c r="I73" i="185"/>
  <c r="G9" i="185"/>
  <c r="L205" i="185"/>
  <c r="E208" i="185" s="1"/>
  <c r="E209" i="185" s="1"/>
  <c r="J12" i="185"/>
  <c r="J16" i="185"/>
  <c r="M16" i="185" s="1"/>
  <c r="J20" i="185"/>
  <c r="M20" i="185" s="1"/>
  <c r="J44" i="185"/>
  <c r="M44" i="185" s="1"/>
  <c r="J48" i="185"/>
  <c r="M48" i="185" s="1"/>
  <c r="E213" i="185" s="1"/>
  <c r="E214" i="185" s="1"/>
  <c r="J54" i="185"/>
  <c r="M54" i="185" s="1"/>
  <c r="N75" i="185"/>
  <c r="G79" i="185"/>
  <c r="I79" i="185" s="1"/>
  <c r="N83" i="185"/>
  <c r="G83" i="185"/>
  <c r="I83" i="185" s="1"/>
  <c r="N85" i="185"/>
  <c r="G85" i="185"/>
  <c r="I85" i="185" s="1"/>
  <c r="J87" i="185"/>
  <c r="M87" i="185" s="1"/>
  <c r="G87" i="185"/>
  <c r="I87" i="185" s="1"/>
  <c r="N92" i="185"/>
  <c r="G92" i="185"/>
  <c r="I92" i="185" s="1"/>
  <c r="J92" i="185"/>
  <c r="M92" i="185" s="1"/>
  <c r="N93" i="185"/>
  <c r="N102" i="185"/>
  <c r="G102" i="185"/>
  <c r="I102" i="185" s="1"/>
  <c r="J102" i="185"/>
  <c r="M102" i="185" s="1"/>
  <c r="J174" i="185"/>
  <c r="M174" i="185" s="1"/>
  <c r="G174" i="185"/>
  <c r="I174" i="185" s="1"/>
  <c r="N174" i="185"/>
  <c r="N94" i="185"/>
  <c r="G94" i="185"/>
  <c r="I94" i="185" s="1"/>
  <c r="J94" i="185"/>
  <c r="M94" i="185" s="1"/>
  <c r="J111" i="185"/>
  <c r="M111" i="185" s="1"/>
  <c r="G111" i="185"/>
  <c r="I111" i="185" s="1"/>
  <c r="N122" i="185"/>
  <c r="G122" i="185"/>
  <c r="I122" i="185" s="1"/>
  <c r="J122" i="185"/>
  <c r="M122" i="185" s="1"/>
  <c r="J150" i="185"/>
  <c r="M150" i="185" s="1"/>
  <c r="N150" i="185"/>
  <c r="G150" i="185"/>
  <c r="I150" i="185" s="1"/>
  <c r="J52" i="185"/>
  <c r="M52" i="185" s="1"/>
  <c r="H70" i="185"/>
  <c r="N57" i="185"/>
  <c r="G57" i="185"/>
  <c r="I57" i="185" s="1"/>
  <c r="N59" i="185"/>
  <c r="G59" i="185"/>
  <c r="I59" i="185" s="1"/>
  <c r="N61" i="185"/>
  <c r="G61" i="185"/>
  <c r="I61" i="185" s="1"/>
  <c r="N63" i="185"/>
  <c r="G63" i="185"/>
  <c r="I63" i="185" s="1"/>
  <c r="G75" i="185"/>
  <c r="I75" i="185" s="1"/>
  <c r="N79" i="185"/>
  <c r="G101" i="185"/>
  <c r="I101" i="185" s="1"/>
  <c r="J103" i="185"/>
  <c r="M103" i="185" s="1"/>
  <c r="G103" i="185"/>
  <c r="I103" i="185" s="1"/>
  <c r="N108" i="185"/>
  <c r="G108" i="185"/>
  <c r="I108" i="185" s="1"/>
  <c r="J108" i="185"/>
  <c r="M108" i="185" s="1"/>
  <c r="N126" i="185"/>
  <c r="G126" i="185"/>
  <c r="I126" i="185" s="1"/>
  <c r="J126" i="185"/>
  <c r="M126" i="185" s="1"/>
  <c r="M136" i="185"/>
  <c r="J56" i="185"/>
  <c r="M56" i="185" s="1"/>
  <c r="H133" i="185"/>
  <c r="N88" i="185"/>
  <c r="G88" i="185"/>
  <c r="I88" i="185" s="1"/>
  <c r="N89" i="185"/>
  <c r="N96" i="185"/>
  <c r="G96" i="185"/>
  <c r="I96" i="185" s="1"/>
  <c r="N97" i="185"/>
  <c r="N104" i="185"/>
  <c r="G104" i="185"/>
  <c r="I104" i="185" s="1"/>
  <c r="N105" i="185"/>
  <c r="N112" i="185"/>
  <c r="G112" i="185"/>
  <c r="I112" i="185" s="1"/>
  <c r="N113" i="185"/>
  <c r="H142" i="185"/>
  <c r="I142" i="185" s="1"/>
  <c r="J154" i="185"/>
  <c r="M154" i="185" s="1"/>
  <c r="G154" i="185"/>
  <c r="I154" i="185" s="1"/>
  <c r="N154" i="185"/>
  <c r="G74" i="185"/>
  <c r="I74" i="185" s="1"/>
  <c r="G76" i="185"/>
  <c r="I76" i="185" s="1"/>
  <c r="G78" i="185"/>
  <c r="I78" i="185" s="1"/>
  <c r="G80" i="185"/>
  <c r="I80" i="185" s="1"/>
  <c r="G89" i="185"/>
  <c r="I89" i="185" s="1"/>
  <c r="N90" i="185"/>
  <c r="G90" i="185"/>
  <c r="I90" i="185" s="1"/>
  <c r="N91" i="185"/>
  <c r="G97" i="185"/>
  <c r="I97" i="185" s="1"/>
  <c r="N98" i="185"/>
  <c r="G98" i="185"/>
  <c r="I98" i="185" s="1"/>
  <c r="N99" i="185"/>
  <c r="G105" i="185"/>
  <c r="I105" i="185" s="1"/>
  <c r="N106" i="185"/>
  <c r="G106" i="185"/>
  <c r="I106" i="185" s="1"/>
  <c r="N107" i="185"/>
  <c r="G113" i="185"/>
  <c r="I113" i="185" s="1"/>
  <c r="N114" i="185"/>
  <c r="G114" i="185"/>
  <c r="I114" i="185" s="1"/>
  <c r="N116" i="185"/>
  <c r="G116" i="185"/>
  <c r="I116" i="185" s="1"/>
  <c r="J116" i="185"/>
  <c r="M116" i="185" s="1"/>
  <c r="J119" i="185"/>
  <c r="M119" i="185" s="1"/>
  <c r="G119" i="185"/>
  <c r="I119" i="185" s="1"/>
  <c r="J123" i="185"/>
  <c r="M123" i="185" s="1"/>
  <c r="G123" i="185"/>
  <c r="I123" i="185" s="1"/>
  <c r="N137" i="185"/>
  <c r="G137" i="185"/>
  <c r="I137" i="185" s="1"/>
  <c r="J137" i="185"/>
  <c r="M137" i="185" s="1"/>
  <c r="N141" i="185"/>
  <c r="G141" i="185"/>
  <c r="I141" i="185" s="1"/>
  <c r="J141" i="185"/>
  <c r="M141" i="185" s="1"/>
  <c r="J178" i="185"/>
  <c r="M178" i="185" s="1"/>
  <c r="N178" i="185"/>
  <c r="G178" i="185"/>
  <c r="I178" i="185" s="1"/>
  <c r="I193" i="185"/>
  <c r="N198" i="185"/>
  <c r="G198" i="185"/>
  <c r="I198" i="185" s="1"/>
  <c r="N139" i="185"/>
  <c r="G139" i="185"/>
  <c r="I139" i="185" s="1"/>
  <c r="J139" i="185"/>
  <c r="M139" i="185" s="1"/>
  <c r="J146" i="185"/>
  <c r="M146" i="185" s="1"/>
  <c r="G146" i="185"/>
  <c r="I146" i="185" s="1"/>
  <c r="N146" i="185"/>
  <c r="M171" i="185"/>
  <c r="J182" i="185"/>
  <c r="M182" i="185" s="1"/>
  <c r="G182" i="185"/>
  <c r="I182" i="185" s="1"/>
  <c r="N182" i="185"/>
  <c r="N120" i="185"/>
  <c r="G120" i="185"/>
  <c r="I120" i="185" s="1"/>
  <c r="N121" i="185"/>
  <c r="N129" i="185"/>
  <c r="G129" i="185"/>
  <c r="I129" i="185" s="1"/>
  <c r="N130" i="185"/>
  <c r="J201" i="185"/>
  <c r="N196" i="185"/>
  <c r="G196" i="185"/>
  <c r="I196" i="185" s="1"/>
  <c r="N117" i="185"/>
  <c r="N124" i="185"/>
  <c r="G124" i="185"/>
  <c r="I124" i="185" s="1"/>
  <c r="N125" i="185"/>
  <c r="G136" i="185"/>
  <c r="G143" i="185"/>
  <c r="I143" i="185" s="1"/>
  <c r="G145" i="185"/>
  <c r="I145" i="185" s="1"/>
  <c r="G147" i="185"/>
  <c r="I147" i="185" s="1"/>
  <c r="G149" i="185"/>
  <c r="I149" i="185" s="1"/>
  <c r="G151" i="185"/>
  <c r="I151" i="185" s="1"/>
  <c r="G153" i="185"/>
  <c r="I153" i="185" s="1"/>
  <c r="G171" i="185"/>
  <c r="G173" i="185"/>
  <c r="I173" i="185" s="1"/>
  <c r="G175" i="185"/>
  <c r="I175" i="185" s="1"/>
  <c r="G177" i="185"/>
  <c r="I177" i="185" s="1"/>
  <c r="G179" i="185"/>
  <c r="I179" i="185" s="1"/>
  <c r="G181" i="185"/>
  <c r="I181" i="185" s="1"/>
  <c r="G183" i="185"/>
  <c r="I183" i="185" s="1"/>
  <c r="G185" i="185"/>
  <c r="I185" i="185" s="1"/>
  <c r="G194" i="185"/>
  <c r="I194" i="185" s="1"/>
  <c r="H56" i="184"/>
  <c r="A38" i="184"/>
  <c r="A19" i="184"/>
  <c r="A20" i="184" s="1"/>
  <c r="A21" i="184" s="1"/>
  <c r="A23" i="184" s="1"/>
  <c r="H34" i="184"/>
  <c r="E98" i="184"/>
  <c r="J33" i="184" s="1"/>
  <c r="H15" i="184"/>
  <c r="I34" i="185" l="1"/>
  <c r="I39" i="185" s="1"/>
  <c r="N188" i="185"/>
  <c r="J188" i="185"/>
  <c r="M133" i="185"/>
  <c r="G31" i="185"/>
  <c r="I70" i="185"/>
  <c r="H29" i="184"/>
  <c r="N157" i="185"/>
  <c r="N133" i="185"/>
  <c r="H21" i="184"/>
  <c r="N201" i="185"/>
  <c r="N70" i="185"/>
  <c r="E211" i="185"/>
  <c r="E212" i="185" s="1"/>
  <c r="E215" i="185" s="1"/>
  <c r="E217" i="185" s="1"/>
  <c r="E218" i="185" s="1"/>
  <c r="M70" i="185"/>
  <c r="H205" i="185"/>
  <c r="G157" i="185"/>
  <c r="G205" i="185" s="1"/>
  <c r="H136" i="185"/>
  <c r="H157" i="185" s="1"/>
  <c r="I136" i="185"/>
  <c r="I157" i="185" s="1"/>
  <c r="G201" i="185"/>
  <c r="J31" i="185"/>
  <c r="M12" i="185"/>
  <c r="M31" i="185" s="1"/>
  <c r="G133" i="185"/>
  <c r="G188" i="185"/>
  <c r="I171" i="185"/>
  <c r="I188" i="185" s="1"/>
  <c r="I201" i="185"/>
  <c r="M157" i="185"/>
  <c r="G70" i="185"/>
  <c r="J70" i="185"/>
  <c r="J157" i="185"/>
  <c r="M188" i="185"/>
  <c r="J133" i="185"/>
  <c r="I133" i="185"/>
  <c r="J9" i="185"/>
  <c r="H57" i="184"/>
  <c r="A41" i="184"/>
  <c r="A42" i="184" s="1"/>
  <c r="A43" i="184" s="1"/>
  <c r="A44" i="184" s="1"/>
  <c r="A45" i="184" s="1"/>
  <c r="A48" i="184" s="1"/>
  <c r="J38" i="184"/>
  <c r="J57" i="184" s="1"/>
  <c r="J41" i="184"/>
  <c r="J34" i="184"/>
  <c r="J56" i="184" s="1"/>
  <c r="J60" i="184" s="1"/>
  <c r="J64" i="184" s="1"/>
  <c r="E68" i="184" s="1"/>
  <c r="A24" i="184"/>
  <c r="A25" i="184" s="1"/>
  <c r="N205" i="185" l="1"/>
  <c r="J205" i="185"/>
  <c r="H30" i="184"/>
  <c r="I205" i="185"/>
  <c r="E221" i="185"/>
  <c r="M205" i="185"/>
  <c r="A49" i="184"/>
  <c r="A51" i="184" s="1"/>
  <c r="A52" i="184" s="1"/>
  <c r="A53" i="184" s="1"/>
  <c r="A54" i="184" s="1"/>
  <c r="A55" i="184" s="1"/>
  <c r="A56" i="184" s="1"/>
  <c r="A57" i="184" s="1"/>
  <c r="A58" i="184" s="1"/>
  <c r="A59" i="184" s="1"/>
  <c r="A60" i="184" s="1"/>
  <c r="E73" i="184" l="1"/>
  <c r="J70" i="184" s="1"/>
  <c r="A62" i="184"/>
  <c r="A64" i="184" s="1"/>
  <c r="H60" i="184"/>
  <c r="J72" i="184" l="1"/>
  <c r="D7" i="106"/>
  <c r="A68" i="184"/>
  <c r="G68" i="184"/>
  <c r="H64" i="184"/>
  <c r="A69" i="184" l="1"/>
  <c r="A70" i="184" s="1"/>
  <c r="G70" i="184" l="1"/>
  <c r="A71" i="184"/>
  <c r="A72" i="184" s="1"/>
  <c r="A73" i="184" l="1"/>
  <c r="G73" i="184"/>
  <c r="G72" i="184"/>
  <c r="F216" i="183" l="1"/>
  <c r="F215" i="183"/>
  <c r="E214" i="183"/>
  <c r="F213" i="183"/>
  <c r="F212" i="183"/>
  <c r="F210" i="183"/>
  <c r="L199" i="183"/>
  <c r="H199" i="183"/>
  <c r="E199" i="183"/>
  <c r="M196" i="183"/>
  <c r="H196" i="183"/>
  <c r="F196" i="183"/>
  <c r="N196" i="183" s="1"/>
  <c r="F195" i="183"/>
  <c r="N195" i="183" s="1"/>
  <c r="F194" i="183"/>
  <c r="N194" i="183" s="1"/>
  <c r="N193" i="183"/>
  <c r="J193" i="183"/>
  <c r="M193" i="183" s="1"/>
  <c r="G193" i="183"/>
  <c r="I193" i="183" s="1"/>
  <c r="F192" i="183"/>
  <c r="J192" i="183" s="1"/>
  <c r="M192" i="183" s="1"/>
  <c r="F191" i="183"/>
  <c r="N191" i="183" s="1"/>
  <c r="L186" i="183"/>
  <c r="H186" i="183"/>
  <c r="E186" i="183"/>
  <c r="F183" i="183"/>
  <c r="J183" i="183" s="1"/>
  <c r="M183" i="183" s="1"/>
  <c r="F182" i="183"/>
  <c r="J182" i="183" s="1"/>
  <c r="M182" i="183" s="1"/>
  <c r="F181" i="183"/>
  <c r="J181" i="183" s="1"/>
  <c r="M181" i="183" s="1"/>
  <c r="F180" i="183"/>
  <c r="F179" i="183"/>
  <c r="J179" i="183" s="1"/>
  <c r="M179" i="183" s="1"/>
  <c r="G178" i="183"/>
  <c r="I178" i="183" s="1"/>
  <c r="F178" i="183"/>
  <c r="J178" i="183" s="1"/>
  <c r="M178" i="183" s="1"/>
  <c r="F177" i="183"/>
  <c r="J177" i="183" s="1"/>
  <c r="M177" i="183" s="1"/>
  <c r="F176" i="183"/>
  <c r="F175" i="183"/>
  <c r="J175" i="183" s="1"/>
  <c r="M175" i="183" s="1"/>
  <c r="F174" i="183"/>
  <c r="J174" i="183" s="1"/>
  <c r="M174" i="183" s="1"/>
  <c r="F173" i="183"/>
  <c r="J173" i="183" s="1"/>
  <c r="M173" i="183" s="1"/>
  <c r="F172" i="183"/>
  <c r="F171" i="183"/>
  <c r="J171" i="183" s="1"/>
  <c r="M171" i="183" s="1"/>
  <c r="F170" i="183"/>
  <c r="J170" i="183" s="1"/>
  <c r="M170" i="183" s="1"/>
  <c r="F169" i="183"/>
  <c r="N165" i="183"/>
  <c r="M165" i="183"/>
  <c r="L165" i="183"/>
  <c r="J165" i="183"/>
  <c r="I165" i="183"/>
  <c r="H165" i="183"/>
  <c r="G165" i="183"/>
  <c r="E165" i="183"/>
  <c r="N160" i="183"/>
  <c r="M160" i="183"/>
  <c r="L160" i="183"/>
  <c r="J160" i="183"/>
  <c r="I160" i="183"/>
  <c r="H160" i="183"/>
  <c r="G160" i="183"/>
  <c r="E160" i="183"/>
  <c r="L155" i="183"/>
  <c r="E155" i="183"/>
  <c r="F152" i="183"/>
  <c r="F151" i="183"/>
  <c r="F150" i="183"/>
  <c r="F149" i="183"/>
  <c r="J149" i="183" s="1"/>
  <c r="M149" i="183" s="1"/>
  <c r="M148" i="183"/>
  <c r="F148" i="183"/>
  <c r="J148" i="183" s="1"/>
  <c r="F147" i="183"/>
  <c r="J147" i="183" s="1"/>
  <c r="M147" i="183" s="1"/>
  <c r="F146" i="183"/>
  <c r="N146" i="183" s="1"/>
  <c r="F145" i="183"/>
  <c r="J145" i="183" s="1"/>
  <c r="M145" i="183" s="1"/>
  <c r="F144" i="183"/>
  <c r="J144" i="183" s="1"/>
  <c r="M144" i="183" s="1"/>
  <c r="F143" i="183"/>
  <c r="F142" i="183"/>
  <c r="F141" i="183"/>
  <c r="F140" i="183"/>
  <c r="J140" i="183" s="1"/>
  <c r="M140" i="183" s="1"/>
  <c r="F139" i="183"/>
  <c r="J139" i="183" s="1"/>
  <c r="M139" i="183" s="1"/>
  <c r="F138" i="183"/>
  <c r="N138" i="183" s="1"/>
  <c r="F137" i="183"/>
  <c r="N137" i="183" s="1"/>
  <c r="J136" i="183"/>
  <c r="M136" i="183" s="1"/>
  <c r="G136" i="183"/>
  <c r="I136" i="183" s="1"/>
  <c r="F136" i="183"/>
  <c r="N136" i="183" s="1"/>
  <c r="F135" i="183"/>
  <c r="F134" i="183"/>
  <c r="N134" i="183" s="1"/>
  <c r="L131" i="183"/>
  <c r="E131" i="183"/>
  <c r="N128" i="183"/>
  <c r="J128" i="183"/>
  <c r="M128" i="183" s="1"/>
  <c r="G128" i="183"/>
  <c r="I128" i="183" s="1"/>
  <c r="N127" i="183"/>
  <c r="J127" i="183"/>
  <c r="M127" i="183" s="1"/>
  <c r="I127" i="183"/>
  <c r="G127" i="183"/>
  <c r="F126" i="183"/>
  <c r="G125" i="183"/>
  <c r="I125" i="183" s="1"/>
  <c r="F125" i="183"/>
  <c r="J125" i="183" s="1"/>
  <c r="M125" i="183" s="1"/>
  <c r="J124" i="183"/>
  <c r="M124" i="183" s="1"/>
  <c r="F124" i="183"/>
  <c r="F123" i="183"/>
  <c r="F122" i="183"/>
  <c r="F121" i="183"/>
  <c r="F120" i="183"/>
  <c r="N119" i="183"/>
  <c r="F119" i="183"/>
  <c r="J119" i="183" s="1"/>
  <c r="M119" i="183" s="1"/>
  <c r="J118" i="183"/>
  <c r="M118" i="183" s="1"/>
  <c r="F118" i="183"/>
  <c r="F117" i="183"/>
  <c r="J117" i="183" s="1"/>
  <c r="M117" i="183" s="1"/>
  <c r="F116" i="183"/>
  <c r="J116" i="183" s="1"/>
  <c r="M116" i="183" s="1"/>
  <c r="F115" i="183"/>
  <c r="F114" i="183"/>
  <c r="F113" i="183"/>
  <c r="J112" i="183"/>
  <c r="M112" i="183" s="1"/>
  <c r="F112" i="183"/>
  <c r="F111" i="183"/>
  <c r="J111" i="183" s="1"/>
  <c r="M111" i="183" s="1"/>
  <c r="F110" i="183"/>
  <c r="J110" i="183" s="1"/>
  <c r="M110" i="183" s="1"/>
  <c r="N109" i="183"/>
  <c r="F109" i="183"/>
  <c r="J108" i="183"/>
  <c r="M108" i="183" s="1"/>
  <c r="F108" i="183"/>
  <c r="M107" i="183"/>
  <c r="F107" i="183"/>
  <c r="J107" i="183" s="1"/>
  <c r="F106" i="183"/>
  <c r="F105" i="183"/>
  <c r="G105" i="183" s="1"/>
  <c r="I105" i="183" s="1"/>
  <c r="F104" i="183"/>
  <c r="F103" i="183"/>
  <c r="J103" i="183" s="1"/>
  <c r="M103" i="183" s="1"/>
  <c r="F102" i="183"/>
  <c r="J102" i="183" s="1"/>
  <c r="M102" i="183" s="1"/>
  <c r="F101" i="183"/>
  <c r="F100" i="183"/>
  <c r="F99" i="183"/>
  <c r="J99" i="183" s="1"/>
  <c r="M99" i="183" s="1"/>
  <c r="F98" i="183"/>
  <c r="N97" i="183"/>
  <c r="F97" i="183"/>
  <c r="J97" i="183" s="1"/>
  <c r="M97" i="183" s="1"/>
  <c r="F96" i="183"/>
  <c r="F95" i="183"/>
  <c r="J95" i="183" s="1"/>
  <c r="M95" i="183" s="1"/>
  <c r="F94" i="183"/>
  <c r="J94" i="183" s="1"/>
  <c r="M94" i="183" s="1"/>
  <c r="F93" i="183"/>
  <c r="F92" i="183"/>
  <c r="N91" i="183"/>
  <c r="F91" i="183"/>
  <c r="J90" i="183"/>
  <c r="M90" i="183" s="1"/>
  <c r="F90" i="183"/>
  <c r="G90" i="183" s="1"/>
  <c r="I90" i="183" s="1"/>
  <c r="F89" i="183"/>
  <c r="N89" i="183" s="1"/>
  <c r="J88" i="183"/>
  <c r="M88" i="183" s="1"/>
  <c r="F88" i="183"/>
  <c r="N88" i="183" s="1"/>
  <c r="N87" i="183"/>
  <c r="F87" i="183"/>
  <c r="F86" i="183"/>
  <c r="N86" i="183" s="1"/>
  <c r="F85" i="183"/>
  <c r="N85" i="183" s="1"/>
  <c r="N84" i="183"/>
  <c r="G84" i="183"/>
  <c r="I84" i="183" s="1"/>
  <c r="F84" i="183"/>
  <c r="J84" i="183" s="1"/>
  <c r="M84" i="183" s="1"/>
  <c r="F83" i="183"/>
  <c r="N83" i="183" s="1"/>
  <c r="H82" i="183"/>
  <c r="G82" i="183" s="1"/>
  <c r="F82" i="183"/>
  <c r="N82" i="183" s="1"/>
  <c r="H81" i="183"/>
  <c r="F81" i="183"/>
  <c r="N81" i="183" s="1"/>
  <c r="F80" i="183"/>
  <c r="J80" i="183" s="1"/>
  <c r="M80" i="183" s="1"/>
  <c r="F79" i="183"/>
  <c r="N79" i="183" s="1"/>
  <c r="F78" i="183"/>
  <c r="F77" i="183"/>
  <c r="J77" i="183" s="1"/>
  <c r="M77" i="183" s="1"/>
  <c r="F76" i="183"/>
  <c r="F75" i="183"/>
  <c r="J75" i="183" s="1"/>
  <c r="M75" i="183" s="1"/>
  <c r="F74" i="183"/>
  <c r="J74" i="183" s="1"/>
  <c r="M74" i="183" s="1"/>
  <c r="F73" i="183"/>
  <c r="J73" i="183" s="1"/>
  <c r="M73" i="183" s="1"/>
  <c r="L70" i="183"/>
  <c r="E70" i="183"/>
  <c r="N67" i="183"/>
  <c r="J67" i="183"/>
  <c r="M67" i="183" s="1"/>
  <c r="G67" i="183"/>
  <c r="I67" i="183" s="1"/>
  <c r="N66" i="183"/>
  <c r="M66" i="183"/>
  <c r="J66" i="183"/>
  <c r="G66" i="183"/>
  <c r="I66" i="183" s="1"/>
  <c r="N65" i="183"/>
  <c r="J65" i="183"/>
  <c r="M65" i="183" s="1"/>
  <c r="G65" i="183"/>
  <c r="I65" i="183" s="1"/>
  <c r="F64" i="183"/>
  <c r="N64" i="183" s="1"/>
  <c r="F63" i="183"/>
  <c r="J63" i="183" s="1"/>
  <c r="M63" i="183" s="1"/>
  <c r="F62" i="183"/>
  <c r="N62" i="183" s="1"/>
  <c r="F61" i="183"/>
  <c r="G61" i="183" s="1"/>
  <c r="I61" i="183" s="1"/>
  <c r="N60" i="183"/>
  <c r="G60" i="183"/>
  <c r="I60" i="183" s="1"/>
  <c r="F60" i="183"/>
  <c r="J60" i="183" s="1"/>
  <c r="M60" i="183" s="1"/>
  <c r="F59" i="183"/>
  <c r="J59" i="183" s="1"/>
  <c r="M59" i="183" s="1"/>
  <c r="F58" i="183"/>
  <c r="N58" i="183" s="1"/>
  <c r="F57" i="183"/>
  <c r="G57" i="183" s="1"/>
  <c r="I57" i="183" s="1"/>
  <c r="H56" i="183"/>
  <c r="G56" i="183"/>
  <c r="I56" i="183" s="1"/>
  <c r="F56" i="183"/>
  <c r="J56" i="183" s="1"/>
  <c r="M56" i="183" s="1"/>
  <c r="H55" i="183"/>
  <c r="G55" i="183" s="1"/>
  <c r="F55" i="183"/>
  <c r="H54" i="183"/>
  <c r="F54" i="183"/>
  <c r="G54" i="183" s="1"/>
  <c r="M53" i="183"/>
  <c r="H53" i="183"/>
  <c r="G53" i="183"/>
  <c r="F53" i="183"/>
  <c r="J53" i="183" s="1"/>
  <c r="F52" i="183"/>
  <c r="N52" i="183" s="1"/>
  <c r="F51" i="183"/>
  <c r="J51" i="183" s="1"/>
  <c r="M51" i="183" s="1"/>
  <c r="F50" i="183"/>
  <c r="N50" i="183" s="1"/>
  <c r="N49" i="183"/>
  <c r="F49" i="183"/>
  <c r="J49" i="183" s="1"/>
  <c r="M49" i="183" s="1"/>
  <c r="J48" i="183"/>
  <c r="M48" i="183" s="1"/>
  <c r="F48" i="183"/>
  <c r="N48" i="183" s="1"/>
  <c r="M47" i="183"/>
  <c r="F47" i="183"/>
  <c r="J47" i="183" s="1"/>
  <c r="F46" i="183"/>
  <c r="N46" i="183" s="1"/>
  <c r="G45" i="183"/>
  <c r="I45" i="183" s="1"/>
  <c r="F45" i="183"/>
  <c r="J45" i="183" s="1"/>
  <c r="M45" i="183" s="1"/>
  <c r="F44" i="183"/>
  <c r="N44" i="183" s="1"/>
  <c r="F43" i="183"/>
  <c r="J43" i="183" s="1"/>
  <c r="M43" i="183" s="1"/>
  <c r="F42" i="183"/>
  <c r="N42" i="183" s="1"/>
  <c r="L39" i="183"/>
  <c r="H39" i="183"/>
  <c r="E39" i="183"/>
  <c r="G36" i="183"/>
  <c r="I36" i="183" s="1"/>
  <c r="F36" i="183"/>
  <c r="J36" i="183" s="1"/>
  <c r="M36" i="183" s="1"/>
  <c r="J35" i="183"/>
  <c r="M35" i="183" s="1"/>
  <c r="F35" i="183"/>
  <c r="N35" i="183" s="1"/>
  <c r="F34" i="183"/>
  <c r="J34" i="183" s="1"/>
  <c r="L31" i="183"/>
  <c r="H31" i="183"/>
  <c r="E31" i="183"/>
  <c r="N28" i="183"/>
  <c r="J28" i="183"/>
  <c r="M28" i="183" s="1"/>
  <c r="I28" i="183"/>
  <c r="G28" i="183"/>
  <c r="N27" i="183"/>
  <c r="J27" i="183"/>
  <c r="M27" i="183" s="1"/>
  <c r="G27" i="183"/>
  <c r="I27" i="183" s="1"/>
  <c r="N26" i="183"/>
  <c r="M26" i="183"/>
  <c r="J26" i="183"/>
  <c r="G26" i="183"/>
  <c r="I26" i="183" s="1"/>
  <c r="N25" i="183"/>
  <c r="J25" i="183"/>
  <c r="M25" i="183" s="1"/>
  <c r="G25" i="183"/>
  <c r="I25" i="183" s="1"/>
  <c r="N24" i="183"/>
  <c r="J24" i="183"/>
  <c r="M24" i="183" s="1"/>
  <c r="G24" i="183"/>
  <c r="I24" i="183" s="1"/>
  <c r="N23" i="183"/>
  <c r="J23" i="183"/>
  <c r="M23" i="183" s="1"/>
  <c r="G23" i="183"/>
  <c r="I23" i="183" s="1"/>
  <c r="N22" i="183"/>
  <c r="J22" i="183"/>
  <c r="M22" i="183" s="1"/>
  <c r="G22" i="183"/>
  <c r="I22" i="183" s="1"/>
  <c r="N21" i="183"/>
  <c r="J21" i="183"/>
  <c r="M21" i="183" s="1"/>
  <c r="G21" i="183"/>
  <c r="I21" i="183" s="1"/>
  <c r="F20" i="183"/>
  <c r="N20" i="183" s="1"/>
  <c r="F19" i="183"/>
  <c r="J19" i="183" s="1"/>
  <c r="M19" i="183" s="1"/>
  <c r="F18" i="183"/>
  <c r="N18" i="183" s="1"/>
  <c r="F17" i="183"/>
  <c r="J17" i="183" s="1"/>
  <c r="M17" i="183" s="1"/>
  <c r="F16" i="183"/>
  <c r="J16" i="183" s="1"/>
  <c r="M16" i="183" s="1"/>
  <c r="F15" i="183"/>
  <c r="J15" i="183" s="1"/>
  <c r="M15" i="183" s="1"/>
  <c r="F14" i="183"/>
  <c r="J14" i="183" s="1"/>
  <c r="M14" i="183" s="1"/>
  <c r="F13" i="183"/>
  <c r="J13" i="183" s="1"/>
  <c r="M13" i="183" s="1"/>
  <c r="F12" i="183"/>
  <c r="L9" i="183"/>
  <c r="H9" i="183"/>
  <c r="E9" i="183"/>
  <c r="F6" i="183"/>
  <c r="J6" i="183" s="1"/>
  <c r="M6" i="183" s="1"/>
  <c r="F5" i="183"/>
  <c r="F4" i="183"/>
  <c r="J4" i="183" s="1"/>
  <c r="M4" i="183" s="1"/>
  <c r="J46" i="183" l="1"/>
  <c r="M46" i="183" s="1"/>
  <c r="J64" i="183"/>
  <c r="M64" i="183" s="1"/>
  <c r="N90" i="183"/>
  <c r="G95" i="183"/>
  <c r="I95" i="183" s="1"/>
  <c r="G195" i="183"/>
  <c r="I195" i="183" s="1"/>
  <c r="G4" i="183"/>
  <c r="J20" i="183"/>
  <c r="M20" i="183" s="1"/>
  <c r="G58" i="183"/>
  <c r="I58" i="183" s="1"/>
  <c r="J61" i="183"/>
  <c r="M61" i="183" s="1"/>
  <c r="J85" i="183"/>
  <c r="M85" i="183" s="1"/>
  <c r="G88" i="183"/>
  <c r="I88" i="183" s="1"/>
  <c r="G107" i="183"/>
  <c r="I107" i="183" s="1"/>
  <c r="J195" i="183"/>
  <c r="M195" i="183" s="1"/>
  <c r="G182" i="183"/>
  <c r="I182" i="183" s="1"/>
  <c r="J44" i="183"/>
  <c r="M44" i="183" s="1"/>
  <c r="J52" i="183"/>
  <c r="M52" i="183" s="1"/>
  <c r="N59" i="183"/>
  <c r="G62" i="183"/>
  <c r="I62" i="183" s="1"/>
  <c r="G86" i="183"/>
  <c r="I86" i="183" s="1"/>
  <c r="N107" i="183"/>
  <c r="G111" i="183"/>
  <c r="I111" i="183" s="1"/>
  <c r="G138" i="183"/>
  <c r="I138" i="183" s="1"/>
  <c r="G144" i="183"/>
  <c r="I144" i="183" s="1"/>
  <c r="J62" i="183"/>
  <c r="M62" i="183" s="1"/>
  <c r="J86" i="183"/>
  <c r="M86" i="183" s="1"/>
  <c r="G97" i="183"/>
  <c r="I97" i="183" s="1"/>
  <c r="J138" i="183"/>
  <c r="M138" i="183" s="1"/>
  <c r="N144" i="183"/>
  <c r="G17" i="183"/>
  <c r="I17" i="183" s="1"/>
  <c r="N45" i="183"/>
  <c r="G49" i="183"/>
  <c r="I49" i="183" s="1"/>
  <c r="G194" i="183"/>
  <c r="I194" i="183" s="1"/>
  <c r="G15" i="183"/>
  <c r="I15" i="183" s="1"/>
  <c r="J18" i="183"/>
  <c r="M18" i="183" s="1"/>
  <c r="J42" i="183"/>
  <c r="H70" i="183"/>
  <c r="G103" i="183"/>
  <c r="I103" i="183" s="1"/>
  <c r="G137" i="183"/>
  <c r="I137" i="183" s="1"/>
  <c r="G139" i="183"/>
  <c r="I139" i="183" s="1"/>
  <c r="N99" i="183"/>
  <c r="J50" i="183"/>
  <c r="M50" i="183" s="1"/>
  <c r="I54" i="183"/>
  <c r="J58" i="183"/>
  <c r="M58" i="183" s="1"/>
  <c r="G63" i="183"/>
  <c r="I63" i="183" s="1"/>
  <c r="G75" i="183"/>
  <c r="I75" i="183" s="1"/>
  <c r="J82" i="183"/>
  <c r="M82" i="183" s="1"/>
  <c r="G89" i="183"/>
  <c r="I89" i="183" s="1"/>
  <c r="N139" i="183"/>
  <c r="G170" i="183"/>
  <c r="I170" i="183" s="1"/>
  <c r="G174" i="183"/>
  <c r="I174" i="183" s="1"/>
  <c r="J194" i="183"/>
  <c r="M194" i="183" s="1"/>
  <c r="G196" i="183"/>
  <c r="I196" i="183" s="1"/>
  <c r="N36" i="183"/>
  <c r="J89" i="183"/>
  <c r="M89" i="183" s="1"/>
  <c r="J137" i="183"/>
  <c r="M137" i="183" s="1"/>
  <c r="N54" i="183"/>
  <c r="N56" i="183"/>
  <c r="G64" i="183"/>
  <c r="I64" i="183" s="1"/>
  <c r="G85" i="183"/>
  <c r="I85" i="183" s="1"/>
  <c r="G117" i="183"/>
  <c r="I117" i="183" s="1"/>
  <c r="G140" i="183"/>
  <c r="H140" i="183" s="1"/>
  <c r="I140" i="183" s="1"/>
  <c r="N55" i="183"/>
  <c r="H131" i="183"/>
  <c r="J39" i="183"/>
  <c r="N17" i="183"/>
  <c r="J57" i="183"/>
  <c r="M57" i="183" s="1"/>
  <c r="J81" i="183"/>
  <c r="M81" i="183" s="1"/>
  <c r="N140" i="183"/>
  <c r="G148" i="183"/>
  <c r="I148" i="183" s="1"/>
  <c r="N5" i="183"/>
  <c r="G5" i="183"/>
  <c r="I5" i="183" s="1"/>
  <c r="N6" i="183"/>
  <c r="N12" i="183"/>
  <c r="G12" i="183"/>
  <c r="N13" i="183"/>
  <c r="J93" i="183"/>
  <c r="M93" i="183" s="1"/>
  <c r="G93" i="183"/>
  <c r="I93" i="183" s="1"/>
  <c r="N93" i="183"/>
  <c r="N96" i="183"/>
  <c r="G96" i="183"/>
  <c r="I96" i="183" s="1"/>
  <c r="J96" i="183"/>
  <c r="M96" i="183" s="1"/>
  <c r="N114" i="183"/>
  <c r="G114" i="183"/>
  <c r="I114" i="183" s="1"/>
  <c r="J114" i="183"/>
  <c r="M114" i="183" s="1"/>
  <c r="J121" i="183"/>
  <c r="M121" i="183" s="1"/>
  <c r="G121" i="183"/>
  <c r="I121" i="183" s="1"/>
  <c r="N121" i="183"/>
  <c r="J150" i="183"/>
  <c r="M150" i="183" s="1"/>
  <c r="G150" i="183"/>
  <c r="I150" i="183" s="1"/>
  <c r="N150" i="183"/>
  <c r="J180" i="183"/>
  <c r="M180" i="183" s="1"/>
  <c r="G180" i="183"/>
  <c r="I180" i="183" s="1"/>
  <c r="N180" i="183"/>
  <c r="J5" i="183"/>
  <c r="J12" i="183"/>
  <c r="N16" i="183"/>
  <c r="G16" i="183"/>
  <c r="I16" i="183" s="1"/>
  <c r="M34" i="183"/>
  <c r="M39" i="183" s="1"/>
  <c r="N76" i="183"/>
  <c r="G76" i="183"/>
  <c r="I76" i="183" s="1"/>
  <c r="J76" i="183"/>
  <c r="M76" i="183" s="1"/>
  <c r="N77" i="183"/>
  <c r="J87" i="183"/>
  <c r="M87" i="183" s="1"/>
  <c r="G87" i="183"/>
  <c r="I87" i="183" s="1"/>
  <c r="J101" i="183"/>
  <c r="M101" i="183" s="1"/>
  <c r="G101" i="183"/>
  <c r="I101" i="183" s="1"/>
  <c r="N104" i="183"/>
  <c r="G104" i="183"/>
  <c r="I104" i="183" s="1"/>
  <c r="J104" i="183"/>
  <c r="M104" i="183" s="1"/>
  <c r="J113" i="183"/>
  <c r="M113" i="183" s="1"/>
  <c r="G113" i="183"/>
  <c r="I113" i="183" s="1"/>
  <c r="J123" i="183"/>
  <c r="M123" i="183" s="1"/>
  <c r="G123" i="183"/>
  <c r="I123" i="183" s="1"/>
  <c r="N123" i="183"/>
  <c r="J152" i="183"/>
  <c r="M152" i="183" s="1"/>
  <c r="N152" i="183"/>
  <c r="J176" i="183"/>
  <c r="M176" i="183" s="1"/>
  <c r="G176" i="183"/>
  <c r="I176" i="183" s="1"/>
  <c r="N176" i="183"/>
  <c r="N4" i="183"/>
  <c r="N9" i="183" s="1"/>
  <c r="N19" i="183"/>
  <c r="N34" i="183"/>
  <c r="N39" i="183" s="1"/>
  <c r="M42" i="183"/>
  <c r="N43" i="183"/>
  <c r="G47" i="183"/>
  <c r="I47" i="183" s="1"/>
  <c r="N51" i="183"/>
  <c r="N53" i="183"/>
  <c r="J55" i="183"/>
  <c r="M55" i="183" s="1"/>
  <c r="G59" i="183"/>
  <c r="I59" i="183" s="1"/>
  <c r="N63" i="183"/>
  <c r="N78" i="183"/>
  <c r="G78" i="183"/>
  <c r="I78" i="183" s="1"/>
  <c r="J78" i="183"/>
  <c r="M78" i="183" s="1"/>
  <c r="J83" i="183"/>
  <c r="M83" i="183" s="1"/>
  <c r="G83" i="183"/>
  <c r="I83" i="183" s="1"/>
  <c r="N92" i="183"/>
  <c r="G92" i="183"/>
  <c r="I92" i="183" s="1"/>
  <c r="J92" i="183"/>
  <c r="M92" i="183" s="1"/>
  <c r="N101" i="183"/>
  <c r="J105" i="183"/>
  <c r="M105" i="183" s="1"/>
  <c r="N105" i="183"/>
  <c r="N113" i="183"/>
  <c r="N141" i="183"/>
  <c r="G141" i="183"/>
  <c r="I141" i="183" s="1"/>
  <c r="J141" i="183"/>
  <c r="M141" i="183" s="1"/>
  <c r="G152" i="183"/>
  <c r="I152" i="183" s="1"/>
  <c r="I4" i="183"/>
  <c r="G6" i="183"/>
  <c r="I6" i="183" s="1"/>
  <c r="E203" i="183"/>
  <c r="G13" i="183"/>
  <c r="I13" i="183" s="1"/>
  <c r="N14" i="183"/>
  <c r="G14" i="183"/>
  <c r="I14" i="183" s="1"/>
  <c r="N15" i="183"/>
  <c r="G19" i="183"/>
  <c r="I19" i="183" s="1"/>
  <c r="G34" i="183"/>
  <c r="G43" i="183"/>
  <c r="I43" i="183" s="1"/>
  <c r="N47" i="183"/>
  <c r="G51" i="183"/>
  <c r="I51" i="183" s="1"/>
  <c r="G77" i="183"/>
  <c r="I77" i="183" s="1"/>
  <c r="J79" i="183"/>
  <c r="M79" i="183" s="1"/>
  <c r="G79" i="183"/>
  <c r="I79" i="183" s="1"/>
  <c r="J91" i="183"/>
  <c r="M91" i="183" s="1"/>
  <c r="G91" i="183"/>
  <c r="I91" i="183" s="1"/>
  <c r="N106" i="183"/>
  <c r="G106" i="183"/>
  <c r="I106" i="183" s="1"/>
  <c r="J106" i="183"/>
  <c r="M106" i="183" s="1"/>
  <c r="N126" i="183"/>
  <c r="G126" i="183"/>
  <c r="I126" i="183" s="1"/>
  <c r="J126" i="183"/>
  <c r="M126" i="183" s="1"/>
  <c r="J135" i="183"/>
  <c r="M135" i="183" s="1"/>
  <c r="G135" i="183"/>
  <c r="I135" i="183" s="1"/>
  <c r="N135" i="183"/>
  <c r="N143" i="183"/>
  <c r="G143" i="183"/>
  <c r="I143" i="183" s="1"/>
  <c r="J143" i="183"/>
  <c r="M143" i="183" s="1"/>
  <c r="J54" i="183"/>
  <c r="M54" i="183" s="1"/>
  <c r="N57" i="183"/>
  <c r="N61" i="183"/>
  <c r="N73" i="183"/>
  <c r="N80" i="183"/>
  <c r="G80" i="183"/>
  <c r="I80" i="183" s="1"/>
  <c r="N100" i="183"/>
  <c r="G100" i="183"/>
  <c r="I100" i="183" s="1"/>
  <c r="J109" i="183"/>
  <c r="M109" i="183" s="1"/>
  <c r="G109" i="183"/>
  <c r="I109" i="183" s="1"/>
  <c r="N112" i="183"/>
  <c r="G112" i="183"/>
  <c r="I112" i="183" s="1"/>
  <c r="J142" i="183"/>
  <c r="M142" i="183" s="1"/>
  <c r="N142" i="183"/>
  <c r="N169" i="183"/>
  <c r="G169" i="183"/>
  <c r="J169" i="183"/>
  <c r="L203" i="183"/>
  <c r="E206" i="183" s="1"/>
  <c r="E207" i="183" s="1"/>
  <c r="G18" i="183"/>
  <c r="I18" i="183" s="1"/>
  <c r="G20" i="183"/>
  <c r="I20" i="183" s="1"/>
  <c r="G35" i="183"/>
  <c r="I35" i="183" s="1"/>
  <c r="G42" i="183"/>
  <c r="G44" i="183"/>
  <c r="I44" i="183" s="1"/>
  <c r="G46" i="183"/>
  <c r="I46" i="183" s="1"/>
  <c r="G48" i="183"/>
  <c r="I48" i="183" s="1"/>
  <c r="G50" i="183"/>
  <c r="I50" i="183" s="1"/>
  <c r="G52" i="183"/>
  <c r="I52" i="183" s="1"/>
  <c r="G73" i="183"/>
  <c r="N74" i="183"/>
  <c r="G74" i="183"/>
  <c r="I74" i="183" s="1"/>
  <c r="N75" i="183"/>
  <c r="G81" i="183"/>
  <c r="I81" i="183" s="1"/>
  <c r="N98" i="183"/>
  <c r="G98" i="183"/>
  <c r="I98" i="183" s="1"/>
  <c r="J98" i="183"/>
  <c r="M98" i="183" s="1"/>
  <c r="G99" i="183"/>
  <c r="I99" i="183" s="1"/>
  <c r="J100" i="183"/>
  <c r="M100" i="183" s="1"/>
  <c r="N108" i="183"/>
  <c r="G108" i="183"/>
  <c r="I108" i="183" s="1"/>
  <c r="N122" i="183"/>
  <c r="G122" i="183"/>
  <c r="I122" i="183" s="1"/>
  <c r="J122" i="183"/>
  <c r="M122" i="183" s="1"/>
  <c r="G134" i="183"/>
  <c r="J134" i="183"/>
  <c r="G142" i="183"/>
  <c r="I142" i="183" s="1"/>
  <c r="N151" i="183"/>
  <c r="G151" i="183"/>
  <c r="I151" i="183" s="1"/>
  <c r="J151" i="183"/>
  <c r="M151" i="183" s="1"/>
  <c r="J172" i="183"/>
  <c r="M172" i="183" s="1"/>
  <c r="G172" i="183"/>
  <c r="I172" i="183" s="1"/>
  <c r="N172" i="183"/>
  <c r="J115" i="183"/>
  <c r="M115" i="183" s="1"/>
  <c r="G115" i="183"/>
  <c r="I115" i="183" s="1"/>
  <c r="N118" i="183"/>
  <c r="G118" i="183"/>
  <c r="I118" i="183" s="1"/>
  <c r="G119" i="183"/>
  <c r="I119" i="183" s="1"/>
  <c r="N145" i="183"/>
  <c r="G145" i="183"/>
  <c r="I145" i="183" s="1"/>
  <c r="N171" i="183"/>
  <c r="G171" i="183"/>
  <c r="I171" i="183" s="1"/>
  <c r="N175" i="183"/>
  <c r="G175" i="183"/>
  <c r="I175" i="183" s="1"/>
  <c r="J191" i="183"/>
  <c r="G191" i="183"/>
  <c r="N94" i="183"/>
  <c r="G94" i="183"/>
  <c r="I94" i="183" s="1"/>
  <c r="N95" i="183"/>
  <c r="N102" i="183"/>
  <c r="G102" i="183"/>
  <c r="I102" i="183" s="1"/>
  <c r="N103" i="183"/>
  <c r="N110" i="183"/>
  <c r="G110" i="183"/>
  <c r="I110" i="183" s="1"/>
  <c r="N111" i="183"/>
  <c r="N115" i="183"/>
  <c r="N120" i="183"/>
  <c r="G120" i="183"/>
  <c r="I120" i="183" s="1"/>
  <c r="J120" i="183"/>
  <c r="M120" i="183" s="1"/>
  <c r="J146" i="183"/>
  <c r="M146" i="183" s="1"/>
  <c r="G146" i="183"/>
  <c r="I146" i="183" s="1"/>
  <c r="N149" i="183"/>
  <c r="G149" i="183"/>
  <c r="I149" i="183" s="1"/>
  <c r="N179" i="183"/>
  <c r="G179" i="183"/>
  <c r="I179" i="183" s="1"/>
  <c r="N183" i="183"/>
  <c r="G183" i="183"/>
  <c r="I183" i="183" s="1"/>
  <c r="N116" i="183"/>
  <c r="G116" i="183"/>
  <c r="I116" i="183" s="1"/>
  <c r="N117" i="183"/>
  <c r="N124" i="183"/>
  <c r="G124" i="183"/>
  <c r="I124" i="183" s="1"/>
  <c r="N125" i="183"/>
  <c r="N147" i="183"/>
  <c r="G147" i="183"/>
  <c r="I147" i="183" s="1"/>
  <c r="N148" i="183"/>
  <c r="N173" i="183"/>
  <c r="G173" i="183"/>
  <c r="I173" i="183" s="1"/>
  <c r="N174" i="183"/>
  <c r="N181" i="183"/>
  <c r="G181" i="183"/>
  <c r="I181" i="183" s="1"/>
  <c r="N182" i="183"/>
  <c r="N192" i="183"/>
  <c r="N199" i="183" s="1"/>
  <c r="G192" i="183"/>
  <c r="I192" i="183" s="1"/>
  <c r="N170" i="183"/>
  <c r="N177" i="183"/>
  <c r="G177" i="183"/>
  <c r="I177" i="183" s="1"/>
  <c r="N178" i="183"/>
  <c r="N70" i="183" l="1"/>
  <c r="N155" i="183"/>
  <c r="M131" i="183"/>
  <c r="G155" i="183"/>
  <c r="H134" i="183"/>
  <c r="H155" i="183" s="1"/>
  <c r="H203" i="183" s="1"/>
  <c r="E209" i="183"/>
  <c r="E210" i="183" s="1"/>
  <c r="N186" i="183"/>
  <c r="J131" i="183"/>
  <c r="G70" i="183"/>
  <c r="I42" i="183"/>
  <c r="I70" i="183" s="1"/>
  <c r="G39" i="183"/>
  <c r="I34" i="183"/>
  <c r="I39" i="183" s="1"/>
  <c r="I9" i="183"/>
  <c r="M70" i="183"/>
  <c r="M5" i="183"/>
  <c r="M9" i="183" s="1"/>
  <c r="J9" i="183"/>
  <c r="I12" i="183"/>
  <c r="I31" i="183" s="1"/>
  <c r="G31" i="183"/>
  <c r="G199" i="183"/>
  <c r="I191" i="183"/>
  <c r="I199" i="183" s="1"/>
  <c r="J186" i="183"/>
  <c r="M169" i="183"/>
  <c r="M186" i="183" s="1"/>
  <c r="J70" i="183"/>
  <c r="N31" i="183"/>
  <c r="G9" i="183"/>
  <c r="J199" i="183"/>
  <c r="M191" i="183"/>
  <c r="M199" i="183" s="1"/>
  <c r="M134" i="183"/>
  <c r="M155" i="183" s="1"/>
  <c r="J155" i="183"/>
  <c r="G131" i="183"/>
  <c r="I73" i="183"/>
  <c r="I131" i="183" s="1"/>
  <c r="G186" i="183"/>
  <c r="I169" i="183"/>
  <c r="I186" i="183" s="1"/>
  <c r="N131" i="183"/>
  <c r="M12" i="183"/>
  <c r="M31" i="183" s="1"/>
  <c r="J31" i="183"/>
  <c r="I134" i="183" l="1"/>
  <c r="I155" i="183" s="1"/>
  <c r="N203" i="183"/>
  <c r="G203" i="183"/>
  <c r="E211" i="183"/>
  <c r="E212" i="183" s="1"/>
  <c r="E213" i="183" s="1"/>
  <c r="E215" i="183" s="1"/>
  <c r="E216" i="183" s="1"/>
  <c r="E219" i="183" s="1"/>
  <c r="J203" i="183"/>
  <c r="I203" i="183"/>
  <c r="M203" i="183"/>
  <c r="D6" i="101" l="1"/>
  <c r="F103" i="182"/>
  <c r="F98" i="182"/>
  <c r="J86" i="182"/>
  <c r="E87" i="182" s="1"/>
  <c r="H42" i="182"/>
  <c r="H41" i="182"/>
  <c r="A34" i="182"/>
  <c r="H56" i="182" s="1"/>
  <c r="H33" i="182"/>
  <c r="A33" i="182"/>
  <c r="H34" i="182" s="1"/>
  <c r="J15" i="182"/>
  <c r="A7" i="182"/>
  <c r="A8" i="182" s="1"/>
  <c r="A9" i="182" s="1"/>
  <c r="A12" i="182" s="1"/>
  <c r="A38" i="182" l="1"/>
  <c r="H57" i="182" s="1"/>
  <c r="J21" i="182"/>
  <c r="J29" i="182" s="1"/>
  <c r="J41" i="182" s="1"/>
  <c r="A13" i="182"/>
  <c r="A14" i="182" s="1"/>
  <c r="A15" i="182" s="1"/>
  <c r="A18" i="182" s="1"/>
  <c r="H15" i="182"/>
  <c r="E103" i="182"/>
  <c r="J42" i="182" s="1"/>
  <c r="E98" i="182"/>
  <c r="J33" i="182" s="1"/>
  <c r="A41" i="182"/>
  <c r="A42" i="182" s="1"/>
  <c r="A43" i="182" s="1"/>
  <c r="A44" i="182" s="1"/>
  <c r="A45" i="182" s="1"/>
  <c r="A48" i="182" s="1"/>
  <c r="J38" i="182" l="1"/>
  <c r="J57" i="182" s="1"/>
  <c r="J34" i="182"/>
  <c r="J56" i="182" s="1"/>
  <c r="J60" i="182"/>
  <c r="J64" i="182" s="1"/>
  <c r="E68" i="182" s="1"/>
  <c r="A49" i="182"/>
  <c r="A51" i="182" s="1"/>
  <c r="A52" i="182" s="1"/>
  <c r="A53" i="182" s="1"/>
  <c r="A54" i="182" s="1"/>
  <c r="A55" i="182" s="1"/>
  <c r="A56" i="182" s="1"/>
  <c r="A57" i="182" s="1"/>
  <c r="A58" i="182" s="1"/>
  <c r="A59" i="182" s="1"/>
  <c r="A60" i="182" s="1"/>
  <c r="A19" i="182"/>
  <c r="A20" i="182" s="1"/>
  <c r="A21" i="182" s="1"/>
  <c r="H21" i="182"/>
  <c r="E73" i="182" l="1"/>
  <c r="J70" i="182" s="1"/>
  <c r="A62" i="182"/>
  <c r="A64" i="182" s="1"/>
  <c r="H60" i="182"/>
  <c r="A23" i="182"/>
  <c r="H29" i="182"/>
  <c r="J72" i="182" l="1"/>
  <c r="D7" i="101"/>
  <c r="A24" i="182"/>
  <c r="A25" i="182" s="1"/>
  <c r="G68" i="182"/>
  <c r="A68" i="182"/>
  <c r="H64" i="182"/>
  <c r="A69" i="182" l="1"/>
  <c r="A70" i="182" s="1"/>
  <c r="H30" i="182"/>
  <c r="A71" i="182" l="1"/>
  <c r="A72" i="182" s="1"/>
  <c r="A73" i="182" s="1"/>
  <c r="G72" i="182"/>
  <c r="G70" i="182"/>
  <c r="G73" i="182" l="1"/>
  <c r="F213" i="181" l="1"/>
  <c r="F212" i="181"/>
  <c r="E211" i="181"/>
  <c r="F210" i="181"/>
  <c r="F209" i="181"/>
  <c r="F207" i="181"/>
  <c r="L196" i="181"/>
  <c r="H196" i="181"/>
  <c r="E196" i="181"/>
  <c r="M193" i="181"/>
  <c r="H193" i="181"/>
  <c r="F193" i="181"/>
  <c r="F192" i="181"/>
  <c r="F191" i="181"/>
  <c r="N190" i="181"/>
  <c r="M190" i="181"/>
  <c r="J190" i="181"/>
  <c r="G190" i="181"/>
  <c r="I190" i="181" s="1"/>
  <c r="F189" i="181"/>
  <c r="N189" i="181" s="1"/>
  <c r="F188" i="181"/>
  <c r="J188" i="181" s="1"/>
  <c r="M188" i="181" s="1"/>
  <c r="L183" i="181"/>
  <c r="H183" i="181"/>
  <c r="E183" i="181"/>
  <c r="F180" i="181"/>
  <c r="G180" i="181" s="1"/>
  <c r="I180" i="181" s="1"/>
  <c r="F179" i="181"/>
  <c r="N179" i="181" s="1"/>
  <c r="N178" i="181"/>
  <c r="J178" i="181"/>
  <c r="M178" i="181" s="1"/>
  <c r="F178" i="181"/>
  <c r="G178" i="181" s="1"/>
  <c r="I178" i="181" s="1"/>
  <c r="F177" i="181"/>
  <c r="N177" i="181" s="1"/>
  <c r="F176" i="181"/>
  <c r="G176" i="181" s="1"/>
  <c r="I176" i="181" s="1"/>
  <c r="F175" i="181"/>
  <c r="N175" i="181" s="1"/>
  <c r="N174" i="181"/>
  <c r="J174" i="181"/>
  <c r="M174" i="181" s="1"/>
  <c r="F174" i="181"/>
  <c r="G174" i="181" s="1"/>
  <c r="I174" i="181" s="1"/>
  <c r="F173" i="181"/>
  <c r="N173" i="181" s="1"/>
  <c r="F172" i="181"/>
  <c r="G172" i="181" s="1"/>
  <c r="I172" i="181" s="1"/>
  <c r="F171" i="181"/>
  <c r="N171" i="181" s="1"/>
  <c r="N170" i="181"/>
  <c r="J170" i="181"/>
  <c r="M170" i="181" s="1"/>
  <c r="F170" i="181"/>
  <c r="G170" i="181" s="1"/>
  <c r="I170" i="181" s="1"/>
  <c r="F169" i="181"/>
  <c r="N169" i="181" s="1"/>
  <c r="F168" i="181"/>
  <c r="G168" i="181" s="1"/>
  <c r="I168" i="181" s="1"/>
  <c r="F167" i="181"/>
  <c r="N167" i="181" s="1"/>
  <c r="N166" i="181"/>
  <c r="J166" i="181"/>
  <c r="F166" i="181"/>
  <c r="G166" i="181" s="1"/>
  <c r="I166" i="181" s="1"/>
  <c r="N162" i="181"/>
  <c r="M162" i="181"/>
  <c r="L162" i="181"/>
  <c r="J162" i="181"/>
  <c r="I162" i="181"/>
  <c r="H162" i="181"/>
  <c r="G162" i="181"/>
  <c r="E162" i="181"/>
  <c r="N157" i="181"/>
  <c r="M157" i="181"/>
  <c r="L157" i="181"/>
  <c r="J157" i="181"/>
  <c r="I157" i="181"/>
  <c r="H157" i="181"/>
  <c r="G157" i="181"/>
  <c r="E157" i="181"/>
  <c r="L152" i="181"/>
  <c r="E152" i="181"/>
  <c r="F149" i="181"/>
  <c r="J149" i="181" s="1"/>
  <c r="M149" i="181" s="1"/>
  <c r="J148" i="181"/>
  <c r="M148" i="181" s="1"/>
  <c r="F148" i="181"/>
  <c r="N148" i="181" s="1"/>
  <c r="F147" i="181"/>
  <c r="J147" i="181" s="1"/>
  <c r="M147" i="181" s="1"/>
  <c r="J146" i="181"/>
  <c r="M146" i="181" s="1"/>
  <c r="F146" i="181"/>
  <c r="N146" i="181" s="1"/>
  <c r="F145" i="181"/>
  <c r="G145" i="181" s="1"/>
  <c r="I145" i="181" s="1"/>
  <c r="F144" i="181"/>
  <c r="G144" i="181" s="1"/>
  <c r="I144" i="181" s="1"/>
  <c r="F143" i="181"/>
  <c r="G143" i="181" s="1"/>
  <c r="I143" i="181" s="1"/>
  <c r="F142" i="181"/>
  <c r="N142" i="181" s="1"/>
  <c r="F141" i="181"/>
  <c r="G141" i="181" s="1"/>
  <c r="I141" i="181" s="1"/>
  <c r="F140" i="181"/>
  <c r="N140" i="181" s="1"/>
  <c r="F139" i="181"/>
  <c r="G139" i="181" s="1"/>
  <c r="I139" i="181" s="1"/>
  <c r="F138" i="181"/>
  <c r="J138" i="181" s="1"/>
  <c r="M138" i="181" s="1"/>
  <c r="G137" i="181"/>
  <c r="F137" i="181"/>
  <c r="N137" i="181" s="1"/>
  <c r="F136" i="181"/>
  <c r="J136" i="181" s="1"/>
  <c r="M136" i="181" s="1"/>
  <c r="F135" i="181"/>
  <c r="N135" i="181" s="1"/>
  <c r="F134" i="181"/>
  <c r="J134" i="181" s="1"/>
  <c r="M134" i="181" s="1"/>
  <c r="F133" i="181"/>
  <c r="J133" i="181" s="1"/>
  <c r="M133" i="181" s="1"/>
  <c r="F132" i="181"/>
  <c r="J132" i="181" s="1"/>
  <c r="M132" i="181" s="1"/>
  <c r="N131" i="181"/>
  <c r="F131" i="181"/>
  <c r="J131" i="181" s="1"/>
  <c r="L128" i="181"/>
  <c r="E128" i="181"/>
  <c r="N125" i="181"/>
  <c r="J125" i="181"/>
  <c r="M125" i="181" s="1"/>
  <c r="G125" i="181"/>
  <c r="I125" i="181" s="1"/>
  <c r="N124" i="181"/>
  <c r="J124" i="181"/>
  <c r="M124" i="181" s="1"/>
  <c r="G124" i="181"/>
  <c r="I124" i="181" s="1"/>
  <c r="J123" i="181"/>
  <c r="M123" i="181" s="1"/>
  <c r="G123" i="181"/>
  <c r="I123" i="181" s="1"/>
  <c r="F123" i="181"/>
  <c r="N123" i="181" s="1"/>
  <c r="G122" i="181"/>
  <c r="I122" i="181" s="1"/>
  <c r="F122" i="181"/>
  <c r="N122" i="181" s="1"/>
  <c r="F121" i="181"/>
  <c r="J121" i="181" s="1"/>
  <c r="M121" i="181" s="1"/>
  <c r="F120" i="181"/>
  <c r="N120" i="181" s="1"/>
  <c r="J119" i="181"/>
  <c r="M119" i="181" s="1"/>
  <c r="G119" i="181"/>
  <c r="I119" i="181" s="1"/>
  <c r="F119" i="181"/>
  <c r="N119" i="181" s="1"/>
  <c r="G118" i="181"/>
  <c r="I118" i="181" s="1"/>
  <c r="F118" i="181"/>
  <c r="N118" i="181" s="1"/>
  <c r="F117" i="181"/>
  <c r="J117" i="181" s="1"/>
  <c r="M117" i="181" s="1"/>
  <c r="F116" i="181"/>
  <c r="N116" i="181" s="1"/>
  <c r="J115" i="181"/>
  <c r="M115" i="181" s="1"/>
  <c r="G115" i="181"/>
  <c r="I115" i="181" s="1"/>
  <c r="F115" i="181"/>
  <c r="N115" i="181" s="1"/>
  <c r="F114" i="181"/>
  <c r="N114" i="181" s="1"/>
  <c r="F113" i="181"/>
  <c r="J113" i="181" s="1"/>
  <c r="M113" i="181" s="1"/>
  <c r="F112" i="181"/>
  <c r="N112" i="181" s="1"/>
  <c r="J111" i="181"/>
  <c r="M111" i="181" s="1"/>
  <c r="G111" i="181"/>
  <c r="I111" i="181" s="1"/>
  <c r="F111" i="181"/>
  <c r="N111" i="181" s="1"/>
  <c r="F110" i="181"/>
  <c r="J110" i="181" s="1"/>
  <c r="M110" i="181" s="1"/>
  <c r="F109" i="181"/>
  <c r="G109" i="181" s="1"/>
  <c r="I109" i="181" s="1"/>
  <c r="F108" i="181"/>
  <c r="N108" i="181" s="1"/>
  <c r="J107" i="181"/>
  <c r="M107" i="181" s="1"/>
  <c r="G107" i="181"/>
  <c r="I107" i="181" s="1"/>
  <c r="F107" i="181"/>
  <c r="N107" i="181" s="1"/>
  <c r="M106" i="181"/>
  <c r="F106" i="181"/>
  <c r="J106" i="181" s="1"/>
  <c r="J105" i="181"/>
  <c r="M105" i="181" s="1"/>
  <c r="F105" i="181"/>
  <c r="N105" i="181" s="1"/>
  <c r="G104" i="181"/>
  <c r="I104" i="181" s="1"/>
  <c r="F104" i="181"/>
  <c r="N104" i="181" s="1"/>
  <c r="N103" i="181"/>
  <c r="F103" i="181"/>
  <c r="G103" i="181" s="1"/>
  <c r="I103" i="181" s="1"/>
  <c r="F102" i="181"/>
  <c r="J102" i="181" s="1"/>
  <c r="M102" i="181" s="1"/>
  <c r="G101" i="181"/>
  <c r="I101" i="181" s="1"/>
  <c r="F101" i="181"/>
  <c r="N101" i="181" s="1"/>
  <c r="G100" i="181"/>
  <c r="I100" i="181" s="1"/>
  <c r="F100" i="181"/>
  <c r="N100" i="181" s="1"/>
  <c r="F99" i="181"/>
  <c r="N99" i="181" s="1"/>
  <c r="F98" i="181"/>
  <c r="J98" i="181" s="1"/>
  <c r="M98" i="181" s="1"/>
  <c r="F97" i="181"/>
  <c r="N97" i="181" s="1"/>
  <c r="F96" i="181"/>
  <c r="N96" i="181" s="1"/>
  <c r="F95" i="181"/>
  <c r="N95" i="181" s="1"/>
  <c r="F94" i="181"/>
  <c r="J94" i="181" s="1"/>
  <c r="M94" i="181" s="1"/>
  <c r="F93" i="181"/>
  <c r="N93" i="181" s="1"/>
  <c r="F92" i="181"/>
  <c r="G92" i="181" s="1"/>
  <c r="I92" i="181" s="1"/>
  <c r="F91" i="181"/>
  <c r="G91" i="181" s="1"/>
  <c r="I91" i="181" s="1"/>
  <c r="F90" i="181"/>
  <c r="G90" i="181" s="1"/>
  <c r="I90" i="181" s="1"/>
  <c r="G89" i="181"/>
  <c r="I89" i="181" s="1"/>
  <c r="F89" i="181"/>
  <c r="N89" i="181" s="1"/>
  <c r="F88" i="181"/>
  <c r="G88" i="181" s="1"/>
  <c r="I88" i="181" s="1"/>
  <c r="F87" i="181"/>
  <c r="J87" i="181" s="1"/>
  <c r="M87" i="181" s="1"/>
  <c r="F86" i="181"/>
  <c r="G86" i="181" s="1"/>
  <c r="I86" i="181" s="1"/>
  <c r="J85" i="181"/>
  <c r="M85" i="181" s="1"/>
  <c r="F85" i="181"/>
  <c r="G85" i="181" s="1"/>
  <c r="I85" i="181" s="1"/>
  <c r="F84" i="181"/>
  <c r="G84" i="181" s="1"/>
  <c r="I84" i="181" s="1"/>
  <c r="F83" i="181"/>
  <c r="J83" i="181" s="1"/>
  <c r="M83" i="181" s="1"/>
  <c r="F82" i="181"/>
  <c r="G82" i="181" s="1"/>
  <c r="I82" i="181" s="1"/>
  <c r="N81" i="181"/>
  <c r="G81" i="181"/>
  <c r="I81" i="181" s="1"/>
  <c r="F81" i="181"/>
  <c r="J81" i="181" s="1"/>
  <c r="M81" i="181" s="1"/>
  <c r="J80" i="181"/>
  <c r="M80" i="181" s="1"/>
  <c r="F80" i="181"/>
  <c r="G80" i="181" s="1"/>
  <c r="I80" i="181" s="1"/>
  <c r="H79" i="181"/>
  <c r="N79" i="181" s="1"/>
  <c r="F79" i="181"/>
  <c r="J79" i="181" s="1"/>
  <c r="M79" i="181" s="1"/>
  <c r="H78" i="181"/>
  <c r="H128" i="181" s="1"/>
  <c r="F78" i="181"/>
  <c r="N78" i="181" s="1"/>
  <c r="F77" i="181"/>
  <c r="F76" i="181"/>
  <c r="J76" i="181" s="1"/>
  <c r="M76" i="181" s="1"/>
  <c r="F75" i="181"/>
  <c r="J75" i="181" s="1"/>
  <c r="M75" i="181" s="1"/>
  <c r="G74" i="181"/>
  <c r="I74" i="181" s="1"/>
  <c r="F74" i="181"/>
  <c r="J74" i="181" s="1"/>
  <c r="M74" i="181" s="1"/>
  <c r="F73" i="181"/>
  <c r="J73" i="181" s="1"/>
  <c r="M73" i="181" s="1"/>
  <c r="F72" i="181"/>
  <c r="J72" i="181" s="1"/>
  <c r="M72" i="181" s="1"/>
  <c r="F71" i="181"/>
  <c r="J71" i="181" s="1"/>
  <c r="M71" i="181" s="1"/>
  <c r="G70" i="181"/>
  <c r="F70" i="181"/>
  <c r="J70" i="181" s="1"/>
  <c r="M70" i="181" s="1"/>
  <c r="L67" i="181"/>
  <c r="E67" i="181"/>
  <c r="N64" i="181"/>
  <c r="J64" i="181"/>
  <c r="M64" i="181" s="1"/>
  <c r="I64" i="181"/>
  <c r="G64" i="181"/>
  <c r="N63" i="181"/>
  <c r="J63" i="181"/>
  <c r="M63" i="181" s="1"/>
  <c r="G63" i="181"/>
  <c r="I63" i="181" s="1"/>
  <c r="N62" i="181"/>
  <c r="J62" i="181"/>
  <c r="M62" i="181" s="1"/>
  <c r="G62" i="181"/>
  <c r="I62" i="181" s="1"/>
  <c r="N61" i="181"/>
  <c r="F61" i="181"/>
  <c r="J61" i="181" s="1"/>
  <c r="M61" i="181" s="1"/>
  <c r="F60" i="181"/>
  <c r="N60" i="181" s="1"/>
  <c r="F59" i="181"/>
  <c r="J59" i="181" s="1"/>
  <c r="M59" i="181" s="1"/>
  <c r="F58" i="181"/>
  <c r="J58" i="181" s="1"/>
  <c r="M58" i="181" s="1"/>
  <c r="J57" i="181"/>
  <c r="M57" i="181" s="1"/>
  <c r="G57" i="181"/>
  <c r="I57" i="181" s="1"/>
  <c r="F57" i="181"/>
  <c r="N57" i="181" s="1"/>
  <c r="G56" i="181"/>
  <c r="I56" i="181" s="1"/>
  <c r="F56" i="181"/>
  <c r="N56" i="181" s="1"/>
  <c r="F55" i="181"/>
  <c r="J55" i="181" s="1"/>
  <c r="M55" i="181" s="1"/>
  <c r="F54" i="181"/>
  <c r="J54" i="181" s="1"/>
  <c r="M54" i="181" s="1"/>
  <c r="H53" i="181"/>
  <c r="F53" i="181"/>
  <c r="G53" i="181" s="1"/>
  <c r="H52" i="181"/>
  <c r="G52" i="181" s="1"/>
  <c r="F52" i="181"/>
  <c r="J52" i="181" s="1"/>
  <c r="M52" i="181" s="1"/>
  <c r="H51" i="181"/>
  <c r="F51" i="181"/>
  <c r="N51" i="181" s="1"/>
  <c r="J50" i="181"/>
  <c r="M50" i="181" s="1"/>
  <c r="H50" i="181"/>
  <c r="F50" i="181"/>
  <c r="G49" i="181"/>
  <c r="I49" i="181" s="1"/>
  <c r="F49" i="181"/>
  <c r="N49" i="181" s="1"/>
  <c r="F48" i="181"/>
  <c r="J48" i="181" s="1"/>
  <c r="M48" i="181" s="1"/>
  <c r="F47" i="181"/>
  <c r="J47" i="181" s="1"/>
  <c r="M47" i="181" s="1"/>
  <c r="J46" i="181"/>
  <c r="M46" i="181" s="1"/>
  <c r="F46" i="181"/>
  <c r="G46" i="181" s="1"/>
  <c r="I46" i="181" s="1"/>
  <c r="F45" i="181"/>
  <c r="N45" i="181" s="1"/>
  <c r="N44" i="181"/>
  <c r="F44" i="181"/>
  <c r="J44" i="181" s="1"/>
  <c r="M44" i="181" s="1"/>
  <c r="G43" i="181"/>
  <c r="I43" i="181" s="1"/>
  <c r="F43" i="181"/>
  <c r="N43" i="181" s="1"/>
  <c r="N42" i="181"/>
  <c r="F42" i="181"/>
  <c r="J42" i="181" s="1"/>
  <c r="M42" i="181" s="1"/>
  <c r="G41" i="181"/>
  <c r="I41" i="181" s="1"/>
  <c r="F41" i="181"/>
  <c r="N41" i="181" s="1"/>
  <c r="N40" i="181"/>
  <c r="G40" i="181"/>
  <c r="I40" i="181" s="1"/>
  <c r="F40" i="181"/>
  <c r="J40" i="181" s="1"/>
  <c r="M40" i="181" s="1"/>
  <c r="G39" i="181"/>
  <c r="I39" i="181" s="1"/>
  <c r="F39" i="181"/>
  <c r="N39" i="181" s="1"/>
  <c r="L36" i="181"/>
  <c r="H36" i="181"/>
  <c r="E36" i="181"/>
  <c r="F33" i="181"/>
  <c r="N33" i="181" s="1"/>
  <c r="J32" i="181"/>
  <c r="M32" i="181" s="1"/>
  <c r="F32" i="181"/>
  <c r="G32" i="181" s="1"/>
  <c r="I32" i="181" s="1"/>
  <c r="F31" i="181"/>
  <c r="N31" i="181" s="1"/>
  <c r="L28" i="181"/>
  <c r="H28" i="181"/>
  <c r="E28" i="181"/>
  <c r="N25" i="181"/>
  <c r="J25" i="181"/>
  <c r="M25" i="181" s="1"/>
  <c r="G25" i="181"/>
  <c r="I25" i="181" s="1"/>
  <c r="N24" i="181"/>
  <c r="M24" i="181"/>
  <c r="J24" i="181"/>
  <c r="G24" i="181"/>
  <c r="I24" i="181" s="1"/>
  <c r="N23" i="181"/>
  <c r="J23" i="181"/>
  <c r="M23" i="181" s="1"/>
  <c r="G23" i="181"/>
  <c r="I23" i="181" s="1"/>
  <c r="N22" i="181"/>
  <c r="M22" i="181"/>
  <c r="J22" i="181"/>
  <c r="G22" i="181"/>
  <c r="I22" i="181" s="1"/>
  <c r="N21" i="181"/>
  <c r="J21" i="181"/>
  <c r="M21" i="181" s="1"/>
  <c r="G21" i="181"/>
  <c r="I21" i="181" s="1"/>
  <c r="F20" i="181"/>
  <c r="N20" i="181" s="1"/>
  <c r="F19" i="181"/>
  <c r="J19" i="181" s="1"/>
  <c r="M19" i="181" s="1"/>
  <c r="F18" i="181"/>
  <c r="N18" i="181" s="1"/>
  <c r="F17" i="181"/>
  <c r="J17" i="181" s="1"/>
  <c r="M17" i="181" s="1"/>
  <c r="F16" i="181"/>
  <c r="N16" i="181" s="1"/>
  <c r="F15" i="181"/>
  <c r="J15" i="181" s="1"/>
  <c r="M15" i="181" s="1"/>
  <c r="F14" i="181"/>
  <c r="N14" i="181" s="1"/>
  <c r="F13" i="181"/>
  <c r="J13" i="181" s="1"/>
  <c r="M13" i="181" s="1"/>
  <c r="F12" i="181"/>
  <c r="N12" i="181" s="1"/>
  <c r="L9" i="181"/>
  <c r="H9" i="181"/>
  <c r="E9" i="181"/>
  <c r="F6" i="181"/>
  <c r="J6" i="181" s="1"/>
  <c r="M6" i="181" s="1"/>
  <c r="F5" i="181"/>
  <c r="N5" i="181" s="1"/>
  <c r="F4" i="181"/>
  <c r="J4" i="181" s="1"/>
  <c r="U12" i="86"/>
  <c r="V12" i="86" s="1"/>
  <c r="F102" i="180"/>
  <c r="F97" i="180"/>
  <c r="J85" i="180"/>
  <c r="E86" i="180" s="1"/>
  <c r="H42" i="180"/>
  <c r="H41" i="180"/>
  <c r="H33" i="180"/>
  <c r="A33" i="180"/>
  <c r="H34" i="180" s="1"/>
  <c r="J21" i="180"/>
  <c r="J15" i="180"/>
  <c r="A7" i="180"/>
  <c r="A8" i="180" s="1"/>
  <c r="A9" i="180" s="1"/>
  <c r="A12" i="180" s="1"/>
  <c r="N46" i="181" l="1"/>
  <c r="I53" i="181"/>
  <c r="G61" i="181"/>
  <c r="I61" i="181" s="1"/>
  <c r="G44" i="181"/>
  <c r="I44" i="181" s="1"/>
  <c r="G95" i="181"/>
  <c r="I95" i="181" s="1"/>
  <c r="G105" i="181"/>
  <c r="I105" i="181" s="1"/>
  <c r="G188" i="181"/>
  <c r="I188" i="181" s="1"/>
  <c r="N188" i="181"/>
  <c r="N55" i="181"/>
  <c r="G87" i="181"/>
  <c r="I87" i="181" s="1"/>
  <c r="J91" i="181"/>
  <c r="M91" i="181" s="1"/>
  <c r="J96" i="181"/>
  <c r="M96" i="181" s="1"/>
  <c r="N113" i="181"/>
  <c r="N117" i="181"/>
  <c r="N121" i="181"/>
  <c r="J168" i="181"/>
  <c r="M168" i="181" s="1"/>
  <c r="J172" i="181"/>
  <c r="M172" i="181" s="1"/>
  <c r="J176" i="181"/>
  <c r="M176" i="181" s="1"/>
  <c r="J180" i="181"/>
  <c r="M180" i="181" s="1"/>
  <c r="E200" i="181"/>
  <c r="N48" i="181"/>
  <c r="G42" i="181"/>
  <c r="I42" i="181" s="1"/>
  <c r="G45" i="181"/>
  <c r="I45" i="181" s="1"/>
  <c r="N59" i="181"/>
  <c r="G79" i="181"/>
  <c r="N87" i="181"/>
  <c r="J109" i="181"/>
  <c r="M109" i="181" s="1"/>
  <c r="G138" i="181"/>
  <c r="I138" i="181" s="1"/>
  <c r="J144" i="181"/>
  <c r="M144" i="181" s="1"/>
  <c r="N168" i="181"/>
  <c r="N183" i="181" s="1"/>
  <c r="N172" i="181"/>
  <c r="N176" i="181"/>
  <c r="N180" i="181"/>
  <c r="G189" i="181"/>
  <c r="I189" i="181" s="1"/>
  <c r="G114" i="181"/>
  <c r="I114" i="181" s="1"/>
  <c r="N138" i="181"/>
  <c r="G60" i="181"/>
  <c r="I60" i="181" s="1"/>
  <c r="J88" i="181"/>
  <c r="M88" i="181" s="1"/>
  <c r="J93" i="181"/>
  <c r="M93" i="181" s="1"/>
  <c r="W12" i="86"/>
  <c r="N32" i="181"/>
  <c r="N36" i="181" s="1"/>
  <c r="G51" i="181"/>
  <c r="I51" i="181" s="1"/>
  <c r="G78" i="181"/>
  <c r="I78" i="181" s="1"/>
  <c r="G83" i="181"/>
  <c r="I83" i="181" s="1"/>
  <c r="N85" i="181"/>
  <c r="N91" i="181"/>
  <c r="G99" i="181"/>
  <c r="I99" i="181" s="1"/>
  <c r="J103" i="181"/>
  <c r="M103" i="181" s="1"/>
  <c r="N109" i="181"/>
  <c r="G112" i="181"/>
  <c r="I112" i="181" s="1"/>
  <c r="G116" i="181"/>
  <c r="I116" i="181" s="1"/>
  <c r="G120" i="181"/>
  <c r="I120" i="181" s="1"/>
  <c r="G133" i="181"/>
  <c r="I133" i="181" s="1"/>
  <c r="G142" i="181"/>
  <c r="I142" i="181" s="1"/>
  <c r="N144" i="181"/>
  <c r="G147" i="181"/>
  <c r="I147" i="181" s="1"/>
  <c r="G149" i="181"/>
  <c r="I149" i="181" s="1"/>
  <c r="J120" i="181"/>
  <c r="M120" i="181" s="1"/>
  <c r="J142" i="181"/>
  <c r="M142" i="181" s="1"/>
  <c r="G31" i="181"/>
  <c r="I31" i="181" s="1"/>
  <c r="G33" i="181"/>
  <c r="I33" i="181" s="1"/>
  <c r="J39" i="181"/>
  <c r="M39" i="181" s="1"/>
  <c r="J41" i="181"/>
  <c r="M41" i="181" s="1"/>
  <c r="J43" i="181"/>
  <c r="M43" i="181" s="1"/>
  <c r="J45" i="181"/>
  <c r="M45" i="181" s="1"/>
  <c r="G47" i="181"/>
  <c r="I47" i="181" s="1"/>
  <c r="J49" i="181"/>
  <c r="M49" i="181" s="1"/>
  <c r="G54" i="181"/>
  <c r="I54" i="181" s="1"/>
  <c r="J56" i="181"/>
  <c r="M56" i="181" s="1"/>
  <c r="G58" i="181"/>
  <c r="I58" i="181" s="1"/>
  <c r="J60" i="181"/>
  <c r="M60" i="181" s="1"/>
  <c r="J78" i="181"/>
  <c r="M78" i="181" s="1"/>
  <c r="N83" i="181"/>
  <c r="J89" i="181"/>
  <c r="M89" i="181" s="1"/>
  <c r="J92" i="181"/>
  <c r="M92" i="181" s="1"/>
  <c r="G97" i="181"/>
  <c r="I97" i="181" s="1"/>
  <c r="J99" i="181"/>
  <c r="M99" i="181" s="1"/>
  <c r="J101" i="181"/>
  <c r="M101" i="181" s="1"/>
  <c r="G108" i="181"/>
  <c r="I108" i="181" s="1"/>
  <c r="J137" i="181"/>
  <c r="M137" i="181" s="1"/>
  <c r="G140" i="181"/>
  <c r="I140" i="181" s="1"/>
  <c r="J145" i="181"/>
  <c r="M145" i="181" s="1"/>
  <c r="N147" i="181"/>
  <c r="N149" i="181"/>
  <c r="G167" i="181"/>
  <c r="I167" i="181" s="1"/>
  <c r="G169" i="181"/>
  <c r="I169" i="181" s="1"/>
  <c r="G171" i="181"/>
  <c r="I171" i="181" s="1"/>
  <c r="G173" i="181"/>
  <c r="I173" i="181" s="1"/>
  <c r="G175" i="181"/>
  <c r="I175" i="181" s="1"/>
  <c r="G177" i="181"/>
  <c r="I177" i="181" s="1"/>
  <c r="G179" i="181"/>
  <c r="I179" i="181" s="1"/>
  <c r="J189" i="181"/>
  <c r="M189" i="181" s="1"/>
  <c r="J31" i="181"/>
  <c r="M31" i="181" s="1"/>
  <c r="M36" i="181" s="1"/>
  <c r="J33" i="181"/>
  <c r="M33" i="181" s="1"/>
  <c r="J95" i="181"/>
  <c r="M95" i="181" s="1"/>
  <c r="J97" i="181"/>
  <c r="M97" i="181" s="1"/>
  <c r="J108" i="181"/>
  <c r="M108" i="181" s="1"/>
  <c r="J140" i="181"/>
  <c r="M140" i="181" s="1"/>
  <c r="J167" i="181"/>
  <c r="M167" i="181" s="1"/>
  <c r="J169" i="181"/>
  <c r="M169" i="181" s="1"/>
  <c r="J171" i="181"/>
  <c r="M171" i="181" s="1"/>
  <c r="J173" i="181"/>
  <c r="M173" i="181" s="1"/>
  <c r="J175" i="181"/>
  <c r="M175" i="181" s="1"/>
  <c r="J177" i="181"/>
  <c r="M177" i="181" s="1"/>
  <c r="J179" i="181"/>
  <c r="M179" i="181" s="1"/>
  <c r="J112" i="181"/>
  <c r="M112" i="181" s="1"/>
  <c r="J116" i="181"/>
  <c r="M116" i="181" s="1"/>
  <c r="G48" i="181"/>
  <c r="I48" i="181" s="1"/>
  <c r="G55" i="181"/>
  <c r="I55" i="181" s="1"/>
  <c r="G59" i="181"/>
  <c r="I59" i="181" s="1"/>
  <c r="J84" i="181"/>
  <c r="M84" i="181" s="1"/>
  <c r="G93" i="181"/>
  <c r="I93" i="181" s="1"/>
  <c r="J104" i="181"/>
  <c r="M104" i="181" s="1"/>
  <c r="G113" i="181"/>
  <c r="I113" i="181" s="1"/>
  <c r="G117" i="181"/>
  <c r="I117" i="181" s="1"/>
  <c r="G121" i="181"/>
  <c r="I121" i="181" s="1"/>
  <c r="G131" i="181"/>
  <c r="I131" i="181" s="1"/>
  <c r="N143" i="181"/>
  <c r="G146" i="181"/>
  <c r="I146" i="181" s="1"/>
  <c r="G148" i="181"/>
  <c r="I148" i="181" s="1"/>
  <c r="A34" i="180"/>
  <c r="A38" i="180" s="1"/>
  <c r="H67" i="181"/>
  <c r="G96" i="181"/>
  <c r="I96" i="181" s="1"/>
  <c r="J100" i="181"/>
  <c r="M100" i="181" s="1"/>
  <c r="J141" i="181"/>
  <c r="M141" i="181" s="1"/>
  <c r="J29" i="180"/>
  <c r="J41" i="180" s="1"/>
  <c r="M4" i="181"/>
  <c r="N50" i="181"/>
  <c r="N53" i="181"/>
  <c r="N75" i="181"/>
  <c r="G75" i="181"/>
  <c r="I75" i="181" s="1"/>
  <c r="N76" i="181"/>
  <c r="N80" i="181"/>
  <c r="J82" i="181"/>
  <c r="M82" i="181" s="1"/>
  <c r="N84" i="181"/>
  <c r="J86" i="181"/>
  <c r="M86" i="181" s="1"/>
  <c r="N88" i="181"/>
  <c r="J90" i="181"/>
  <c r="M90" i="181" s="1"/>
  <c r="N92" i="181"/>
  <c r="H131" i="181"/>
  <c r="N139" i="181"/>
  <c r="G4" i="181"/>
  <c r="N4" i="181"/>
  <c r="J5" i="181"/>
  <c r="M5" i="181" s="1"/>
  <c r="G6" i="181"/>
  <c r="I6" i="181" s="1"/>
  <c r="N6" i="181"/>
  <c r="J12" i="181"/>
  <c r="G13" i="181"/>
  <c r="I13" i="181" s="1"/>
  <c r="N13" i="181"/>
  <c r="J14" i="181"/>
  <c r="M14" i="181" s="1"/>
  <c r="G15" i="181"/>
  <c r="I15" i="181" s="1"/>
  <c r="N15" i="181"/>
  <c r="J16" i="181"/>
  <c r="M16" i="181" s="1"/>
  <c r="G17" i="181"/>
  <c r="I17" i="181" s="1"/>
  <c r="N17" i="181"/>
  <c r="J18" i="181"/>
  <c r="M18" i="181" s="1"/>
  <c r="G19" i="181"/>
  <c r="I19" i="181" s="1"/>
  <c r="N19" i="181"/>
  <c r="J20" i="181"/>
  <c r="M20" i="181" s="1"/>
  <c r="N47" i="181"/>
  <c r="G50" i="181"/>
  <c r="J51" i="181"/>
  <c r="M51" i="181" s="1"/>
  <c r="N54" i="181"/>
  <c r="N58" i="181"/>
  <c r="N70" i="181"/>
  <c r="G76" i="181"/>
  <c r="I76" i="181" s="1"/>
  <c r="N77" i="181"/>
  <c r="G77" i="181"/>
  <c r="I77" i="181" s="1"/>
  <c r="N94" i="181"/>
  <c r="G98" i="181"/>
  <c r="I98" i="181" s="1"/>
  <c r="N102" i="181"/>
  <c r="G106" i="181"/>
  <c r="I106" i="181" s="1"/>
  <c r="N110" i="181"/>
  <c r="N134" i="181"/>
  <c r="G134" i="181"/>
  <c r="I134" i="181" s="1"/>
  <c r="J143" i="181"/>
  <c r="M143" i="181" s="1"/>
  <c r="N145" i="181"/>
  <c r="N191" i="181"/>
  <c r="G191" i="181"/>
  <c r="I191" i="181" s="1"/>
  <c r="J191" i="181"/>
  <c r="N193" i="181"/>
  <c r="G193" i="181"/>
  <c r="I193" i="181" s="1"/>
  <c r="N71" i="181"/>
  <c r="G71" i="181"/>
  <c r="I71" i="181" s="1"/>
  <c r="N72" i="181"/>
  <c r="N82" i="181"/>
  <c r="N86" i="181"/>
  <c r="N90" i="181"/>
  <c r="G5" i="181"/>
  <c r="I5" i="181" s="1"/>
  <c r="L200" i="181"/>
  <c r="E203" i="181" s="1"/>
  <c r="E204" i="181" s="1"/>
  <c r="G12" i="181"/>
  <c r="G14" i="181"/>
  <c r="I14" i="181" s="1"/>
  <c r="G16" i="181"/>
  <c r="I16" i="181" s="1"/>
  <c r="G18" i="181"/>
  <c r="I18" i="181" s="1"/>
  <c r="G20" i="181"/>
  <c r="I20" i="181" s="1"/>
  <c r="N52" i="181"/>
  <c r="J53" i="181"/>
  <c r="M53" i="181" s="1"/>
  <c r="I70" i="181"/>
  <c r="G72" i="181"/>
  <c r="I72" i="181" s="1"/>
  <c r="N73" i="181"/>
  <c r="G73" i="181"/>
  <c r="I73" i="181" s="1"/>
  <c r="N74" i="181"/>
  <c r="J77" i="181"/>
  <c r="M77" i="181" s="1"/>
  <c r="G94" i="181"/>
  <c r="I94" i="181" s="1"/>
  <c r="N98" i="181"/>
  <c r="G102" i="181"/>
  <c r="I102" i="181" s="1"/>
  <c r="N106" i="181"/>
  <c r="G110" i="181"/>
  <c r="I110" i="181" s="1"/>
  <c r="J135" i="181"/>
  <c r="M135" i="181" s="1"/>
  <c r="G135" i="181"/>
  <c r="I135" i="181" s="1"/>
  <c r="H137" i="181"/>
  <c r="I137" i="181" s="1"/>
  <c r="J139" i="181"/>
  <c r="M139" i="181" s="1"/>
  <c r="N141" i="181"/>
  <c r="J114" i="181"/>
  <c r="M114" i="181" s="1"/>
  <c r="J118" i="181"/>
  <c r="M118" i="181" s="1"/>
  <c r="J122" i="181"/>
  <c r="M122" i="181" s="1"/>
  <c r="M131" i="181"/>
  <c r="N136" i="181"/>
  <c r="G136" i="181"/>
  <c r="I136" i="181" s="1"/>
  <c r="N132" i="181"/>
  <c r="G132" i="181"/>
  <c r="I132" i="181" s="1"/>
  <c r="N133" i="181"/>
  <c r="M166" i="181"/>
  <c r="J192" i="181"/>
  <c r="M192" i="181" s="1"/>
  <c r="N192" i="181"/>
  <c r="G192" i="181"/>
  <c r="I192" i="181" s="1"/>
  <c r="U13" i="86"/>
  <c r="H56" i="180"/>
  <c r="A41" i="180"/>
  <c r="A42" i="180" s="1"/>
  <c r="A43" i="180" s="1"/>
  <c r="A44" i="180" s="1"/>
  <c r="A45" i="180" s="1"/>
  <c r="A48" i="180" s="1"/>
  <c r="A13" i="180"/>
  <c r="A14" i="180" s="1"/>
  <c r="A15" i="180" s="1"/>
  <c r="A18" i="180" s="1"/>
  <c r="H15" i="180"/>
  <c r="E102" i="180"/>
  <c r="J42" i="180" s="1"/>
  <c r="H55" i="180"/>
  <c r="E97" i="180"/>
  <c r="J33" i="180" s="1"/>
  <c r="I36" i="181" l="1"/>
  <c r="E206" i="181"/>
  <c r="E207" i="181" s="1"/>
  <c r="J67" i="181"/>
  <c r="G67" i="181"/>
  <c r="I67" i="181"/>
  <c r="I183" i="181"/>
  <c r="M67" i="181"/>
  <c r="N196" i="181"/>
  <c r="N200" i="181" s="1"/>
  <c r="J34" i="180"/>
  <c r="J55" i="180" s="1"/>
  <c r="N9" i="181"/>
  <c r="J183" i="181"/>
  <c r="J152" i="181"/>
  <c r="M128" i="181"/>
  <c r="E208" i="181"/>
  <c r="E209" i="181" s="1"/>
  <c r="E210" i="181" s="1"/>
  <c r="E212" i="181" s="1"/>
  <c r="E213" i="181" s="1"/>
  <c r="G36" i="181"/>
  <c r="M183" i="181"/>
  <c r="N28" i="181"/>
  <c r="V13" i="86"/>
  <c r="W13" i="86" s="1"/>
  <c r="U14" i="86" s="1"/>
  <c r="V14" i="86" s="1"/>
  <c r="N152" i="181"/>
  <c r="M9" i="181"/>
  <c r="N67" i="181"/>
  <c r="G183" i="181"/>
  <c r="J36" i="181"/>
  <c r="J38" i="180"/>
  <c r="J56" i="180" s="1"/>
  <c r="J59" i="180" s="1"/>
  <c r="J63" i="180" s="1"/>
  <c r="E67" i="180" s="1"/>
  <c r="I128" i="181"/>
  <c r="G196" i="181"/>
  <c r="N128" i="181"/>
  <c r="M12" i="181"/>
  <c r="M28" i="181" s="1"/>
  <c r="J28" i="181"/>
  <c r="H152" i="181"/>
  <c r="H200" i="181" s="1"/>
  <c r="M152" i="181"/>
  <c r="G128" i="181"/>
  <c r="J196" i="181"/>
  <c r="M191" i="181"/>
  <c r="M196" i="181" s="1"/>
  <c r="I196" i="181"/>
  <c r="J128" i="181"/>
  <c r="G9" i="181"/>
  <c r="I4" i="181"/>
  <c r="I9" i="181" s="1"/>
  <c r="J9" i="181"/>
  <c r="I152" i="181"/>
  <c r="I12" i="181"/>
  <c r="I28" i="181" s="1"/>
  <c r="G28" i="181"/>
  <c r="G152" i="181"/>
  <c r="A19" i="180"/>
  <c r="A20" i="180" s="1"/>
  <c r="A21" i="180" s="1"/>
  <c r="A49" i="180"/>
  <c r="A50" i="180" s="1"/>
  <c r="A51" i="180" s="1"/>
  <c r="A52" i="180" s="1"/>
  <c r="A53" i="180" s="1"/>
  <c r="A54" i="180" s="1"/>
  <c r="A55" i="180" s="1"/>
  <c r="A56" i="180" s="1"/>
  <c r="A57" i="180" s="1"/>
  <c r="A58" i="180" s="1"/>
  <c r="A59" i="180" s="1"/>
  <c r="M200" i="181" l="1"/>
  <c r="H21" i="180"/>
  <c r="H59" i="180"/>
  <c r="W14" i="86"/>
  <c r="U15" i="86" s="1"/>
  <c r="V15" i="86" s="1"/>
  <c r="J200" i="181"/>
  <c r="I200" i="181"/>
  <c r="E216" i="181"/>
  <c r="G200" i="181"/>
  <c r="A61" i="180"/>
  <c r="A63" i="180" s="1"/>
  <c r="A23" i="180"/>
  <c r="H29" i="180"/>
  <c r="W15" i="86" l="1"/>
  <c r="U16" i="86" s="1"/>
  <c r="V16" i="86" s="1"/>
  <c r="E72" i="180"/>
  <c r="J69" i="180" s="1"/>
  <c r="A24" i="180"/>
  <c r="A25" i="180" s="1"/>
  <c r="G67" i="180"/>
  <c r="A67" i="180"/>
  <c r="H63" i="180"/>
  <c r="W16" i="86" l="1"/>
  <c r="U17" i="86" s="1"/>
  <c r="V17" i="86" s="1"/>
  <c r="J71" i="180"/>
  <c r="D7" i="130"/>
  <c r="A68" i="180"/>
  <c r="A69" i="180" s="1"/>
  <c r="H30" i="180"/>
  <c r="W17" i="86" l="1"/>
  <c r="G69" i="180"/>
  <c r="A70" i="180"/>
  <c r="A71" i="180" s="1"/>
  <c r="A72" i="180" s="1"/>
  <c r="U18" i="86" l="1"/>
  <c r="V18" i="86" s="1"/>
  <c r="G71" i="180"/>
  <c r="G72" i="180"/>
  <c r="W18" i="86" l="1"/>
  <c r="U19" i="86" s="1"/>
  <c r="V19" i="86" s="1"/>
  <c r="W19" i="86" l="1"/>
  <c r="U20" i="86" l="1"/>
  <c r="V20" i="86" s="1"/>
  <c r="W20" i="86" l="1"/>
  <c r="U21" i="86" l="1"/>
  <c r="V21" i="86" l="1"/>
  <c r="W21" i="86" s="1"/>
  <c r="U22" i="86" s="1"/>
  <c r="V22" i="86" l="1"/>
  <c r="W22" i="86" s="1"/>
  <c r="U23" i="86" s="1"/>
  <c r="V23" i="86" s="1"/>
  <c r="W23" i="86" l="1"/>
  <c r="U24" i="86" l="1"/>
  <c r="V24" i="86" l="1"/>
  <c r="W24" i="86" s="1"/>
  <c r="U25" i="86" s="1"/>
  <c r="V25" i="86" l="1"/>
  <c r="W25" i="86" s="1"/>
  <c r="U26" i="86" s="1"/>
  <c r="V26" i="86" s="1"/>
  <c r="W26" i="86" l="1"/>
  <c r="U27" i="86" s="1"/>
  <c r="V27" i="86" s="1"/>
  <c r="W27" i="86" l="1"/>
  <c r="U28" i="86" l="1"/>
  <c r="V28" i="86" l="1"/>
  <c r="W28" i="86" s="1"/>
  <c r="U29" i="86" s="1"/>
  <c r="V29" i="86" l="1"/>
  <c r="W29" i="86" s="1"/>
  <c r="U30" i="86" s="1"/>
  <c r="V30" i="86" s="1"/>
  <c r="W30" i="86" l="1"/>
  <c r="U31" i="86" s="1"/>
  <c r="V31" i="86" s="1"/>
  <c r="W31" i="86" l="1"/>
  <c r="U32" i="86" l="1"/>
  <c r="V32" i="86" s="1"/>
  <c r="W32" i="86" l="1"/>
  <c r="U33" i="86" l="1"/>
  <c r="V33" i="86" s="1"/>
  <c r="W33" i="86" l="1"/>
  <c r="U34" i="86" l="1"/>
  <c r="V34" i="86" s="1"/>
  <c r="W34" i="86" l="1"/>
  <c r="U35" i="86" s="1"/>
  <c r="V35" i="86" s="1"/>
  <c r="W35" i="86" l="1"/>
  <c r="U36" i="86" l="1"/>
  <c r="V36" i="86" s="1"/>
  <c r="W36" i="86" l="1"/>
  <c r="U37" i="86" l="1"/>
  <c r="V37" i="86" l="1"/>
  <c r="W37" i="86" s="1"/>
  <c r="U38" i="86" s="1"/>
  <c r="V38" i="86" l="1"/>
  <c r="W38" i="86" s="1"/>
  <c r="U39" i="86" s="1"/>
  <c r="V39" i="86" l="1"/>
  <c r="W39" i="86" s="1"/>
  <c r="U40" i="86" s="1"/>
  <c r="V40" i="86" s="1"/>
  <c r="W40" i="86" l="1"/>
  <c r="U41" i="86" l="1"/>
  <c r="V41" i="86" l="1"/>
  <c r="W41" i="86" s="1"/>
  <c r="U42" i="86" s="1"/>
  <c r="V42" i="86" l="1"/>
  <c r="W42" i="86" s="1"/>
  <c r="U43" i="86" s="1"/>
  <c r="V43" i="86" l="1"/>
  <c r="W43" i="86" s="1"/>
  <c r="U44" i="86" s="1"/>
  <c r="V44" i="86" s="1"/>
  <c r="W44" i="86" l="1"/>
  <c r="U45" i="86" l="1"/>
  <c r="V45" i="86" l="1"/>
  <c r="W45" i="86" s="1"/>
  <c r="U46" i="86" s="1"/>
  <c r="V46" i="86" s="1"/>
  <c r="W46" i="86" l="1"/>
  <c r="U47" i="86" l="1"/>
  <c r="V47" i="86" s="1"/>
  <c r="W47" i="86" l="1"/>
  <c r="U48" i="86" s="1"/>
  <c r="V48" i="86" s="1"/>
  <c r="W48" i="86" l="1"/>
  <c r="U49" i="86" l="1"/>
  <c r="V49" i="86" s="1"/>
  <c r="W49" i="86" l="1"/>
  <c r="U50" i="86" l="1"/>
  <c r="V50" i="86" s="1"/>
  <c r="W50" i="86" l="1"/>
  <c r="U51" i="86" l="1"/>
  <c r="V51" i="86" s="1"/>
  <c r="W51" i="86" l="1"/>
  <c r="U52" i="86" l="1"/>
  <c r="V52" i="86" s="1"/>
  <c r="W52" i="86" l="1"/>
  <c r="U53" i="86" l="1"/>
  <c r="V53" i="86" s="1"/>
  <c r="W53" i="86" l="1"/>
  <c r="U54" i="86" s="1"/>
  <c r="V54" i="86" s="1"/>
  <c r="W54" i="86" l="1"/>
  <c r="U55" i="86" l="1"/>
  <c r="V55" i="86" s="1"/>
  <c r="W55" i="86" l="1"/>
  <c r="U56" i="86" l="1"/>
  <c r="V56" i="86" s="1"/>
  <c r="W56" i="86" l="1"/>
  <c r="U57" i="86" l="1"/>
  <c r="V57" i="86" s="1"/>
  <c r="W57" i="86" l="1"/>
  <c r="U58" i="86" l="1"/>
  <c r="V58" i="86" s="1"/>
  <c r="W58" i="86" l="1"/>
  <c r="U59" i="86" l="1"/>
  <c r="V59" i="86" s="1"/>
  <c r="W59" i="86" l="1"/>
  <c r="U60" i="86" l="1"/>
  <c r="V60" i="86" s="1"/>
  <c r="W60" i="86" l="1"/>
  <c r="U61" i="86" l="1"/>
  <c r="V61" i="86" l="1"/>
  <c r="W61" i="86" s="1"/>
  <c r="U62" i="86" s="1"/>
  <c r="V62" i="86" s="1"/>
  <c r="W62" i="86" l="1"/>
  <c r="U63" i="86" l="1"/>
  <c r="V63" i="86" s="1"/>
  <c r="W63" i="86" l="1"/>
  <c r="U64" i="86" l="1"/>
  <c r="V64" i="86" s="1"/>
  <c r="W64" i="86" l="1"/>
  <c r="U65" i="86" l="1"/>
  <c r="V65" i="86" l="1"/>
  <c r="W65" i="86" s="1"/>
  <c r="U66" i="86" s="1"/>
  <c r="V66" i="86" l="1"/>
  <c r="W66" i="86" s="1"/>
  <c r="U67" i="86" s="1"/>
  <c r="V67" i="86" s="1"/>
  <c r="W67" i="86" l="1"/>
  <c r="U68" i="86" s="1"/>
  <c r="V68" i="86" s="1"/>
  <c r="W68" i="86" l="1"/>
  <c r="U69" i="86" l="1"/>
  <c r="V69" i="86" l="1"/>
  <c r="W69" i="86" s="1"/>
  <c r="U70" i="86" s="1"/>
  <c r="V70" i="86" s="1"/>
  <c r="W70" i="86" l="1"/>
  <c r="U71" i="86" s="1"/>
  <c r="V71" i="86" s="1"/>
  <c r="W71" i="86" l="1"/>
  <c r="D8" i="130" l="1"/>
  <c r="M12" i="86"/>
  <c r="N12" i="86" s="1"/>
  <c r="D12" i="86" l="1"/>
  <c r="E6" i="100"/>
  <c r="Q12" i="86"/>
  <c r="R12" i="86" s="1"/>
  <c r="E8" i="100" l="1"/>
  <c r="I12" i="86"/>
  <c r="J12" i="86" l="1"/>
  <c r="K12" i="86" s="1"/>
  <c r="I13" i="86" s="1"/>
  <c r="J13" i="86" l="1"/>
  <c r="K13" i="86" s="1"/>
  <c r="I14" i="86" s="1"/>
  <c r="D13" i="86"/>
  <c r="E12" i="86"/>
  <c r="F12" i="86" s="1"/>
  <c r="D14" i="86" l="1"/>
  <c r="D15" i="86" s="1"/>
  <c r="D16" i="86" s="1"/>
  <c r="J14" i="86"/>
  <c r="K14" i="86"/>
  <c r="I15" i="86" s="1"/>
  <c r="J15" i="86" s="1"/>
  <c r="G12" i="86"/>
  <c r="O12" i="86"/>
  <c r="D17" i="86"/>
  <c r="K15" i="86" l="1"/>
  <c r="I16" i="86" s="1"/>
  <c r="J16" i="86" s="1"/>
  <c r="M13" i="86"/>
  <c r="N13" i="86" s="1"/>
  <c r="S12" i="86"/>
  <c r="E13" i="86"/>
  <c r="F13" i="86" s="1"/>
  <c r="K16" i="86"/>
  <c r="I17" i="86" s="1"/>
  <c r="J17" i="86" s="1"/>
  <c r="D18" i="86"/>
  <c r="Q13" i="86" l="1"/>
  <c r="R13" i="86" s="1"/>
  <c r="G13" i="86"/>
  <c r="K17" i="86"/>
  <c r="I18" i="86" s="1"/>
  <c r="J18" i="86" s="1"/>
  <c r="O13" i="86"/>
  <c r="D19" i="86"/>
  <c r="M14" i="86" l="1"/>
  <c r="N14" i="86" s="1"/>
  <c r="S13" i="86"/>
  <c r="E14" i="86"/>
  <c r="F14" i="86" s="1"/>
  <c r="K18" i="86"/>
  <c r="I19" i="86" s="1"/>
  <c r="J19" i="86" s="1"/>
  <c r="D20" i="86"/>
  <c r="Q14" i="86" l="1"/>
  <c r="R14" i="86" s="1"/>
  <c r="G14" i="86"/>
  <c r="K19" i="86"/>
  <c r="I20" i="86" s="1"/>
  <c r="J20" i="86" s="1"/>
  <c r="O14" i="86"/>
  <c r="D21" i="86"/>
  <c r="S14" i="86" l="1"/>
  <c r="E15" i="86"/>
  <c r="F15" i="86" s="1"/>
  <c r="M15" i="86"/>
  <c r="N15" i="86" s="1"/>
  <c r="K20" i="86"/>
  <c r="I21" i="86" s="1"/>
  <c r="J21" i="86" s="1"/>
  <c r="D22" i="86"/>
  <c r="G15" i="86" l="1"/>
  <c r="E16" i="86" s="1"/>
  <c r="F16" i="86" s="1"/>
  <c r="Q15" i="86"/>
  <c r="R15" i="86" s="1"/>
  <c r="K21" i="86"/>
  <c r="I22" i="86" s="1"/>
  <c r="J22" i="86" s="1"/>
  <c r="O15" i="86"/>
  <c r="D23" i="86"/>
  <c r="D84" i="86" s="1"/>
  <c r="S15" i="86" l="1"/>
  <c r="M16" i="86"/>
  <c r="N16" i="86" s="1"/>
  <c r="K22" i="86"/>
  <c r="I23" i="86" s="1"/>
  <c r="J23" i="86" s="1"/>
  <c r="G16" i="86"/>
  <c r="Q16" i="86" l="1"/>
  <c r="E17" i="86"/>
  <c r="F17" i="86" s="1"/>
  <c r="K23" i="86"/>
  <c r="O16" i="86"/>
  <c r="R16" i="86" l="1"/>
  <c r="S16" i="86" s="1"/>
  <c r="Q17" i="86" s="1"/>
  <c r="R17" i="86" s="1"/>
  <c r="G17" i="86"/>
  <c r="E18" i="86" s="1"/>
  <c r="F18" i="86" s="1"/>
  <c r="M17" i="86"/>
  <c r="N17" i="86" l="1"/>
  <c r="O17" i="86" s="1"/>
  <c r="M18" i="86" s="1"/>
  <c r="S17" i="86"/>
  <c r="Q18" i="86" s="1"/>
  <c r="R18" i="86" s="1"/>
  <c r="G18" i="86"/>
  <c r="E19" i="86" s="1"/>
  <c r="F19" i="86" s="1"/>
  <c r="N18" i="86" l="1"/>
  <c r="O18" i="86" s="1"/>
  <c r="M19" i="86" s="1"/>
  <c r="N19" i="86" s="1"/>
  <c r="S18" i="86"/>
  <c r="Q19" i="86" s="1"/>
  <c r="R19" i="86" s="1"/>
  <c r="G19" i="86"/>
  <c r="E20" i="86" s="1"/>
  <c r="F20" i="86" s="1"/>
  <c r="S19" i="86" l="1"/>
  <c r="G20" i="86"/>
  <c r="E21" i="86" s="1"/>
  <c r="F21" i="86" s="1"/>
  <c r="O19" i="86"/>
  <c r="D8" i="106"/>
  <c r="L36" i="86" l="1"/>
  <c r="E18" i="100"/>
  <c r="Q20" i="86"/>
  <c r="R20" i="86" s="1"/>
  <c r="G21" i="86"/>
  <c r="E22" i="86" s="1"/>
  <c r="F22" i="86" s="1"/>
  <c r="L37" i="86"/>
  <c r="M20" i="86"/>
  <c r="N20" i="86" s="1"/>
  <c r="S20" i="86" l="1"/>
  <c r="G22" i="86"/>
  <c r="E23" i="86" s="1"/>
  <c r="F23" i="86" s="1"/>
  <c r="L38" i="86"/>
  <c r="O20" i="86"/>
  <c r="Q21" i="86" l="1"/>
  <c r="G23" i="86"/>
  <c r="E24" i="86" s="1"/>
  <c r="F24" i="86" s="1"/>
  <c r="L39" i="86"/>
  <c r="M21" i="86"/>
  <c r="N21" i="86" s="1"/>
  <c r="R21" i="86" l="1"/>
  <c r="S21" i="86" s="1"/>
  <c r="Q22" i="86" s="1"/>
  <c r="R22" i="86" s="1"/>
  <c r="L40" i="86"/>
  <c r="L41" i="86" s="1"/>
  <c r="L42" i="86" s="1"/>
  <c r="L43" i="86" s="1"/>
  <c r="L44" i="86" s="1"/>
  <c r="L45" i="86" s="1"/>
  <c r="L46" i="86" s="1"/>
  <c r="L47" i="86" s="1"/>
  <c r="O21" i="86"/>
  <c r="L84" i="86" l="1"/>
  <c r="S22" i="86"/>
  <c r="Q23" i="86"/>
  <c r="R23" i="86" s="1"/>
  <c r="E20" i="100"/>
  <c r="M22" i="86"/>
  <c r="N22" i="86" s="1"/>
  <c r="S23" i="86" l="1"/>
  <c r="O22" i="86"/>
  <c r="Q24" i="86" l="1"/>
  <c r="R24" i="86" s="1"/>
  <c r="M23" i="86"/>
  <c r="N23" i="86" s="1"/>
  <c r="O23" i="86" l="1"/>
  <c r="M24" i="86" l="1"/>
  <c r="N24" i="86" s="1"/>
  <c r="D8" i="101" l="1"/>
  <c r="E12" i="100" s="1"/>
  <c r="E14" i="100" s="1"/>
  <c r="H24" i="86" l="1"/>
  <c r="H25" i="86" l="1"/>
  <c r="H26" i="86" s="1"/>
  <c r="H27" i="86" s="1"/>
  <c r="H28" i="86" s="1"/>
  <c r="H29" i="86" s="1"/>
  <c r="H30" i="86" s="1"/>
  <c r="H31" i="86" s="1"/>
  <c r="H32" i="86" s="1"/>
  <c r="H33" i="86" s="1"/>
  <c r="H34" i="86" s="1"/>
  <c r="H35" i="86" s="1"/>
  <c r="I24" i="86"/>
  <c r="J24" i="86" s="1"/>
  <c r="H84"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I36" i="86" s="1"/>
  <c r="J36" i="86" s="1"/>
  <c r="K36" i="86" l="1"/>
  <c r="I37" i="86" s="1"/>
  <c r="J37" i="86" s="1"/>
  <c r="K37" i="86" l="1"/>
  <c r="I38" i="86" s="1"/>
  <c r="J38" i="86" s="1"/>
  <c r="K38" i="86" l="1"/>
  <c r="I39" i="86" s="1"/>
  <c r="J39" i="86" s="1"/>
  <c r="K39" i="86" l="1"/>
  <c r="I40" i="86" s="1"/>
  <c r="J40" i="86" s="1"/>
  <c r="K40" i="86" l="1"/>
  <c r="I41" i="86" s="1"/>
  <c r="J41" i="86" s="1"/>
  <c r="K41" i="86" l="1"/>
  <c r="I42" i="86" s="1"/>
  <c r="J42" i="86" s="1"/>
  <c r="K42" i="86" l="1"/>
  <c r="I43" i="86" s="1"/>
  <c r="J43" i="86" s="1"/>
  <c r="G24" i="86"/>
  <c r="E25" i="86" l="1"/>
  <c r="F25" i="86" s="1"/>
  <c r="S24" i="86"/>
  <c r="K43" i="86"/>
  <c r="I44" i="86" s="1"/>
  <c r="J44" i="86" s="1"/>
  <c r="O24" i="86"/>
  <c r="Q25" i="86" l="1"/>
  <c r="R25" i="86" s="1"/>
  <c r="M25" i="86"/>
  <c r="N25" i="86" s="1"/>
  <c r="G25" i="86"/>
  <c r="K44" i="86"/>
  <c r="I45" i="86" s="1"/>
  <c r="J45" i="86" s="1"/>
  <c r="S25" i="86" l="1"/>
  <c r="E26" i="86"/>
  <c r="F26" i="86" s="1"/>
  <c r="O25" i="86"/>
  <c r="K45" i="86"/>
  <c r="I46" i="86" s="1"/>
  <c r="J46" i="86" s="1"/>
  <c r="Q26" i="86" l="1"/>
  <c r="R26" i="86" s="1"/>
  <c r="G26" i="86"/>
  <c r="E27" i="86" s="1"/>
  <c r="F27" i="86" s="1"/>
  <c r="M26" i="86"/>
  <c r="N26" i="86" s="1"/>
  <c r="K46" i="86"/>
  <c r="I47" i="86" s="1"/>
  <c r="J47" i="86" s="1"/>
  <c r="S26" i="86" l="1"/>
  <c r="Q27" i="86" s="1"/>
  <c r="R27" i="86" s="1"/>
  <c r="G27" i="86"/>
  <c r="E28" i="86" s="1"/>
  <c r="F28" i="86" s="1"/>
  <c r="O26" i="86"/>
  <c r="K47" i="86"/>
  <c r="S27" i="86" l="1"/>
  <c r="Q28" i="86" s="1"/>
  <c r="R28" i="86" s="1"/>
  <c r="G28" i="86"/>
  <c r="E29" i="86" s="1"/>
  <c r="F29" i="86" s="1"/>
  <c r="M27" i="86"/>
  <c r="N27" i="86" s="1"/>
  <c r="I48" i="86"/>
  <c r="J48" i="86" s="1"/>
  <c r="S28" i="86" l="1"/>
  <c r="G29" i="86"/>
  <c r="E30" i="86" s="1"/>
  <c r="F30" i="86" s="1"/>
  <c r="K48" i="86"/>
  <c r="I49" i="86" s="1"/>
  <c r="J49" i="86" s="1"/>
  <c r="O27" i="86"/>
  <c r="G30" i="86" l="1"/>
  <c r="E31" i="86" s="1"/>
  <c r="F31" i="86" s="1"/>
  <c r="Q29" i="86"/>
  <c r="R29" i="86" s="1"/>
  <c r="M28" i="86"/>
  <c r="N28" i="86" s="1"/>
  <c r="K49" i="86"/>
  <c r="I50" i="86" s="1"/>
  <c r="J50" i="86" s="1"/>
  <c r="G31" i="86" l="1"/>
  <c r="E32" i="86" s="1"/>
  <c r="F32" i="86" s="1"/>
  <c r="S29" i="86"/>
  <c r="K50" i="86"/>
  <c r="I51" i="86" s="1"/>
  <c r="J51" i="86" s="1"/>
  <c r="O28" i="86"/>
  <c r="G32" i="86" l="1"/>
  <c r="E33" i="86" s="1"/>
  <c r="F33" i="86" s="1"/>
  <c r="Q30" i="86"/>
  <c r="R30" i="86" s="1"/>
  <c r="M29" i="86"/>
  <c r="N29" i="86" s="1"/>
  <c r="K51" i="86"/>
  <c r="I52" i="86" s="1"/>
  <c r="J52" i="86" s="1"/>
  <c r="S30" i="86" l="1"/>
  <c r="G33" i="86"/>
  <c r="E34" i="86" s="1"/>
  <c r="F34" i="86" s="1"/>
  <c r="K52" i="86"/>
  <c r="I53" i="86" s="1"/>
  <c r="J53" i="86" s="1"/>
  <c r="O29" i="86"/>
  <c r="Q31" i="86" l="1"/>
  <c r="G34" i="86"/>
  <c r="E35" i="86" s="1"/>
  <c r="F35" i="86" s="1"/>
  <c r="M30" i="86"/>
  <c r="N30" i="86" s="1"/>
  <c r="K53" i="86"/>
  <c r="I54" i="86" s="1"/>
  <c r="J54" i="86" s="1"/>
  <c r="R31" i="86" l="1"/>
  <c r="S31" i="86" s="1"/>
  <c r="Q32" i="86" s="1"/>
  <c r="G35" i="86"/>
  <c r="E36" i="86" s="1"/>
  <c r="F36" i="86" s="1"/>
  <c r="K54" i="86"/>
  <c r="I55" i="86" s="1"/>
  <c r="J55" i="86" s="1"/>
  <c r="O30" i="86"/>
  <c r="R32" i="86" l="1"/>
  <c r="S32" i="86" s="1"/>
  <c r="Q33" i="86" s="1"/>
  <c r="R33" i="86" s="1"/>
  <c r="S33" i="86" s="1"/>
  <c r="Q34" i="86" s="1"/>
  <c r="R34" i="86" s="1"/>
  <c r="G36" i="86"/>
  <c r="E37" i="86" s="1"/>
  <c r="F37" i="86" s="1"/>
  <c r="M31" i="86"/>
  <c r="N31" i="86" s="1"/>
  <c r="K55" i="86"/>
  <c r="I56" i="86" s="1"/>
  <c r="J56" i="86" s="1"/>
  <c r="S34" i="86" l="1"/>
  <c r="G37" i="86"/>
  <c r="E38" i="86" s="1"/>
  <c r="F38" i="86" s="1"/>
  <c r="K56" i="86"/>
  <c r="I57" i="86" s="1"/>
  <c r="J57" i="86" s="1"/>
  <c r="O31" i="86"/>
  <c r="Q35" i="86" l="1"/>
  <c r="R35" i="86" s="1"/>
  <c r="G38" i="86"/>
  <c r="E39" i="86" s="1"/>
  <c r="F39" i="86" s="1"/>
  <c r="M32" i="86"/>
  <c r="N32" i="86" s="1"/>
  <c r="K57" i="86"/>
  <c r="I58" i="86" s="1"/>
  <c r="J58" i="86" s="1"/>
  <c r="S35" i="86" l="1"/>
  <c r="G39" i="86"/>
  <c r="E40" i="86" s="1"/>
  <c r="F40" i="86" s="1"/>
  <c r="K58" i="86"/>
  <c r="I59" i="86" s="1"/>
  <c r="J59" i="86" s="1"/>
  <c r="O32" i="86"/>
  <c r="Q36" i="86" l="1"/>
  <c r="R36" i="86" s="1"/>
  <c r="G40" i="86"/>
  <c r="E41" i="86" s="1"/>
  <c r="F41" i="86" s="1"/>
  <c r="M33" i="86"/>
  <c r="N33" i="86" s="1"/>
  <c r="K59" i="86"/>
  <c r="S36" i="86" l="1"/>
  <c r="Q37" i="86" s="1"/>
  <c r="R37" i="86" s="1"/>
  <c r="G41" i="86"/>
  <c r="E42" i="86" s="1"/>
  <c r="F42" i="86" s="1"/>
  <c r="I60" i="86"/>
  <c r="J60" i="86" s="1"/>
  <c r="O33" i="86"/>
  <c r="S37" i="86" l="1"/>
  <c r="Q38" i="86" s="1"/>
  <c r="R38" i="86" s="1"/>
  <c r="G42" i="86"/>
  <c r="E43" i="86" s="1"/>
  <c r="F43" i="86" s="1"/>
  <c r="K60" i="86"/>
  <c r="I61" i="86" s="1"/>
  <c r="J61" i="86" s="1"/>
  <c r="M34" i="86"/>
  <c r="N34" i="86" s="1"/>
  <c r="S38" i="86" l="1"/>
  <c r="G43" i="86"/>
  <c r="E44" i="86" s="1"/>
  <c r="F44" i="86" s="1"/>
  <c r="K61" i="86"/>
  <c r="I62" i="86" s="1"/>
  <c r="O34" i="86"/>
  <c r="J62" i="86" l="1"/>
  <c r="K62" i="86" s="1"/>
  <c r="I63" i="86" s="1"/>
  <c r="G44" i="86"/>
  <c r="E45" i="86" s="1"/>
  <c r="F45" i="86" s="1"/>
  <c r="Q39" i="86"/>
  <c r="R39" i="86" s="1"/>
  <c r="M35" i="86"/>
  <c r="N35" i="86" s="1"/>
  <c r="J63" i="86" l="1"/>
  <c r="K63" i="86" s="1"/>
  <c r="I64" i="86" s="1"/>
  <c r="G45" i="86"/>
  <c r="E46" i="86" s="1"/>
  <c r="F46" i="86" s="1"/>
  <c r="S39" i="86"/>
  <c r="O35" i="86"/>
  <c r="J64" i="86" l="1"/>
  <c r="K64" i="86" s="1"/>
  <c r="I65" i="86" s="1"/>
  <c r="J65" i="86" s="1"/>
  <c r="K65" i="86" s="1"/>
  <c r="I66" i="86" s="1"/>
  <c r="G46" i="86"/>
  <c r="E47" i="86" s="1"/>
  <c r="F47" i="86" s="1"/>
  <c r="Q40" i="86"/>
  <c r="R40" i="86" s="1"/>
  <c r="M36" i="86"/>
  <c r="N36" i="86" s="1"/>
  <c r="S40" i="86" l="1"/>
  <c r="J66" i="86"/>
  <c r="K66" i="86" s="1"/>
  <c r="I67" i="86" s="1"/>
  <c r="G47" i="86"/>
  <c r="E48" i="86" s="1"/>
  <c r="F48" i="86" s="1"/>
  <c r="O36" i="86"/>
  <c r="M37" i="86" s="1"/>
  <c r="N37" i="86" s="1"/>
  <c r="Q41" i="86"/>
  <c r="R41" i="86" s="1"/>
  <c r="O37" i="86" l="1"/>
  <c r="M38" i="86" s="1"/>
  <c r="N38" i="86" s="1"/>
  <c r="J67" i="86"/>
  <c r="K67" i="86" s="1"/>
  <c r="I68" i="86" s="1"/>
  <c r="S41" i="86"/>
  <c r="G48" i="86"/>
  <c r="E49" i="86" s="1"/>
  <c r="F49" i="86" s="1"/>
  <c r="O38" i="86" l="1"/>
  <c r="M39" i="86" s="1"/>
  <c r="N39" i="86" s="1"/>
  <c r="J68" i="86"/>
  <c r="K68" i="86" s="1"/>
  <c r="I69" i="86" s="1"/>
  <c r="Q42" i="86"/>
  <c r="R42" i="86" s="1"/>
  <c r="G49" i="86"/>
  <c r="E50" i="86" s="1"/>
  <c r="F50" i="86" s="1"/>
  <c r="O39" i="86" l="1"/>
  <c r="M40" i="86" s="1"/>
  <c r="N40" i="86" s="1"/>
  <c r="J69" i="86"/>
  <c r="K69" i="86"/>
  <c r="I70" i="86" s="1"/>
  <c r="S42" i="86"/>
  <c r="G50" i="86"/>
  <c r="E51" i="86" s="1"/>
  <c r="F51" i="86" s="1"/>
  <c r="O40" i="86" l="1"/>
  <c r="M41" i="86" s="1"/>
  <c r="N41" i="86" s="1"/>
  <c r="J70" i="86"/>
  <c r="K70" i="86" s="1"/>
  <c r="I71" i="86" s="1"/>
  <c r="Q43" i="86"/>
  <c r="R43" i="86" s="1"/>
  <c r="G51" i="86"/>
  <c r="E52" i="86" s="1"/>
  <c r="F52" i="86" s="1"/>
  <c r="O41" i="86" l="1"/>
  <c r="M42" i="86" s="1"/>
  <c r="N42" i="86" s="1"/>
  <c r="J71" i="86"/>
  <c r="K71" i="86" s="1"/>
  <c r="S43" i="86"/>
  <c r="G52" i="86"/>
  <c r="E53" i="86" s="1"/>
  <c r="F53" i="86" s="1"/>
  <c r="I72" i="86" l="1"/>
  <c r="Q44" i="86"/>
  <c r="O42" i="86"/>
  <c r="M43" i="86" s="1"/>
  <c r="N43" i="86" s="1"/>
  <c r="G53" i="86"/>
  <c r="E54" i="86" s="1"/>
  <c r="F54" i="86" s="1"/>
  <c r="J72" i="86" l="1"/>
  <c r="K72" i="86" s="1"/>
  <c r="I73" i="86" s="1"/>
  <c r="R44" i="86"/>
  <c r="S44" i="86" s="1"/>
  <c r="Q45" i="86" s="1"/>
  <c r="O43" i="86"/>
  <c r="M44" i="86" s="1"/>
  <c r="N44" i="86" s="1"/>
  <c r="G54" i="86"/>
  <c r="E55" i="86" s="1"/>
  <c r="F55" i="86" s="1"/>
  <c r="J73" i="86" l="1"/>
  <c r="K73" i="86" s="1"/>
  <c r="I74" i="86" s="1"/>
  <c r="R45" i="86"/>
  <c r="S45" i="86"/>
  <c r="Q46" i="86" s="1"/>
  <c r="R46" i="86" s="1"/>
  <c r="O44" i="86"/>
  <c r="M45" i="86" s="1"/>
  <c r="N45" i="86" s="1"/>
  <c r="G55" i="86"/>
  <c r="E56" i="86" s="1"/>
  <c r="F56" i="86" s="1"/>
  <c r="J74" i="86" l="1"/>
  <c r="K74" i="86" s="1"/>
  <c r="I75" i="86" s="1"/>
  <c r="S46" i="86"/>
  <c r="Q47" i="86" s="1"/>
  <c r="R47" i="86" s="1"/>
  <c r="O45" i="86"/>
  <c r="M46" i="86" s="1"/>
  <c r="N46" i="86" s="1"/>
  <c r="G56" i="86"/>
  <c r="E57" i="86" s="1"/>
  <c r="F57" i="86" s="1"/>
  <c r="J75" i="86" l="1"/>
  <c r="K75" i="86" s="1"/>
  <c r="I76" i="86" s="1"/>
  <c r="S47" i="86"/>
  <c r="Q48" i="86" s="1"/>
  <c r="R48" i="86" s="1"/>
  <c r="O46" i="86"/>
  <c r="M47" i="86" s="1"/>
  <c r="N47" i="86" s="1"/>
  <c r="G57" i="86"/>
  <c r="E58" i="86" s="1"/>
  <c r="F58" i="86" s="1"/>
  <c r="J76" i="86" l="1"/>
  <c r="K76" i="86" s="1"/>
  <c r="I77" i="86" s="1"/>
  <c r="S48" i="86"/>
  <c r="O47" i="86"/>
  <c r="M48" i="86" s="1"/>
  <c r="N48" i="86" s="1"/>
  <c r="G58" i="86"/>
  <c r="E59" i="86" s="1"/>
  <c r="F59" i="86" s="1"/>
  <c r="J77" i="86" l="1"/>
  <c r="K77" i="86" s="1"/>
  <c r="I78" i="86" s="1"/>
  <c r="Q49" i="86"/>
  <c r="R49" i="86" s="1"/>
  <c r="G59" i="86"/>
  <c r="E60" i="86" s="1"/>
  <c r="F60" i="86" s="1"/>
  <c r="O48" i="86"/>
  <c r="J78" i="86" l="1"/>
  <c r="K78" i="86" s="1"/>
  <c r="I79" i="86" s="1"/>
  <c r="G60" i="86"/>
  <c r="E61" i="86" s="1"/>
  <c r="S49" i="86"/>
  <c r="M49" i="86"/>
  <c r="N49" i="86" s="1"/>
  <c r="J79" i="86" l="1"/>
  <c r="K79" i="86" s="1"/>
  <c r="I80" i="86" s="1"/>
  <c r="F61" i="86"/>
  <c r="G61" i="86" s="1"/>
  <c r="E62" i="86" s="1"/>
  <c r="O49" i="86"/>
  <c r="M50" i="86" s="1"/>
  <c r="N50" i="86" s="1"/>
  <c r="Q50" i="86"/>
  <c r="R50" i="86" s="1"/>
  <c r="J80" i="86" l="1"/>
  <c r="K80" i="86" s="1"/>
  <c r="I81" i="86" s="1"/>
  <c r="F62" i="86"/>
  <c r="G62" i="86" s="1"/>
  <c r="E63" i="86" s="1"/>
  <c r="O50" i="86"/>
  <c r="M51" i="86" s="1"/>
  <c r="N51" i="86" s="1"/>
  <c r="S50" i="86"/>
  <c r="J81" i="86" l="1"/>
  <c r="K81" i="86" s="1"/>
  <c r="I82" i="86" s="1"/>
  <c r="F63" i="86"/>
  <c r="G63" i="86" s="1"/>
  <c r="E64" i="86" s="1"/>
  <c r="O51" i="86"/>
  <c r="M52" i="86" s="1"/>
  <c r="N52" i="86" s="1"/>
  <c r="Q51" i="86"/>
  <c r="R51" i="86" s="1"/>
  <c r="J82" i="86" l="1"/>
  <c r="K82" i="86" s="1"/>
  <c r="I83" i="86" s="1"/>
  <c r="F64" i="86"/>
  <c r="G64" i="86" s="1"/>
  <c r="E65" i="86" s="1"/>
  <c r="O52" i="86"/>
  <c r="M53" i="86" s="1"/>
  <c r="N53" i="86" s="1"/>
  <c r="S51" i="86"/>
  <c r="J83" i="86" l="1"/>
  <c r="K83" i="86" s="1"/>
  <c r="K84" i="86" s="1"/>
  <c r="F14" i="100" s="1"/>
  <c r="F12" i="100" s="1"/>
  <c r="F65" i="86"/>
  <c r="G65" i="86" s="1"/>
  <c r="E66" i="86" s="1"/>
  <c r="O53" i="86"/>
  <c r="M54" i="86" s="1"/>
  <c r="N54" i="86" s="1"/>
  <c r="Q52" i="86"/>
  <c r="R52" i="86" s="1"/>
  <c r="F66" i="86" l="1"/>
  <c r="G66" i="86" s="1"/>
  <c r="E67" i="86" s="1"/>
  <c r="S52" i="86"/>
  <c r="Q53" i="86" s="1"/>
  <c r="R53" i="86" s="1"/>
  <c r="O54" i="86"/>
  <c r="M55" i="86" s="1"/>
  <c r="N55" i="86" s="1"/>
  <c r="F67" i="86" l="1"/>
  <c r="G67" i="86" s="1"/>
  <c r="E68" i="86" s="1"/>
  <c r="O55" i="86"/>
  <c r="M56" i="86" s="1"/>
  <c r="N56" i="86" s="1"/>
  <c r="S53" i="86"/>
  <c r="F68" i="86" l="1"/>
  <c r="G68" i="86" s="1"/>
  <c r="E69" i="86" s="1"/>
  <c r="O56" i="86"/>
  <c r="M57" i="86" s="1"/>
  <c r="N57" i="86" s="1"/>
  <c r="Q54" i="86"/>
  <c r="R54" i="86" s="1"/>
  <c r="F69" i="86" l="1"/>
  <c r="G69" i="86" s="1"/>
  <c r="E70" i="86" s="1"/>
  <c r="O57" i="86"/>
  <c r="M58" i="86" s="1"/>
  <c r="N58" i="86" s="1"/>
  <c r="S54" i="86"/>
  <c r="Q55" i="86" s="1"/>
  <c r="R55" i="86" s="1"/>
  <c r="F70" i="86" l="1"/>
  <c r="G70" i="86" s="1"/>
  <c r="E71" i="86" s="1"/>
  <c r="O58" i="86"/>
  <c r="M59" i="86" s="1"/>
  <c r="N59" i="86" s="1"/>
  <c r="S55" i="86"/>
  <c r="F71" i="86" l="1"/>
  <c r="G71" i="86" s="1"/>
  <c r="O59" i="86"/>
  <c r="M60" i="86" s="1"/>
  <c r="N60" i="86" s="1"/>
  <c r="Q56" i="86"/>
  <c r="R56" i="86" s="1"/>
  <c r="E72" i="86" l="1"/>
  <c r="O60" i="86"/>
  <c r="S56" i="86"/>
  <c r="F72" i="86" l="1"/>
  <c r="G72" i="86"/>
  <c r="E73" i="86" s="1"/>
  <c r="M61" i="86"/>
  <c r="N61" i="86" s="1"/>
  <c r="Q57" i="86"/>
  <c r="R57" i="86" s="1"/>
  <c r="F73" i="86" l="1"/>
  <c r="G73" i="86" s="1"/>
  <c r="E74" i="86" s="1"/>
  <c r="O61" i="86"/>
  <c r="M62" i="86" s="1"/>
  <c r="N62" i="86" s="1"/>
  <c r="S57" i="86"/>
  <c r="F74" i="86" l="1"/>
  <c r="G74" i="86"/>
  <c r="E75" i="86" s="1"/>
  <c r="O62" i="86"/>
  <c r="Q58" i="86"/>
  <c r="R58" i="86" s="1"/>
  <c r="F75" i="86" l="1"/>
  <c r="G75" i="86"/>
  <c r="E76" i="86" s="1"/>
  <c r="M63" i="86"/>
  <c r="N63" i="86" s="1"/>
  <c r="S58" i="86"/>
  <c r="Q59" i="86" s="1"/>
  <c r="R59" i="86" s="1"/>
  <c r="F76" i="86" l="1"/>
  <c r="G76" i="86" s="1"/>
  <c r="E77" i="86" s="1"/>
  <c r="O63" i="86"/>
  <c r="M64" i="86" s="1"/>
  <c r="N64" i="86" s="1"/>
  <c r="S59" i="86"/>
  <c r="F77" i="86" l="1"/>
  <c r="G77" i="86" s="1"/>
  <c r="E78" i="86" s="1"/>
  <c r="O64" i="86"/>
  <c r="F78" i="86" l="1"/>
  <c r="G78" i="86" s="1"/>
  <c r="E79" i="86" s="1"/>
  <c r="M65" i="86"/>
  <c r="N65" i="86" s="1"/>
  <c r="F79" i="86" l="1"/>
  <c r="G79" i="86" s="1"/>
  <c r="E80" i="86" s="1"/>
  <c r="O65" i="86"/>
  <c r="M66" i="86" s="1"/>
  <c r="N66" i="86" s="1"/>
  <c r="F80" i="86" l="1"/>
  <c r="G80" i="86" s="1"/>
  <c r="E81" i="86" s="1"/>
  <c r="O66" i="86"/>
  <c r="F81" i="86" l="1"/>
  <c r="G81" i="86" s="1"/>
  <c r="E82" i="86" s="1"/>
  <c r="M67" i="86"/>
  <c r="N67" i="86" s="1"/>
  <c r="F82" i="86" l="1"/>
  <c r="G82" i="86" s="1"/>
  <c r="E83" i="86" s="1"/>
  <c r="O67" i="86"/>
  <c r="M68" i="86" s="1"/>
  <c r="N68" i="86" s="1"/>
  <c r="F83" i="86" l="1"/>
  <c r="G83" i="86" s="1"/>
  <c r="G84" i="86" s="1"/>
  <c r="F8" i="100" s="1"/>
  <c r="F6" i="100" s="1"/>
  <c r="O68" i="86"/>
  <c r="M69" i="86" l="1"/>
  <c r="N69" i="86" s="1"/>
  <c r="O69" i="86" l="1"/>
  <c r="M70" i="86" l="1"/>
  <c r="N70" i="86" s="1"/>
  <c r="O70" i="86" l="1"/>
  <c r="M71" i="86" s="1"/>
  <c r="N71" i="86" s="1"/>
  <c r="O71" i="86" l="1"/>
  <c r="M72" i="86" l="1"/>
  <c r="N72" i="86" l="1"/>
  <c r="O72" i="86"/>
  <c r="M73" i="86" s="1"/>
  <c r="N73" i="86" l="1"/>
  <c r="O73" i="86" s="1"/>
  <c r="M74" i="86" s="1"/>
  <c r="N74" i="86" l="1"/>
  <c r="O74" i="86"/>
  <c r="M75" i="86" s="1"/>
  <c r="N75" i="86" l="1"/>
  <c r="O75" i="86" s="1"/>
  <c r="M76" i="86" s="1"/>
  <c r="N76" i="86" l="1"/>
  <c r="O76" i="86" s="1"/>
  <c r="M77" i="86" s="1"/>
  <c r="N77" i="86" l="1"/>
  <c r="O77" i="86" s="1"/>
  <c r="M78" i="86" s="1"/>
  <c r="N78" i="86" l="1"/>
  <c r="O78" i="86"/>
  <c r="M79" i="86" s="1"/>
  <c r="N79" i="86" l="1"/>
  <c r="O79" i="86" s="1"/>
  <c r="M80" i="86" s="1"/>
  <c r="N80" i="86" l="1"/>
  <c r="O80" i="86"/>
  <c r="M81" i="86" s="1"/>
  <c r="N81" i="86" l="1"/>
  <c r="O81" i="86" s="1"/>
  <c r="M82" i="86" s="1"/>
  <c r="N82" i="86" l="1"/>
  <c r="O82" i="86" s="1"/>
  <c r="M83" i="86" s="1"/>
  <c r="N83" i="86" l="1"/>
  <c r="O83" i="86" s="1"/>
  <c r="O84" i="86" s="1"/>
  <c r="F20" i="100" s="1"/>
  <c r="F18" i="100" s="1"/>
  <c r="D7" i="197" l="1"/>
  <c r="D8" i="197" s="1"/>
  <c r="T82" i="86" l="1"/>
  <c r="T73" i="86"/>
  <c r="T81" i="86"/>
  <c r="T83" i="86"/>
  <c r="T79" i="86"/>
  <c r="T72" i="86"/>
  <c r="T78" i="86"/>
  <c r="T77" i="86"/>
  <c r="T80" i="86"/>
  <c r="T76" i="86"/>
  <c r="T75" i="86"/>
  <c r="T74" i="86"/>
  <c r="T84" i="86" l="1"/>
  <c r="U72" i="86"/>
  <c r="V72" i="86" s="1"/>
  <c r="W72" i="86" s="1"/>
  <c r="U73" i="86" s="1"/>
  <c r="V73" i="86" s="1"/>
  <c r="W73" i="86" s="1"/>
  <c r="U74" i="86" s="1"/>
  <c r="V74" i="86" s="1"/>
  <c r="W74" i="86" s="1"/>
  <c r="U75" i="86" s="1"/>
  <c r="V75" i="86" s="1"/>
  <c r="W75" i="86" s="1"/>
  <c r="U76" i="86" s="1"/>
  <c r="V76" i="86" s="1"/>
  <c r="W76" i="86" s="1"/>
  <c r="U77" i="86" s="1"/>
  <c r="V77" i="86" s="1"/>
  <c r="W77" i="86" s="1"/>
  <c r="U78" i="86" s="1"/>
  <c r="V78" i="86" s="1"/>
  <c r="W78" i="86" s="1"/>
  <c r="U79" i="86" s="1"/>
  <c r="V79" i="86" s="1"/>
  <c r="W79" i="86" s="1"/>
  <c r="U80" i="86" s="1"/>
  <c r="V80" i="86" s="1"/>
  <c r="W80" i="86" s="1"/>
  <c r="U81" i="86" s="1"/>
  <c r="V81" i="86" s="1"/>
  <c r="W81" i="86" s="1"/>
  <c r="U82" i="86" s="1"/>
  <c r="V82" i="86" s="1"/>
  <c r="W82" i="86" s="1"/>
  <c r="U83" i="86" s="1"/>
  <c r="V83" i="86" s="1"/>
  <c r="W83" i="86" s="1"/>
  <c r="W84" i="86" s="1"/>
  <c r="F34" i="100" s="1"/>
  <c r="F30" i="100" l="1"/>
  <c r="F37" i="100"/>
  <c r="F32" i="100"/>
  <c r="D7" i="194" l="1"/>
  <c r="D8" i="194" s="1"/>
  <c r="P66" i="86" l="1"/>
  <c r="P68" i="86"/>
  <c r="P70" i="86"/>
  <c r="P63" i="86"/>
  <c r="P62" i="86"/>
  <c r="P64" i="86"/>
  <c r="P61" i="86"/>
  <c r="P67" i="86"/>
  <c r="P69" i="86"/>
  <c r="P60" i="86"/>
  <c r="E24" i="100"/>
  <c r="E26" i="100" s="1"/>
  <c r="E37" i="100" s="1"/>
  <c r="P71" i="86"/>
  <c r="P65" i="86"/>
  <c r="P84" i="86" l="1"/>
  <c r="Q60" i="86"/>
  <c r="R60" i="86" l="1"/>
  <c r="S60" i="86" s="1"/>
  <c r="Q61" i="86" s="1"/>
  <c r="R61" i="86" l="1"/>
  <c r="S61" i="86"/>
  <c r="Q62" i="86" s="1"/>
  <c r="R62" i="86" l="1"/>
  <c r="S62" i="86"/>
  <c r="Q63" i="86" s="1"/>
  <c r="R63" i="86" l="1"/>
  <c r="S63" i="86" s="1"/>
  <c r="Q64" i="86" s="1"/>
  <c r="R64" i="86" l="1"/>
  <c r="S64" i="86"/>
  <c r="Q65" i="86" s="1"/>
  <c r="R65" i="86" l="1"/>
  <c r="S65" i="86"/>
  <c r="Q66" i="86" s="1"/>
  <c r="R66" i="86" l="1"/>
  <c r="S66" i="86"/>
  <c r="Q67" i="86" s="1"/>
  <c r="R67" i="86" l="1"/>
  <c r="S67" i="86"/>
  <c r="Q68" i="86" s="1"/>
  <c r="R68" i="86" l="1"/>
  <c r="S68" i="86" s="1"/>
  <c r="Q69" i="86" s="1"/>
  <c r="R69" i="86" l="1"/>
  <c r="S69" i="86"/>
  <c r="Q70" i="86" s="1"/>
  <c r="R70" i="86" l="1"/>
  <c r="S70" i="86"/>
  <c r="Q71" i="86" s="1"/>
  <c r="R71" i="86" l="1"/>
  <c r="S71" i="86"/>
  <c r="Q72" i="86" s="1"/>
  <c r="R72" i="86" s="1"/>
  <c r="S72" i="86" s="1"/>
  <c r="Q73" i="86" s="1"/>
  <c r="R73" i="86" s="1"/>
  <c r="S73" i="86" s="1"/>
  <c r="Q74" i="86" s="1"/>
  <c r="R74" i="86" s="1"/>
  <c r="S74" i="86" s="1"/>
  <c r="Q75" i="86" s="1"/>
  <c r="R75" i="86" s="1"/>
  <c r="S75" i="86" s="1"/>
  <c r="Q76" i="86" s="1"/>
  <c r="R76" i="86" s="1"/>
  <c r="S76" i="86" s="1"/>
  <c r="Q77" i="86" s="1"/>
  <c r="R77" i="86" s="1"/>
  <c r="S77" i="86" s="1"/>
  <c r="Q78" i="86" s="1"/>
  <c r="R78" i="86" s="1"/>
  <c r="S78" i="86" s="1"/>
  <c r="Q79" i="86" s="1"/>
  <c r="R79" i="86" s="1"/>
  <c r="S79" i="86" s="1"/>
  <c r="Q80" i="86" s="1"/>
  <c r="R80" i="86" s="1"/>
  <c r="S80" i="86" s="1"/>
  <c r="Q81" i="86" s="1"/>
  <c r="R81" i="86" s="1"/>
  <c r="S81" i="86" s="1"/>
  <c r="Q82" i="86" s="1"/>
  <c r="R82" i="86" s="1"/>
  <c r="S82" i="86" s="1"/>
  <c r="Q83" i="86" s="1"/>
  <c r="R83" i="86" s="1"/>
  <c r="S83" i="86" s="1"/>
  <c r="S84" i="86" s="1"/>
  <c r="F24" i="10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H58" authorId="0" shapeId="0" xr:uid="{00000000-0006-0000-0400-000001000000}">
      <text>
        <r>
          <rPr>
            <b/>
            <sz val="9"/>
            <color indexed="81"/>
            <rFont val="Tahoma"/>
            <family val="2"/>
          </rPr>
          <t>Changed from $2,118,386 to $2,075,492 due to inadvertent error.</t>
        </r>
      </text>
    </comment>
    <comment ref="H118" authorId="0" shapeId="0" xr:uid="{00000000-0006-0000-0400-000002000000}">
      <text>
        <r>
          <rPr>
            <b/>
            <sz val="9"/>
            <color indexed="81"/>
            <rFont val="Tahoma"/>
            <family val="2"/>
          </rPr>
          <t>Changed from $25,838 to $77,265 due to inadvertent error.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H61" authorId="0" shapeId="0" xr:uid="{00000000-0006-0000-0700-000001000000}">
      <text>
        <r>
          <rPr>
            <b/>
            <sz val="9"/>
            <color indexed="81"/>
            <rFont val="Tahoma"/>
            <family val="2"/>
          </rPr>
          <t>Changed from $4,106,773 to $4,243,443 due to inadvertent error.</t>
        </r>
      </text>
    </comment>
    <comment ref="H121" authorId="0" shapeId="0" xr:uid="{00000000-0006-0000-0700-000002000000}">
      <text>
        <r>
          <rPr>
            <b/>
            <sz val="9"/>
            <color indexed="81"/>
            <rFont val="Tahoma"/>
            <family val="2"/>
          </rPr>
          <t>Changed from $26,518 to $88,029 due to inadvertent error.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H61" authorId="0" shapeId="0" xr:uid="{00000000-0006-0000-0A00-000001000000}">
      <text>
        <r>
          <rPr>
            <b/>
            <sz val="9"/>
            <color indexed="81"/>
            <rFont val="Tahoma"/>
            <family val="2"/>
          </rPr>
          <t xml:space="preserve">Changed from $4,119,174 to $4,087,271 to correct inadvertent error. </t>
        </r>
      </text>
    </comment>
    <comment ref="H121" authorId="0" shapeId="0" xr:uid="{00000000-0006-0000-0A00-000002000000}">
      <text>
        <r>
          <rPr>
            <b/>
            <sz val="9"/>
            <color indexed="81"/>
            <rFont val="Tahoma"/>
            <family val="2"/>
          </rPr>
          <t xml:space="preserve">Changed from $26,518 to $88,029 to correct inadvertent error.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89BF229B-FAAF-4F8C-8414-046D10BF6374}">
      <text>
        <r>
          <rPr>
            <b/>
            <sz val="9"/>
            <color indexed="81"/>
            <rFont val="Tahoma"/>
            <family val="2"/>
          </rPr>
          <t xml:space="preserve">Changed from $7,725,398 to $7,744,566 due to removal of outside counsel cost related to employment litigation or arbitration matters which should have been excluded.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F44" authorId="0" shapeId="0" xr:uid="{EA969F91-AD57-4256-BB4F-D2888C3B4EC1}">
      <text>
        <r>
          <rPr>
            <b/>
            <sz val="9"/>
            <color indexed="81"/>
            <rFont val="Tahoma"/>
            <family val="2"/>
          </rPr>
          <t>Changed from $38,253,401 to $38,103,246 due to inadvertent error.</t>
        </r>
      </text>
    </comment>
    <comment ref="F45" authorId="0" shapeId="0" xr:uid="{E3034A36-F562-4316-B813-322308BCD832}">
      <text>
        <r>
          <rPr>
            <b/>
            <sz val="9"/>
            <color indexed="81"/>
            <rFont val="Tahoma"/>
            <family val="2"/>
          </rPr>
          <t xml:space="preserve">Changed from $46,788,116 to $46,589,551 due to inadvertent error. </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74736DC5-077A-47FE-B1E1-7B1F343AFBD7}">
      <text>
        <r>
          <rPr>
            <b/>
            <sz val="9"/>
            <color indexed="81"/>
            <rFont val="Tahoma"/>
            <family val="2"/>
          </rPr>
          <t xml:space="preserve">Changed from $7,684,282 to $7,741,758 due to removal of outside counsel cost related to employment litigation or arbitration matters which should have been excluded. </t>
        </r>
      </text>
    </comment>
  </commentList>
</comments>
</file>

<file path=xl/sharedStrings.xml><?xml version="1.0" encoding="utf-8"?>
<sst xmlns="http://schemas.openxmlformats.org/spreadsheetml/2006/main" count="3888" uniqueCount="994">
  <si>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</si>
  <si>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</si>
  <si>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</si>
  <si>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</si>
  <si>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</si>
  <si>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</si>
  <si>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</si>
  <si>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</si>
  <si>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</si>
  <si>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</si>
  <si>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</si>
  <si>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</si>
  <si>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</si>
  <si>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</si>
  <si>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</si>
  <si>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</si>
  <si>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</si>
  <si>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</si>
  <si>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</si>
  <si>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</si>
  <si>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</si>
  <si>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</si>
  <si>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</si>
  <si>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</si>
  <si>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</si>
  <si>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</si>
  <si>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</si>
  <si>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</si>
  <si>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One Time Adjustment for Revised 2013 True Up TRR</t>
  </si>
  <si>
    <t>2013</t>
  </si>
  <si>
    <t>1.</t>
  </si>
  <si>
    <r>
      <rPr>
        <b/>
        <sz val="12"/>
        <rFont val="Calibri"/>
        <family val="2"/>
        <scheme val="minor"/>
      </rPr>
      <t>True Up TRR Pursuant to Appendix IX, Attachment 1, Paragraph 3(d)(8)</t>
    </r>
  </si>
  <si>
    <t xml:space="preserve">Subtotal One-Time Adj: </t>
  </si>
  <si>
    <t>Description</t>
  </si>
  <si>
    <t>Amount</t>
  </si>
  <si>
    <t>Source</t>
  </si>
  <si>
    <t>Variance*</t>
  </si>
  <si>
    <t>* Variance Includes Adjustments for:</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</si>
  <si>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</si>
  <si>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</si>
  <si>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</si>
  <si>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</si>
  <si>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</si>
  <si>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</si>
  <si>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</si>
  <si>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</si>
  <si>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</si>
  <si>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</si>
  <si>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</si>
  <si>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</si>
  <si>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</si>
  <si>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</si>
  <si>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</si>
  <si>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</si>
  <si>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</si>
  <si>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</si>
  <si>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</si>
  <si>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</si>
  <si>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</si>
  <si>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</si>
  <si>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</si>
  <si>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</si>
  <si>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</si>
  <si>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</si>
  <si>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</si>
  <si>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</si>
  <si>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</si>
  <si>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</si>
  <si>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</si>
  <si>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</si>
  <si>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</si>
  <si>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</si>
  <si>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</si>
  <si>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</si>
  <si>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</si>
  <si>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</si>
  <si>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</si>
  <si>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</si>
  <si>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</si>
  <si>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</si>
  <si>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</si>
  <si>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</si>
  <si>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</si>
  <si>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</si>
  <si>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</si>
  <si>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</si>
  <si>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</si>
  <si>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</si>
  <si>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</si>
  <si>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</si>
  <si>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</si>
  <si>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</si>
  <si>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</si>
  <si>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</si>
  <si>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</si>
  <si>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</si>
  <si>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</si>
  <si>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</si>
  <si>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</si>
  <si>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</si>
  <si>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</si>
  <si>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</si>
  <si>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</si>
  <si>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</si>
  <si>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</si>
  <si>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</si>
  <si>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</si>
  <si>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</si>
  <si>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</si>
  <si>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</si>
  <si>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</si>
  <si>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</si>
  <si>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</si>
  <si>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</si>
  <si>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</si>
  <si>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</si>
  <si>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</si>
  <si>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</si>
  <si>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</si>
  <si>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</si>
  <si>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</si>
  <si>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</si>
  <si>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</si>
  <si>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</si>
  <si>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</si>
  <si>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</si>
  <si>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</si>
  <si>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</si>
  <si>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</si>
  <si>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</si>
  <si>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</si>
  <si>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</si>
  <si>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</si>
  <si>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</si>
  <si>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</si>
  <si>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</si>
  <si>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</si>
  <si>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</si>
  <si>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</si>
  <si>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</si>
  <si>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</si>
  <si>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</si>
  <si>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</si>
  <si>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</si>
  <si>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</si>
  <si>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</si>
  <si>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</si>
  <si>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</si>
  <si>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</si>
  <si>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</si>
  <si>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</si>
  <si>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</si>
  <si>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</si>
  <si>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</si>
  <si>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</si>
  <si>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</si>
  <si>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</si>
  <si>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</si>
  <si>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 xml:space="preserve">One Time Adjustment for Revised 2013 True Up TRR </t>
  </si>
  <si>
    <t>27a</t>
  </si>
  <si>
    <t>PBOPs True Up TRR Adjustment</t>
  </si>
  <si>
    <t>TO9 TUTRR</t>
  </si>
  <si>
    <t>Jan 1, 2013</t>
  </si>
  <si>
    <t>Dec 31, 2013</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</si>
  <si>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</si>
  <si>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</si>
  <si>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</si>
  <si>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</si>
  <si>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</si>
  <si>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</si>
  <si>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</si>
  <si>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</si>
  <si>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</si>
  <si>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</si>
  <si>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</si>
  <si>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</si>
  <si>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</si>
  <si>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</si>
  <si>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</si>
  <si>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</si>
  <si>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</si>
  <si>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</si>
  <si>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</si>
  <si>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</si>
  <si>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</si>
  <si>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</si>
  <si>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</si>
  <si>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</si>
  <si>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</si>
  <si>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</si>
  <si>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</si>
  <si>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</si>
  <si>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</si>
  <si>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</si>
  <si>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</si>
  <si>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</si>
  <si>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</si>
  <si>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</si>
  <si>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</si>
  <si>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</si>
  <si>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</si>
  <si>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</si>
  <si>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</si>
  <si>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</si>
  <si>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</si>
  <si>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</si>
  <si>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</si>
  <si>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</si>
  <si>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</si>
  <si>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</si>
  <si>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</si>
  <si>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</si>
  <si>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</si>
  <si>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</si>
  <si>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</si>
  <si>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</si>
  <si>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</si>
  <si>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</si>
  <si>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</si>
  <si>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</si>
  <si>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</si>
  <si>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</si>
  <si>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</si>
  <si>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</si>
  <si>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</si>
  <si>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</si>
  <si>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</si>
  <si>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</si>
  <si>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</si>
  <si>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</si>
  <si>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</si>
  <si>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</si>
  <si>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</si>
  <si>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</si>
  <si>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</si>
  <si>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</si>
  <si>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</si>
  <si>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</si>
  <si>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</si>
  <si>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</si>
  <si>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</si>
  <si>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</si>
  <si>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</si>
  <si>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</si>
  <si>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</si>
  <si>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</si>
  <si>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</si>
  <si>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</si>
  <si>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</si>
  <si>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</si>
  <si>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</si>
  <si>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</si>
  <si>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</si>
  <si>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</si>
  <si>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</si>
  <si>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</si>
  <si>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</si>
  <si>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</si>
  <si>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</si>
  <si>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</si>
  <si>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</si>
  <si>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</si>
  <si>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</si>
  <si>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</si>
  <si>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</si>
  <si>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</si>
  <si>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</si>
  <si>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</si>
  <si>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</si>
  <si>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</si>
  <si>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</si>
  <si>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</si>
  <si>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</si>
  <si>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</si>
  <si>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</si>
  <si>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</si>
  <si>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</si>
  <si>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</si>
  <si>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</si>
  <si>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Changes to 2013</t>
  </si>
  <si>
    <t>A</t>
  </si>
  <si>
    <t>One-Time Adj*</t>
  </si>
  <si>
    <t>Jan 1, 2014</t>
  </si>
  <si>
    <t>Dec 31, 2014</t>
  </si>
  <si>
    <t>* Variance Includes Adjustment for:</t>
  </si>
  <si>
    <t xml:space="preserve">One Time Adjustment for Revised 2014 True Up TRR </t>
  </si>
  <si>
    <t>TO10 TUTRR</t>
  </si>
  <si>
    <t>One Time Adjustment for Revised 2014 True Up TRR</t>
  </si>
  <si>
    <t>2014</t>
  </si>
  <si>
    <t>Changes to 2014</t>
  </si>
  <si>
    <t>Explanation of One Time Adjustment to Prior Period</t>
  </si>
  <si>
    <t>B</t>
  </si>
  <si>
    <t>Line</t>
  </si>
  <si>
    <t>Notes:</t>
  </si>
  <si>
    <t>One Time Adjustment for Revised 2012 True Up TRR</t>
  </si>
  <si>
    <t>2012</t>
  </si>
  <si>
    <t xml:space="preserve">One Time Adjustment for Revised 2012 True Up TRR </t>
  </si>
  <si>
    <t>TO8 TUTRR</t>
  </si>
  <si>
    <t>Jan 1, 2012</t>
  </si>
  <si>
    <t>Dec 31, 2012</t>
  </si>
  <si>
    <t>Changes to 2012</t>
  </si>
  <si>
    <t>C</t>
  </si>
  <si>
    <t>E</t>
  </si>
  <si>
    <t>G</t>
  </si>
  <si>
    <t>I</t>
  </si>
  <si>
    <t>J</t>
  </si>
  <si>
    <t>K</t>
  </si>
  <si>
    <t>Total</t>
  </si>
  <si>
    <t xml:space="preserve"> </t>
  </si>
  <si>
    <t>2015</t>
  </si>
  <si>
    <t>Incremental</t>
  </si>
  <si>
    <t>ER16-2433, Order dated September 28, 2016</t>
  </si>
  <si>
    <t>D</t>
  </si>
  <si>
    <t>H</t>
  </si>
  <si>
    <t>M</t>
  </si>
  <si>
    <t>N</t>
  </si>
  <si>
    <t>P</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</si>
  <si>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2013 True Up TRR of $200,399.</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</si>
  <si>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2014 True Up TRR of $29,939.</t>
  </si>
  <si>
    <t>Revised TO8 True Up TRR in TO2018 Filing</t>
  </si>
  <si>
    <t>2016</t>
  </si>
  <si>
    <t>One Time Adjustment for Revised 2016 True Up TRR</t>
  </si>
  <si>
    <t>F</t>
  </si>
  <si>
    <t>L</t>
  </si>
  <si>
    <t>Traditional OOR</t>
  </si>
  <si>
    <t>GRSM</t>
  </si>
  <si>
    <t>Other Ratemaking</t>
  </si>
  <si>
    <t>FERC ACCT</t>
  </si>
  <si>
    <t>ACCT</t>
  </si>
  <si>
    <t>ACCT DESCRIPTION</t>
  </si>
  <si>
    <t>DOLLARS</t>
  </si>
  <si>
    <t>Category</t>
  </si>
  <si>
    <t>ISO</t>
  </si>
  <si>
    <t>Non-ISO</t>
  </si>
  <si>
    <t>A/P</t>
  </si>
  <si>
    <t>Threshold [10]</t>
  </si>
  <si>
    <t>1a</t>
  </si>
  <si>
    <t>4191110</t>
  </si>
  <si>
    <t>Late Payment Charge- Comm. &amp; Ind.</t>
  </si>
  <si>
    <t>1b</t>
  </si>
  <si>
    <t>4191115</t>
  </si>
  <si>
    <t>Residential Late Payment</t>
  </si>
  <si>
    <t>1c</t>
  </si>
  <si>
    <t>4191120</t>
  </si>
  <si>
    <t>Non-Residential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</si>
  <si>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</si>
  <si>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</si>
  <si>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</si>
  <si>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</si>
  <si>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</si>
  <si>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</si>
  <si>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</si>
  <si>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</si>
  <si>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</si>
  <si>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</si>
  <si>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</si>
  <si>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</si>
  <si>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</si>
  <si>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</si>
  <si>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</si>
  <si>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</si>
  <si>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</si>
  <si>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</si>
  <si>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</si>
  <si>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</si>
  <si>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</si>
  <si>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</si>
  <si>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</si>
  <si>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</si>
  <si>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</si>
  <si>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</si>
  <si>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4i</t>
  </si>
  <si>
    <t>4192910</t>
  </si>
  <si>
    <t>PUC Reimbursement Fee-Elect</t>
  </si>
  <si>
    <t>4j</t>
  </si>
  <si>
    <t>Uneconomic Line Extension</t>
  </si>
  <si>
    <t>4k</t>
  </si>
  <si>
    <t>Opt Out CARE-Res-Ini</t>
  </si>
  <si>
    <t>4l</t>
  </si>
  <si>
    <t>Opt Out CARE-Res-Mo</t>
  </si>
  <si>
    <t>4m</t>
  </si>
  <si>
    <t>Opt Out NonCARE-Res-Ini</t>
  </si>
  <si>
    <t>4n</t>
  </si>
  <si>
    <t>Opt Out NonCARE-Res-Mo</t>
  </si>
  <si>
    <t>451 Total</t>
  </si>
  <si>
    <t>FF-1 Total for Acct 451 - Misc. Service Revenues, p300.17b 
(Must Equal Line 5)</t>
  </si>
  <si>
    <t>7a</t>
  </si>
  <si>
    <t>4183110</t>
  </si>
  <si>
    <t>Sales of Water &amp; Water Power - San Joaquin</t>
  </si>
  <si>
    <t>7b</t>
  </si>
  <si>
    <t>4183115</t>
  </si>
  <si>
    <t>Sales of Water &amp; Water Power - Headwater</t>
  </si>
  <si>
    <t>7c</t>
  </si>
  <si>
    <t>-</t>
  </si>
  <si>
    <t>Miscellaneous Adjustments</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</si>
  <si>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</si>
  <si>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</si>
  <si>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</si>
  <si>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</si>
  <si>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</si>
  <si>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</si>
  <si>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</si>
  <si>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</si>
  <si>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</si>
  <si>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</si>
  <si>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</si>
  <si>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</si>
  <si>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4184116</t>
  </si>
  <si>
    <t>Joint Pole - Tariffed Process &amp; Eng Fees - Conduit</t>
  </si>
  <si>
    <t>10e</t>
  </si>
  <si>
    <t>4184118</t>
  </si>
  <si>
    <t>Joint Pole - Pl Attchmnt Audit - Undoc P&amp;E Fee</t>
  </si>
  <si>
    <t>10f</t>
  </si>
  <si>
    <t>Joint Pole - Aud - Unauth Penalty</t>
  </si>
  <si>
    <t>10g</t>
  </si>
  <si>
    <t>4184510</t>
  </si>
  <si>
    <t>Joint Pole - Non-Tariffed Pole Rental</t>
  </si>
  <si>
    <t>10h</t>
  </si>
  <si>
    <t>4184512</t>
  </si>
  <si>
    <t>Joint Pole - Non-Tariff Process &amp; Engineering Fees</t>
  </si>
  <si>
    <t>10i</t>
  </si>
  <si>
    <t>4184514</t>
  </si>
  <si>
    <t>Joint Pole - Non-Tariff Requests for Information</t>
  </si>
  <si>
    <t>10j</t>
  </si>
  <si>
    <t>4184516</t>
  </si>
  <si>
    <t>Oil And Gas Royalties</t>
  </si>
  <si>
    <t>10k</t>
  </si>
  <si>
    <t>4184518</t>
  </si>
  <si>
    <t>Def Operating Land &amp; Facilities Rent Rev</t>
  </si>
  <si>
    <t>10l</t>
  </si>
  <si>
    <t>4184810</t>
  </si>
  <si>
    <t>Facility Cost -EIX/Nonutility</t>
  </si>
  <si>
    <t>6, 12</t>
  </si>
  <si>
    <t>10m</t>
  </si>
  <si>
    <t>4184815</t>
  </si>
  <si>
    <t>Facility Cost- Utility</t>
  </si>
  <si>
    <t>10n</t>
  </si>
  <si>
    <t>4184820</t>
  </si>
  <si>
    <t>Rent Billed to Non-Utility Affiliates</t>
  </si>
  <si>
    <t>10o</t>
  </si>
  <si>
    <t>4184825</t>
  </si>
  <si>
    <t>Rent Billed to Utility Affiliates</t>
  </si>
  <si>
    <t>10p</t>
  </si>
  <si>
    <t>4194110</t>
  </si>
  <si>
    <t>Meter Leasing Revenue</t>
  </si>
  <si>
    <t>10q</t>
  </si>
  <si>
    <t>4194115</t>
  </si>
  <si>
    <t>Company Financed Added Facilities</t>
  </si>
  <si>
    <t>10r</t>
  </si>
  <si>
    <t>4194120</t>
  </si>
  <si>
    <t>Company Financed Interconnect Facilities</t>
  </si>
  <si>
    <t>10s</t>
  </si>
  <si>
    <t>4194130</t>
  </si>
  <si>
    <t>SCE Financed Added Faclty</t>
  </si>
  <si>
    <t>10t</t>
  </si>
  <si>
    <t>4194135</t>
  </si>
  <si>
    <t>Interconnect Facility Finance Charge</t>
  </si>
  <si>
    <t>10u</t>
  </si>
  <si>
    <t>4204515</t>
  </si>
  <si>
    <t>Operating Land &amp; Facilities Rent Revenue</t>
  </si>
  <si>
    <t>10v</t>
  </si>
  <si>
    <t>4867020</t>
  </si>
  <si>
    <t>Nonoperating Misc Land &amp; Facilities Rent</t>
  </si>
  <si>
    <t>10w</t>
  </si>
  <si>
    <t>10x</t>
  </si>
  <si>
    <t>Op Misc Land/Fac Rev</t>
  </si>
  <si>
    <t>10y</t>
  </si>
  <si>
    <t>T-Unauth Pole Rent</t>
  </si>
  <si>
    <t>10z</t>
  </si>
  <si>
    <t>T-P&amp;E Fees</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</si>
  <si>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</si>
  <si>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</si>
  <si>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</si>
  <si>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</si>
  <si>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</si>
  <si>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</si>
  <si>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</si>
  <si>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</si>
  <si>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</si>
  <si>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</si>
  <si>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</si>
  <si>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</si>
  <si>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</si>
  <si>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</si>
  <si>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</si>
  <si>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</si>
  <si>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</si>
  <si>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</si>
  <si>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</si>
  <si>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</si>
  <si>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</si>
  <si>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</si>
  <si>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</si>
  <si>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</si>
  <si>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</si>
  <si>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</si>
  <si>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</si>
  <si>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</si>
  <si>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</si>
  <si>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</si>
  <si>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</si>
  <si>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</si>
  <si>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</si>
  <si>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</si>
  <si>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</si>
  <si>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</si>
  <si>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</si>
  <si>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</si>
  <si>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</si>
  <si>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</si>
  <si>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</si>
  <si>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</si>
  <si>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</si>
  <si>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</si>
  <si>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</si>
  <si>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</si>
  <si>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</si>
  <si>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</si>
  <si>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</si>
  <si>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</si>
  <si>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</si>
  <si>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</si>
  <si>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</si>
  <si>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</si>
  <si>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</si>
  <si>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</si>
  <si>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</si>
  <si>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</si>
  <si>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</si>
  <si>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</si>
  <si>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</si>
  <si>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</si>
  <si>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</si>
  <si>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</si>
  <si>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</si>
  <si>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</si>
  <si>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</si>
  <si>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</si>
  <si>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</si>
  <si>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</si>
  <si>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</si>
  <si>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</si>
  <si>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</si>
  <si>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</si>
  <si>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</si>
  <si>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</si>
  <si>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</si>
  <si>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</si>
  <si>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</si>
  <si>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</si>
  <si>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</si>
  <si>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</si>
  <si>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</si>
  <si>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</si>
  <si>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</si>
  <si>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</si>
  <si>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</si>
  <si>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</si>
  <si>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</si>
  <si>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</si>
  <si>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</si>
  <si>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</si>
  <si>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</si>
  <si>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</si>
  <si>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</si>
  <si>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</si>
  <si>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</si>
  <si>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Revenue From Decommission Trust Fund</t>
  </si>
  <si>
    <t>12hh</t>
  </si>
  <si>
    <t>4186914</t>
  </si>
  <si>
    <t>Revenue From Decommissioning Trust FAS115</t>
  </si>
  <si>
    <t>12ii</t>
  </si>
  <si>
    <t>4186916</t>
  </si>
  <si>
    <t>Offset to Revenue from NDT Earnings/Realized</t>
  </si>
  <si>
    <t>12jj</t>
  </si>
  <si>
    <t>4186918</t>
  </si>
  <si>
    <t>Offset to Revenue from FAS 115 FMV</t>
  </si>
  <si>
    <t>12kk</t>
  </si>
  <si>
    <t>4186920</t>
  </si>
  <si>
    <t>Revenue From Decommissioning Trust FAS115-1</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</si>
  <si>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</si>
  <si>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</si>
  <si>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</si>
  <si>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</si>
  <si>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</si>
  <si>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</si>
  <si>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</si>
  <si>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</si>
  <si>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</si>
  <si>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</si>
  <si>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</si>
  <si>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</si>
  <si>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</si>
  <si>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</si>
  <si>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</si>
  <si>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</si>
  <si>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</si>
  <si>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</si>
  <si>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</si>
  <si>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</si>
  <si>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</si>
  <si>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</si>
  <si>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</si>
  <si>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</si>
  <si>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</si>
  <si>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</si>
  <si>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</si>
  <si>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</si>
  <si>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</si>
  <si>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</si>
  <si>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</si>
  <si>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</si>
  <si>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</si>
  <si>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</si>
  <si>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</si>
  <si>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</si>
  <si>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</si>
  <si>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</si>
  <si>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</si>
  <si>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</si>
  <si>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</si>
  <si>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</si>
  <si>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</si>
  <si>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</si>
  <si>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</si>
  <si>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12aaa</t>
  </si>
  <si>
    <t>4206515</t>
  </si>
  <si>
    <t>Operating Miscellaneous Land &amp; Facilities</t>
  </si>
  <si>
    <t>12bbb</t>
  </si>
  <si>
    <t>12ccc</t>
  </si>
  <si>
    <t>Grant Amortization</t>
  </si>
  <si>
    <t>12ddd</t>
  </si>
  <si>
    <t>GHG Allowance Revenue</t>
  </si>
  <si>
    <t>456 Total</t>
  </si>
  <si>
    <t>FF-1 Total for Acct 456 - Other electric Revenues, p300.21b
(Must Equal Line 13)</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</si>
  <si>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</si>
  <si>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</si>
  <si>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</si>
  <si>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</si>
  <si>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</si>
  <si>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</si>
  <si>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</si>
  <si>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</si>
  <si>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</si>
  <si>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</si>
  <si>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</si>
  <si>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</si>
  <si>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</si>
  <si>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</si>
  <si>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</si>
  <si>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</si>
  <si>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</si>
  <si>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</si>
  <si>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</si>
  <si>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</si>
  <si>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</si>
  <si>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</si>
  <si>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</si>
  <si>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</si>
  <si>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</si>
  <si>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</si>
  <si>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</si>
  <si>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</si>
  <si>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</si>
  <si>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</si>
  <si>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</si>
  <si>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</si>
  <si>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</si>
  <si>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</si>
  <si>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</si>
  <si>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</si>
  <si>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</si>
  <si>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</si>
  <si>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</si>
  <si>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</si>
  <si>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</si>
  <si>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</si>
  <si>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</si>
  <si>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</si>
  <si>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</si>
  <si>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</si>
  <si>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</si>
  <si>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</si>
  <si>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</si>
  <si>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</si>
  <si>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</si>
  <si>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</si>
  <si>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</si>
  <si>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</si>
  <si>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</si>
  <si>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</si>
  <si>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</si>
  <si>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FF-1 Total for Account 456.1 - Revenues from Trans. Of Electricity of Others, p300.22b (Must Equal Line 16)</t>
  </si>
  <si>
    <t>18a</t>
  </si>
  <si>
    <t>457.1 Total</t>
  </si>
  <si>
    <t>FF-1 Total for Account 457.1 - Regional Control Service Revenues, p300.23b (Must Equal Line 19)</t>
  </si>
  <si>
    <t>21a</t>
  </si>
  <si>
    <t>457.2 Total</t>
  </si>
  <si>
    <t>FF-1 Total for Account 457.2- Miscellaneous Revenues, p300.24b 
(Must Equal Line 22)</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</si>
  <si>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</si>
  <si>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</si>
  <si>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</si>
  <si>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</si>
  <si>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</si>
  <si>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</si>
  <si>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</si>
  <si>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</si>
  <si>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</si>
  <si>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</si>
  <si>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</si>
  <si>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</si>
  <si>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</si>
  <si>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</si>
  <si>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ECS - Infrastructure Leasing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</si>
  <si>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</si>
  <si>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</si>
  <si>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</si>
  <si>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</si>
  <si>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</si>
  <si>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</si>
  <si>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</si>
  <si>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</si>
  <si>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</si>
  <si>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</si>
  <si>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</si>
  <si>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</si>
  <si>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</si>
  <si>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</si>
  <si>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</si>
  <si>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</si>
  <si>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</si>
  <si>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</si>
  <si>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FF-1 Total for Account 417 - Revenues From Nonutility Operations  p117.33c (Must Equal Line 25 + 26)</t>
  </si>
  <si>
    <t>Subsidiaries</t>
  </si>
  <si>
    <t>28a</t>
  </si>
  <si>
    <t>ESI (Gross Revenues - Active)</t>
  </si>
  <si>
    <t>2,9</t>
  </si>
  <si>
    <t>28b</t>
  </si>
  <si>
    <t>ESI (Gross Revenues - Passive)</t>
  </si>
  <si>
    <t>28c</t>
  </si>
  <si>
    <t xml:space="preserve">Southern States Realty </t>
  </si>
  <si>
    <t>2, 15</t>
  </si>
  <si>
    <t>28d</t>
  </si>
  <si>
    <t>Mono Power Company</t>
  </si>
  <si>
    <t>28e</t>
  </si>
  <si>
    <t>SCE Capital Company</t>
  </si>
  <si>
    <t>28f</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</si>
  <si>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</si>
  <si>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</si>
  <si>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</si>
  <si>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</si>
  <si>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</si>
  <si>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</si>
  <si>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</si>
  <si>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</si>
  <si>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</si>
  <si>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</si>
  <si>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</si>
  <si>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</si>
  <si>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</si>
  <si>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</si>
  <si>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</si>
  <si>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</si>
  <si>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</si>
  <si>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</si>
  <si>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</si>
  <si>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</si>
  <si>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</si>
  <si>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</si>
  <si>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</si>
  <si>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</si>
  <si>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</si>
  <si>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</si>
  <si>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</si>
  <si>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</si>
  <si>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</si>
  <si>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</si>
  <si>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</si>
  <si>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</si>
  <si>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</si>
  <si>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</si>
  <si>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</si>
  <si>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</si>
  <si>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</si>
  <si>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</si>
  <si>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</si>
  <si>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12-11-051</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</si>
  <si>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</si>
  <si>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</si>
  <si>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</si>
  <si>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</si>
  <si>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</si>
  <si>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</si>
  <si>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</si>
  <si>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</si>
  <si>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</si>
  <si>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</si>
  <si>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</si>
  <si>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</si>
  <si>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</si>
  <si>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</si>
  <si>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</si>
  <si>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</si>
  <si>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</si>
  <si>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</si>
  <si>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</si>
  <si>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</si>
  <si>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</si>
  <si>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</si>
  <si>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</si>
  <si>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Revised TO9 True Up TRR in TO2018 Filing</t>
  </si>
  <si>
    <t>Revised TO9 True Up TRR in TO2019 Draft Posting</t>
  </si>
  <si>
    <t>TO2018 Filing - WP Schedule 3 - One Time Adj True Up Adj, Page 28, Line 45.</t>
  </si>
  <si>
    <t>(1) 2012 ISO Facilities Charge Adjustment</t>
  </si>
  <si>
    <t>(1) 2013 ISO Facilities Charge Adjustment</t>
  </si>
  <si>
    <t>4o</t>
  </si>
  <si>
    <t>Conn-Charge - Residential</t>
  </si>
  <si>
    <t>4p</t>
  </si>
  <si>
    <t>Conn-Charge - Non-Residential</t>
  </si>
  <si>
    <t>4q</t>
  </si>
  <si>
    <t>Conn-Charge - At Pole</t>
  </si>
  <si>
    <t xml:space="preserve">(11,249,829)
</t>
  </si>
  <si>
    <t>(1) 2014 ISO Facilities Charge Adjustment</t>
  </si>
  <si>
    <t>Revised TO10 True Up TRR in TO2018 Filing</t>
  </si>
  <si>
    <t>Revised TO10 True Up TRR in TO2019 Draft Posting</t>
  </si>
  <si>
    <t>12eee</t>
  </si>
  <si>
    <t>3rd Party Svs-Outside SCE AES Huntington Beach</t>
  </si>
  <si>
    <t>12fff</t>
  </si>
  <si>
    <t>Advanced Technology 3rd Party Services</t>
  </si>
  <si>
    <t xml:space="preserve">One Time Adjustment for Revised 2016 True Up TRR </t>
  </si>
  <si>
    <t>TO12 TUTRR</t>
  </si>
  <si>
    <t>Jan 1, 2016</t>
  </si>
  <si>
    <t>Dec 31, 2016</t>
  </si>
  <si>
    <t>6-PlantInService, Line 18</t>
  </si>
  <si>
    <t>6-PlantInService, Line 24</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</si>
  <si>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</si>
  <si>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</si>
  <si>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</si>
  <si>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</si>
  <si>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</si>
  <si>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</si>
  <si>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</si>
  <si>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</si>
  <si>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</si>
  <si>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</si>
  <si>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</si>
  <si>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</si>
  <si>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</si>
  <si>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</si>
  <si>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</si>
  <si>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</si>
  <si>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</si>
  <si>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</si>
  <si>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</si>
  <si>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</si>
  <si>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</si>
  <si>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</si>
  <si>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</si>
  <si>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</si>
  <si>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</si>
  <si>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</si>
  <si>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22-NUCs, Line 9</t>
  </si>
  <si>
    <t>34-UnfundedReserves, Line 7</t>
  </si>
  <si>
    <t>23-RegAssets, Line 15</t>
  </si>
  <si>
    <t>35-PBOPs L 14</t>
  </si>
  <si>
    <t>15-IncentiveAdder L 20</t>
  </si>
  <si>
    <t>28-FFU, L 5</t>
  </si>
  <si>
    <t>TO2018 Filing - WP Schedule 3 - One Time Adj True Up Adj, Page 7, Line 45.</t>
  </si>
  <si>
    <t>TO2018 Filing - WP Schedule 3 - One Time Adj True Up Adj, Page 63, Line 45.</t>
  </si>
  <si>
    <t>2017</t>
  </si>
  <si>
    <t>Total One-Time Adjustment for 2017:</t>
  </si>
  <si>
    <t>*  The TO2020 One-Time Adjustment is equal to the TO8/TO9/TO10/TO11/TO2018 TUTRR Change, plus interest through December 31, 2017.</t>
  </si>
  <si>
    <t>Total One-Time Adjustment for 2012 Reflected in December TO2020 Filing</t>
  </si>
  <si>
    <t>Total One-Time Adjustment for 2013 Reflected in December TO2020 Filing</t>
  </si>
  <si>
    <t>Total One-Time Adjustment for 2014 Reflected in December TO2020 Filing</t>
  </si>
  <si>
    <t>TO2020</t>
  </si>
  <si>
    <t>TO8/TO9/TO10/TO12/TO13</t>
  </si>
  <si>
    <t>Changes to 2016</t>
  </si>
  <si>
    <t>In preparing the TO2020 Draft Annual Update, SCE discovered that it had outside counsel expenses related to employment litigation or arbitration matters that were subsequently resolved by the Company which were not excluded.  The amount of expenses were overstated by $19,168, which should have been excluded in 2016.  As such, SCE is including an additional TO12 A&amp;G exclusion of $19,168 to remove these additional expenses.  SCE has incorporated this correction that changes the TO12 A&amp;G exclusions and the impact of this change is a decrease in the 2016 True Up TRR of $1,183.</t>
  </si>
  <si>
    <t>Changes to 2017</t>
  </si>
  <si>
    <t>In preparing the TO2020 Draft Annual Update, SCE discovered that it had outside counsel expenses related to employment litigation or arbitration matters that were subsequently resolved by the Company which were not excluded.  The amount of expenses were overstated by $57,476, which should have been excluded in 2017.  As such, SCE is including an additional TO13 A&amp;G exclusion of $57,476 to remove these additional expenses.  SCE has incorporated this correction that changes the TO13 A&amp;G exclusions and the impact of this change is a decrease in the 2017 True Up TRR of $3,295.</t>
  </si>
  <si>
    <t>2.</t>
  </si>
  <si>
    <t>In preparing the TO2020 Draft Annual Update, SCE discovered that the November and December balances for Mesa were incorrect.  SCE has incorporated this correction that changes the TO13 Schedule 10-CWIP and the impact of this change is a decrease in the 2016 True Up TRR of $2,949.</t>
  </si>
  <si>
    <t xml:space="preserve">G = E + F </t>
  </si>
  <si>
    <t>Total One-Time Adjustment for 2016 Reflected in December TO2020 Filing</t>
  </si>
  <si>
    <t>Total One-Time Adjustment for 2017 Reflected in December TO2020 Filing</t>
  </si>
  <si>
    <t>Total One-Time Adjustment for 2012 through 2017 Reflected in December TO2020 Annual Filing</t>
  </si>
  <si>
    <t>Revised TO12 True Up TRR in TO2019 Filing</t>
  </si>
  <si>
    <t>TO2019 Annual Filing - WP Schedule 3 - One Time Adj Prior Period, Page 17, Line 45.</t>
  </si>
  <si>
    <t>Revised TO12 True Up TRR in TO2020 Draft Posting</t>
  </si>
  <si>
    <t>(1) 2016 A&amp;G exclusion for outside counsel</t>
  </si>
  <si>
    <t xml:space="preserve">One Time Adjustment for Revised 2017 True Up TRR </t>
  </si>
  <si>
    <t xml:space="preserve">Filed TO13 True Up TRR </t>
  </si>
  <si>
    <t>TO2019 Annual Update Filing - Attachment 5 - Schedule 4 , Page 14, Line 45.</t>
  </si>
  <si>
    <t>TO13 Revised True Up TRR in TO2020 Draft Posting</t>
  </si>
  <si>
    <t>(1) 2017 A&amp;G exclusion for outside counsel</t>
  </si>
  <si>
    <t>(2) 2017 Mesa CWIP Balance Adjustment</t>
  </si>
  <si>
    <t>TO13 TUTRR</t>
  </si>
  <si>
    <t>Jan 1, 2017</t>
  </si>
  <si>
    <t>Dec 31, 2017</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</si>
  <si>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</si>
  <si>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</si>
  <si>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</si>
  <si>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</si>
  <si>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</si>
  <si>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</si>
  <si>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</si>
  <si>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</si>
  <si>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</si>
  <si>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South of</t>
  </si>
  <si>
    <t>West of</t>
  </si>
  <si>
    <t>Total CWIP</t>
  </si>
  <si>
    <t>Tehachapi</t>
  </si>
  <si>
    <t>Colorado River</t>
  </si>
  <si>
    <t>Kramer</t>
  </si>
  <si>
    <t>Devers</t>
  </si>
  <si>
    <t>Red Bluff</t>
  </si>
  <si>
    <t xml:space="preserve">June </t>
  </si>
  <si>
    <t xml:space="preserve">October </t>
  </si>
  <si>
    <t>13 Month Averages:</t>
  </si>
  <si>
    <t>Col 7</t>
  </si>
  <si>
    <t>Col 8</t>
  </si>
  <si>
    <t>Col 9</t>
  </si>
  <si>
    <t>Col 10</t>
  </si>
  <si>
    <t>Col 11</t>
  </si>
  <si>
    <t>Col 12</t>
  </si>
  <si>
    <t xml:space="preserve">Colorado </t>
  </si>
  <si>
    <t>Whirlwind</t>
  </si>
  <si>
    <t>River</t>
  </si>
  <si>
    <t>Substation</t>
  </si>
  <si>
    <t>ELM</t>
  </si>
  <si>
    <t>Expansion</t>
  </si>
  <si>
    <t>Mesa</t>
  </si>
  <si>
    <t>Alberhill</t>
  </si>
  <si>
    <t>Series Caps</t>
  </si>
  <si>
    <t>---</t>
  </si>
  <si>
    <t>2) Total Forecast Period CWIP Expenditures (see Note 1)</t>
  </si>
  <si>
    <t>See Note 2</t>
  </si>
  <si>
    <t>Unloaded</t>
  </si>
  <si>
    <t>Forecast</t>
  </si>
  <si>
    <t>Corporate</t>
  </si>
  <si>
    <t xml:space="preserve">Total </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</si>
  <si>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</si>
  <si>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</si>
  <si>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</si>
  <si>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</si>
  <si>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</si>
  <si>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</si>
  <si>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</si>
  <si>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</si>
  <si>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</si>
  <si>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</si>
  <si>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</si>
  <si>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</si>
  <si>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</si>
  <si>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</si>
  <si>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</si>
  <si>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</si>
  <si>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</si>
  <si>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</si>
  <si>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</si>
  <si>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</si>
  <si>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</si>
  <si>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</si>
  <si>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South of Kramer</t>
  </si>
  <si>
    <t>3d) Project:</t>
  </si>
  <si>
    <t>West of Devers</t>
  </si>
  <si>
    <t>3e) Project:</t>
  </si>
  <si>
    <t>3f) Project:</t>
  </si>
  <si>
    <t>Whirlwind Substation Expansion</t>
  </si>
  <si>
    <t>Unload</t>
  </si>
  <si>
    <t>3g) Project:</t>
  </si>
  <si>
    <t>Colorado River Substation Expansion</t>
  </si>
  <si>
    <t>3h) Project:</t>
  </si>
  <si>
    <t>3i) Project:</t>
  </si>
  <si>
    <t>3j) Project:</t>
  </si>
  <si>
    <t>ELM Series Capacitors</t>
  </si>
  <si>
    <t>3k)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</si>
  <si>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</si>
  <si>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</si>
  <si>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</si>
  <si>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</si>
  <si>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</si>
  <si>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</si>
  <si>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ER16-2433</t>
  </si>
  <si>
    <t>One Time Adjustment for Revised 2017 True Up TRR</t>
  </si>
  <si>
    <t>H = A + B + C + D + G</t>
  </si>
  <si>
    <t>Revised TO8 True Up TRR in TO2020 Annual Filing</t>
  </si>
  <si>
    <r>
      <t>TO2020 Filing - WP Schedule 3 - One Time Adj True Up Adj, Page</t>
    </r>
    <r>
      <rPr>
        <sz val="11"/>
        <rFont val="Calibri"/>
        <family val="2"/>
        <scheme val="minor"/>
      </rPr>
      <t xml:space="preserve"> 6</t>
    </r>
    <r>
      <rPr>
        <sz val="11"/>
        <color theme="1"/>
        <rFont val="Calibri"/>
        <family val="2"/>
        <scheme val="minor"/>
      </rPr>
      <t>, Line 45.</t>
    </r>
  </si>
  <si>
    <r>
      <t>TO2020 Annual Update - WP Schedule 3 - One Time Adj True Up Adj, Page</t>
    </r>
    <r>
      <rPr>
        <sz val="11"/>
        <rFont val="Calibri"/>
        <family val="2"/>
        <scheme val="minor"/>
      </rPr>
      <t xml:space="preserve"> 14</t>
    </r>
    <r>
      <rPr>
        <sz val="11"/>
        <color theme="1"/>
        <rFont val="Calibri"/>
        <family val="2"/>
        <scheme val="minor"/>
      </rPr>
      <t>, Line 45.</t>
    </r>
  </si>
  <si>
    <t>TO2020 Annual Update - WP Schedule 3 - One Time Adj True Up Adj, Page 22, Line 45.</t>
  </si>
  <si>
    <t>In preparing the TO2019 Draft Annual Update, SCE discovered that the ISO amounts related to Interconnection Facilities Charges were incorrect.  SCE has incorporated this correction that changes the TO11 Schedule 21-Revenue Credits and the impact of this change is a decrease in the 2012 True Up TRR of $8,629.</t>
  </si>
  <si>
    <r>
      <t>TO2020 Annual Update - WP Schedule 3 - One Time Adj Prior Period, Page</t>
    </r>
    <r>
      <rPr>
        <sz val="11"/>
        <rFont val="Calibri"/>
        <family val="2"/>
        <scheme val="minor"/>
      </rPr>
      <t xml:space="preserve"> 30</t>
    </r>
    <r>
      <rPr>
        <sz val="11"/>
        <color theme="1"/>
        <rFont val="Calibri"/>
        <family val="2"/>
        <scheme val="minor"/>
      </rPr>
      <t>, Line 45.</t>
    </r>
  </si>
  <si>
    <r>
      <t>TO2020 Annual Update - WP Schedule 3 - One Time Adj Prior Period, Page</t>
    </r>
    <r>
      <rPr>
        <sz val="11"/>
        <rFont val="Calibri"/>
        <family val="2"/>
        <scheme val="minor"/>
      </rPr>
      <t xml:space="preserve"> 37</t>
    </r>
    <r>
      <rPr>
        <sz val="11"/>
        <color theme="1"/>
        <rFont val="Calibri"/>
        <family val="2"/>
        <scheme val="minor"/>
      </rPr>
      <t>, Line 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</si>
</sst>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_);\(&quot;$&quot;#,##0\)"/>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_-* #,##0\ _D_M_-;\-* #,##0\ _D_M_-;_-* &quot;-&quot;??\ _D_M_-;_-@_-"/>
  </numFmts>
  <fonts count="7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0"/>
      <color rgb="FFFF0000"/>
      <name val="Arial"/>
      <family val="2"/>
    </font>
    <font>
      <sz val="8"/>
      <name val="Arial"/>
      <family val="2"/>
    </font>
    <font>
      <u/>
      <sz val="10"/>
      <color rgb="FFFF0000"/>
      <name val="Arial"/>
      <family val="2"/>
    </font>
  </fonts>
  <fills count="42">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3" tint="0.59999389629810485"/>
        <bgColor indexed="64"/>
      </patternFill>
    </fill>
    <fill>
      <patternFill patternType="solid">
        <fgColor theme="1"/>
        <bgColor indexed="64"/>
      </patternFill>
    </fill>
  </fills>
  <borders count="34">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s>
  <cellStyleXfs count="227">
    <xf numFmtId="0" fontId="0" fillId="0" borderId="0"/>
    <xf numFmtId="0" fontId="33" fillId="8" borderId="0" applyNumberFormat="0" applyBorder="0" applyAlignment="0" applyProtection="0"/>
    <xf numFmtId="0" fontId="33" fillId="9" borderId="0" applyNumberFormat="0" applyBorder="0" applyAlignment="0" applyProtection="0"/>
    <xf numFmtId="0" fontId="34" fillId="10"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4" fillId="14"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4" fillId="1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4" fillId="9" borderId="0" applyNumberFormat="0" applyBorder="0" applyAlignment="0" applyProtection="0"/>
    <xf numFmtId="0" fontId="33" fillId="20" borderId="0" applyNumberFormat="0" applyBorder="0" applyAlignment="0" applyProtection="0"/>
    <xf numFmtId="0" fontId="33" fillId="13" borderId="0" applyNumberFormat="0" applyBorder="0" applyAlignment="0" applyProtection="0"/>
    <xf numFmtId="0" fontId="34" fillId="21" borderId="0" applyNumberFormat="0" applyBorder="0" applyAlignment="0" applyProtection="0"/>
    <xf numFmtId="43" fontId="31"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0" fontId="35"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9" fontId="39" fillId="0" borderId="0" applyFont="0" applyFill="0" applyBorder="0" applyAlignment="0" applyProtection="0"/>
    <xf numFmtId="9" fontId="31" fillId="0" borderId="0" applyFont="0" applyFill="0" applyBorder="0" applyAlignment="0" applyProtection="0"/>
    <xf numFmtId="4" fontId="38" fillId="25" borderId="1" applyNumberFormat="0" applyProtection="0">
      <alignment vertical="center"/>
    </xf>
    <xf numFmtId="4" fontId="40" fillId="25" borderId="1" applyNumberFormat="0" applyProtection="0">
      <alignment vertical="center"/>
    </xf>
    <xf numFmtId="4" fontId="38" fillId="25" borderId="1" applyNumberFormat="0" applyProtection="0">
      <alignment horizontal="left" vertical="center" indent="1"/>
    </xf>
    <xf numFmtId="0" fontId="38" fillId="25" borderId="1" applyNumberFormat="0" applyProtection="0">
      <alignment horizontal="left" vertical="top" indent="1"/>
    </xf>
    <xf numFmtId="4" fontId="38" fillId="27" borderId="0" applyNumberFormat="0" applyProtection="0">
      <alignment horizontal="left" vertical="center" indent="1"/>
    </xf>
    <xf numFmtId="4" fontId="36" fillId="2" borderId="1" applyNumberFormat="0" applyProtection="0">
      <alignment horizontal="right" vertical="center"/>
    </xf>
    <xf numFmtId="4" fontId="36" fillId="4" borderId="1" applyNumberFormat="0" applyProtection="0">
      <alignment horizontal="right" vertical="center"/>
    </xf>
    <xf numFmtId="4" fontId="36" fillId="11" borderId="1" applyNumberFormat="0" applyProtection="0">
      <alignment horizontal="right" vertical="center"/>
    </xf>
    <xf numFmtId="4" fontId="36" fillId="6" borderId="1" applyNumberFormat="0" applyProtection="0">
      <alignment horizontal="right" vertical="center"/>
    </xf>
    <xf numFmtId="4" fontId="36" fillId="7" borderId="1" applyNumberFormat="0" applyProtection="0">
      <alignment horizontal="right" vertical="center"/>
    </xf>
    <xf numFmtId="4" fontId="36" fillId="19" borderId="1" applyNumberFormat="0" applyProtection="0">
      <alignment horizontal="right" vertical="center"/>
    </xf>
    <xf numFmtId="4" fontId="36" fillId="15" borderId="1" applyNumberFormat="0" applyProtection="0">
      <alignment horizontal="right" vertical="center"/>
    </xf>
    <xf numFmtId="4" fontId="36" fillId="28" borderId="1" applyNumberFormat="0" applyProtection="0">
      <alignment horizontal="right" vertical="center"/>
    </xf>
    <xf numFmtId="4" fontId="36" fillId="5" borderId="1" applyNumberFormat="0" applyProtection="0">
      <alignment horizontal="right" vertical="center"/>
    </xf>
    <xf numFmtId="4" fontId="38" fillId="29" borderId="2" applyNumberFormat="0" applyProtection="0">
      <alignment horizontal="left" vertical="center" indent="1"/>
    </xf>
    <xf numFmtId="4" fontId="36" fillId="30" borderId="0" applyNumberFormat="0" applyProtection="0">
      <alignment horizontal="left" vertical="center" indent="1"/>
    </xf>
    <xf numFmtId="4" fontId="41" fillId="31" borderId="0" applyNumberFormat="0" applyProtection="0">
      <alignment horizontal="left" vertical="center" indent="1"/>
    </xf>
    <xf numFmtId="4" fontId="36" fillId="27" borderId="1" applyNumberFormat="0" applyProtection="0">
      <alignment horizontal="right" vertical="center"/>
    </xf>
    <xf numFmtId="4" fontId="36" fillId="30" borderId="0" applyNumberFormat="0" applyProtection="0">
      <alignment horizontal="left" vertical="center" indent="1"/>
    </xf>
    <xf numFmtId="4" fontId="36" fillId="27" borderId="0" applyNumberFormat="0" applyProtection="0">
      <alignment horizontal="left" vertical="center" indent="1"/>
    </xf>
    <xf numFmtId="0" fontId="31" fillId="31" borderId="1" applyNumberFormat="0" applyProtection="0">
      <alignment horizontal="left" vertical="center" indent="1"/>
    </xf>
    <xf numFmtId="0" fontId="31" fillId="31" borderId="1" applyNumberFormat="0" applyProtection="0">
      <alignment horizontal="left" vertical="top" indent="1"/>
    </xf>
    <xf numFmtId="0" fontId="31" fillId="27" borderId="1" applyNumberFormat="0" applyProtection="0">
      <alignment horizontal="left" vertical="center" indent="1"/>
    </xf>
    <xf numFmtId="0" fontId="31" fillId="27" borderId="1" applyNumberFormat="0" applyProtection="0">
      <alignment horizontal="left" vertical="top" indent="1"/>
    </xf>
    <xf numFmtId="0" fontId="31" fillId="3" borderId="1" applyNumberFormat="0" applyProtection="0">
      <alignment horizontal="left" vertical="center" indent="1"/>
    </xf>
    <xf numFmtId="0" fontId="31" fillId="3" borderId="1" applyNumberFormat="0" applyProtection="0">
      <alignment horizontal="left" vertical="top" indent="1"/>
    </xf>
    <xf numFmtId="0" fontId="31" fillId="30" borderId="1" applyNumberFormat="0" applyProtection="0">
      <alignment horizontal="left" vertical="center" indent="1"/>
    </xf>
    <xf numFmtId="0" fontId="31" fillId="30" borderId="1" applyNumberFormat="0" applyProtection="0">
      <alignment horizontal="left" vertical="top" indent="1"/>
    </xf>
    <xf numFmtId="0" fontId="31" fillId="32" borderId="3" applyNumberFormat="0">
      <protection locked="0"/>
    </xf>
    <xf numFmtId="4" fontId="36" fillId="26" borderId="1" applyNumberFormat="0" applyProtection="0">
      <alignment vertical="center"/>
    </xf>
    <xf numFmtId="4" fontId="42" fillId="26" borderId="1" applyNumberFormat="0" applyProtection="0">
      <alignment vertical="center"/>
    </xf>
    <xf numFmtId="4" fontId="36" fillId="26" borderId="1" applyNumberFormat="0" applyProtection="0">
      <alignment horizontal="left" vertical="center" indent="1"/>
    </xf>
    <xf numFmtId="0" fontId="36" fillId="26" borderId="1" applyNumberFormat="0" applyProtection="0">
      <alignment horizontal="left" vertical="top" indent="1"/>
    </xf>
    <xf numFmtId="4" fontId="36" fillId="30" borderId="1" applyNumberFormat="0" applyProtection="0">
      <alignment horizontal="right" vertical="center"/>
    </xf>
    <xf numFmtId="4" fontId="42" fillId="30" borderId="1" applyNumberFormat="0" applyProtection="0">
      <alignment horizontal="right" vertical="center"/>
    </xf>
    <xf numFmtId="4" fontId="36" fillId="27" borderId="1" applyNumberFormat="0" applyProtection="0">
      <alignment horizontal="left" vertical="center" indent="1"/>
    </xf>
    <xf numFmtId="0" fontId="36" fillId="27" borderId="1" applyNumberFormat="0" applyProtection="0">
      <alignment horizontal="left" vertical="top" indent="1"/>
    </xf>
    <xf numFmtId="4" fontId="43" fillId="33" borderId="0" applyNumberFormat="0" applyProtection="0">
      <alignment horizontal="left" vertical="center" indent="1"/>
    </xf>
    <xf numFmtId="4" fontId="37" fillId="30" borderId="1" applyNumberFormat="0" applyProtection="0">
      <alignment horizontal="right" vertical="center"/>
    </xf>
    <xf numFmtId="0" fontId="44" fillId="0" borderId="0" applyNumberFormat="0" applyFill="0" applyBorder="0" applyAlignment="0" applyProtection="0"/>
    <xf numFmtId="0" fontId="29" fillId="0" borderId="0"/>
    <xf numFmtId="0" fontId="28" fillId="0" borderId="0"/>
    <xf numFmtId="0" fontId="28" fillId="0" borderId="0"/>
    <xf numFmtId="165" fontId="29" fillId="0" borderId="0" applyFont="0" applyFill="0" applyBorder="0" applyAlignment="0" applyProtection="0"/>
    <xf numFmtId="0" fontId="29" fillId="31" borderId="1" applyNumberFormat="0" applyProtection="0">
      <alignment horizontal="left" vertical="center" indent="1"/>
    </xf>
    <xf numFmtId="0" fontId="29" fillId="31" borderId="1" applyNumberFormat="0" applyProtection="0">
      <alignment horizontal="left" vertical="top" indent="1"/>
    </xf>
    <xf numFmtId="0" fontId="29" fillId="27" borderId="1" applyNumberFormat="0" applyProtection="0">
      <alignment horizontal="left" vertical="center" indent="1"/>
    </xf>
    <xf numFmtId="0" fontId="29" fillId="27" borderId="1" applyNumberFormat="0" applyProtection="0">
      <alignment horizontal="left" vertical="top" indent="1"/>
    </xf>
    <xf numFmtId="0" fontId="29" fillId="3" borderId="1" applyNumberFormat="0" applyProtection="0">
      <alignment horizontal="left" vertical="center" indent="1"/>
    </xf>
    <xf numFmtId="0" fontId="29" fillId="3" borderId="1" applyNumberFormat="0" applyProtection="0">
      <alignment horizontal="left" vertical="top" indent="1"/>
    </xf>
    <xf numFmtId="0" fontId="29" fillId="30" borderId="1" applyNumberFormat="0" applyProtection="0">
      <alignment horizontal="left" vertical="center" indent="1"/>
    </xf>
    <xf numFmtId="0" fontId="29" fillId="30" borderId="1" applyNumberFormat="0" applyProtection="0">
      <alignment horizontal="left" vertical="top" indent="1"/>
    </xf>
    <xf numFmtId="0" fontId="29" fillId="32" borderId="3" applyNumberFormat="0">
      <protection locked="0"/>
    </xf>
    <xf numFmtId="0" fontId="49" fillId="0" borderId="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5" fontId="29" fillId="0" borderId="0" applyFont="0" applyFill="0" applyBorder="0" applyAlignment="0" applyProtection="0"/>
    <xf numFmtId="44" fontId="29" fillId="0" borderId="0" applyFont="0" applyFill="0" applyBorder="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9" fontId="29" fillId="0" borderId="0" applyFont="0" applyFill="0" applyBorder="0" applyAlignment="0" applyProtection="0"/>
    <xf numFmtId="9" fontId="29" fillId="0" borderId="0" applyFont="0" applyFill="0" applyBorder="0" applyAlignment="0" applyProtection="0"/>
    <xf numFmtId="0" fontId="29" fillId="0" borderId="0"/>
    <xf numFmtId="0" fontId="29" fillId="0" borderId="0"/>
    <xf numFmtId="0" fontId="27" fillId="0" borderId="0"/>
    <xf numFmtId="0" fontId="27" fillId="0" borderId="0"/>
    <xf numFmtId="0" fontId="26" fillId="0" borderId="0"/>
    <xf numFmtId="0" fontId="26"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9" fillId="0" borderId="0"/>
    <xf numFmtId="0" fontId="29" fillId="0" borderId="0"/>
    <xf numFmtId="0" fontId="29" fillId="0" borderId="0"/>
    <xf numFmtId="0" fontId="39" fillId="0" borderId="0"/>
    <xf numFmtId="0" fontId="39" fillId="0" borderId="0"/>
    <xf numFmtId="0" fontId="39" fillId="0" borderId="0"/>
    <xf numFmtId="0" fontId="39" fillId="0" borderId="0"/>
    <xf numFmtId="0" fontId="39" fillId="0" borderId="0"/>
    <xf numFmtId="43" fontId="46" fillId="0" borderId="0" applyFont="0" applyFill="0" applyBorder="0" applyAlignment="0" applyProtection="0"/>
    <xf numFmtId="9" fontId="29" fillId="0" borderId="0" applyFont="0" applyFill="0" applyBorder="0" applyAlignment="0" applyProtection="0"/>
    <xf numFmtId="0" fontId="29" fillId="0" borderId="0"/>
    <xf numFmtId="0" fontId="22" fillId="0" borderId="0"/>
    <xf numFmtId="0" fontId="22" fillId="0" borderId="0"/>
    <xf numFmtId="0" fontId="22" fillId="0" borderId="0"/>
    <xf numFmtId="43" fontId="29" fillId="0" borderId="0" applyFont="0" applyFill="0" applyBorder="0" applyAlignment="0" applyProtection="0"/>
    <xf numFmtId="44" fontId="29" fillId="0" borderId="0" applyFont="0" applyFill="0" applyBorder="0" applyAlignment="0" applyProtection="0"/>
    <xf numFmtId="9" fontId="29" fillId="0" borderId="0" applyFon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9" fontId="21" fillId="0" borderId="0" applyFont="0" applyFill="0" applyBorder="0" applyAlignment="0" applyProtection="0"/>
    <xf numFmtId="0" fontId="20" fillId="0" borderId="0"/>
    <xf numFmtId="43" fontId="20" fillId="0" borderId="0" applyFont="0" applyFill="0" applyBorder="0" applyAlignment="0" applyProtection="0"/>
    <xf numFmtId="9" fontId="20" fillId="0" borderId="0" applyFont="0" applyFill="0" applyBorder="0" applyAlignment="0" applyProtection="0"/>
    <xf numFmtId="4" fontId="38" fillId="29" borderId="9" applyNumberFormat="0" applyProtection="0">
      <alignment horizontal="left" vertical="center" indent="1"/>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9" fontId="19" fillId="0" borderId="0" applyFont="0" applyFill="0" applyBorder="0" applyAlignment="0" applyProtection="0"/>
    <xf numFmtId="0" fontId="19" fillId="0" borderId="0"/>
    <xf numFmtId="43" fontId="19" fillId="0" borderId="0" applyFont="0" applyFill="0" applyBorder="0" applyAlignment="0" applyProtection="0"/>
    <xf numFmtId="9" fontId="19" fillId="0" borderId="0" applyFont="0" applyFill="0" applyBorder="0" applyAlignment="0" applyProtection="0"/>
    <xf numFmtId="0" fontId="17" fillId="0" borderId="0"/>
    <xf numFmtId="0" fontId="17" fillId="0" borderId="0"/>
    <xf numFmtId="0" fontId="50" fillId="0" borderId="0"/>
    <xf numFmtId="43" fontId="29" fillId="0" borderId="0" applyFont="0" applyFill="0" applyBorder="0" applyAlignment="0" applyProtection="0"/>
    <xf numFmtId="43" fontId="53" fillId="0" borderId="0" applyFont="0" applyFill="0" applyBorder="0" applyAlignment="0" applyProtection="0"/>
    <xf numFmtId="0" fontId="16" fillId="0" borderId="0"/>
    <xf numFmtId="43" fontId="16" fillId="0" borderId="0" applyFont="0" applyFill="0" applyBorder="0" applyAlignment="0" applyProtection="0"/>
    <xf numFmtId="0" fontId="16" fillId="0" borderId="0"/>
    <xf numFmtId="0" fontId="16" fillId="0" borderId="0"/>
    <xf numFmtId="44" fontId="62" fillId="0" borderId="0" applyFont="0" applyFill="0" applyBorder="0" applyAlignment="0" applyProtection="0"/>
    <xf numFmtId="0" fontId="13" fillId="0" borderId="0"/>
    <xf numFmtId="9" fontId="13" fillId="0" borderId="0" applyFont="0" applyFill="0" applyBorder="0" applyAlignment="0" applyProtection="0"/>
    <xf numFmtId="43" fontId="13" fillId="0" borderId="0" applyFont="0" applyFill="0" applyBorder="0" applyAlignment="0" applyProtection="0"/>
    <xf numFmtId="44" fontId="29" fillId="0" borderId="0" applyFont="0" applyFill="0" applyBorder="0" applyAlignment="0" applyProtection="0"/>
    <xf numFmtId="0" fontId="9" fillId="0" borderId="0"/>
    <xf numFmtId="0" fontId="9" fillId="0" borderId="0"/>
    <xf numFmtId="0" fontId="6" fillId="0" borderId="0"/>
    <xf numFmtId="43" fontId="6" fillId="0" borderId="0" applyFont="0" applyFill="0" applyBorder="0" applyAlignment="0" applyProtection="0"/>
    <xf numFmtId="0" fontId="3" fillId="0" borderId="0"/>
    <xf numFmtId="43" fontId="3" fillId="0" borderId="0" applyFont="0" applyFill="0" applyBorder="0" applyAlignment="0" applyProtection="0"/>
  </cellStyleXfs>
  <cellXfs count="576">
    <xf numFmtId="0" fontId="0" fillId="0" borderId="0" xfId="0"/>
    <xf numFmtId="0" fontId="20" fillId="0" borderId="0" xfId="157"/>
    <xf numFmtId="0" fontId="45" fillId="35" borderId="4" xfId="157" applyFont="1" applyFill="1" applyBorder="1"/>
    <xf numFmtId="0" fontId="20" fillId="35" borderId="5" xfId="157" applyFill="1" applyBorder="1"/>
    <xf numFmtId="0" fontId="20" fillId="0" borderId="0" xfId="157" applyBorder="1"/>
    <xf numFmtId="0" fontId="30" fillId="0" borderId="0" xfId="157" applyFont="1" applyBorder="1" applyAlignment="1">
      <alignment horizontal="center"/>
    </xf>
    <xf numFmtId="0" fontId="32" fillId="0" borderId="0" xfId="157" quotePrefix="1" applyFont="1" applyBorder="1" applyAlignment="1">
      <alignment horizontal="center"/>
    </xf>
    <xf numFmtId="0" fontId="32" fillId="0" borderId="8" xfId="157" quotePrefix="1" applyFont="1" applyBorder="1" applyAlignment="1">
      <alignment horizontal="center"/>
    </xf>
    <xf numFmtId="0" fontId="45" fillId="0" borderId="0" xfId="157" applyFont="1" applyBorder="1" applyAlignment="1">
      <alignment horizontal="center" vertical="top" wrapText="1"/>
    </xf>
    <xf numFmtId="0" fontId="46" fillId="0" borderId="0" xfId="157" applyFont="1" applyBorder="1"/>
    <xf numFmtId="0" fontId="30" fillId="0" borderId="8" xfId="157" applyFont="1" applyBorder="1" applyAlignment="1">
      <alignment horizontal="center"/>
    </xf>
    <xf numFmtId="0" fontId="45" fillId="0" borderId="0" xfId="157" applyFont="1" applyBorder="1" applyAlignment="1">
      <alignment horizontal="center"/>
    </xf>
    <xf numFmtId="0" fontId="47" fillId="0" borderId="0" xfId="157" applyFont="1" applyBorder="1" applyAlignment="1">
      <alignment horizontal="center"/>
    </xf>
    <xf numFmtId="0" fontId="20" fillId="0" borderId="7" xfId="157" applyBorder="1"/>
    <xf numFmtId="10" fontId="0" fillId="0" borderId="0" xfId="159" applyNumberFormat="1" applyFont="1" applyBorder="1"/>
    <xf numFmtId="164" fontId="46" fillId="34" borderId="0" xfId="157" applyNumberFormat="1" applyFont="1" applyFill="1" applyBorder="1"/>
    <xf numFmtId="164" fontId="46" fillId="0" borderId="0" xfId="157" applyNumberFormat="1" applyFont="1" applyBorder="1" applyAlignment="1">
      <alignment horizontal="right"/>
    </xf>
    <xf numFmtId="164" fontId="46" fillId="0" borderId="8" xfId="157" applyNumberFormat="1" applyFont="1" applyBorder="1" applyAlignment="1">
      <alignment horizontal="right"/>
    </xf>
    <xf numFmtId="0" fontId="45" fillId="0" borderId="0" xfId="157" applyFont="1" applyAlignment="1">
      <alignment horizontal="center"/>
    </xf>
    <xf numFmtId="0" fontId="45" fillId="0" borderId="0" xfId="157" applyFont="1"/>
    <xf numFmtId="0" fontId="30" fillId="0" borderId="0" xfId="157" applyFont="1" applyAlignment="1">
      <alignment horizontal="center"/>
    </xf>
    <xf numFmtId="0" fontId="20" fillId="0" borderId="0" xfId="157" quotePrefix="1"/>
    <xf numFmtId="164" fontId="20" fillId="0" borderId="0" xfId="157" applyNumberFormat="1"/>
    <xf numFmtId="0" fontId="20" fillId="0" borderId="0" xfId="157" applyAlignment="1">
      <alignment horizontal="right"/>
    </xf>
    <xf numFmtId="164" fontId="20" fillId="0" borderId="0" xfId="157" applyNumberFormat="1" applyFont="1"/>
    <xf numFmtId="0" fontId="32" fillId="0" borderId="0" xfId="157" applyFont="1" applyBorder="1" applyAlignment="1">
      <alignment horizontal="center" vertical="top"/>
    </xf>
    <xf numFmtId="0" fontId="48" fillId="0" borderId="0" xfId="157" applyFont="1" applyBorder="1" applyAlignment="1">
      <alignment horizontal="center" vertical="top"/>
    </xf>
    <xf numFmtId="0" fontId="48" fillId="0" borderId="7" xfId="157" applyFont="1" applyBorder="1" applyAlignment="1">
      <alignment horizontal="center" vertical="top"/>
    </xf>
    <xf numFmtId="0" fontId="32" fillId="0" borderId="8" xfId="157" applyFont="1" applyBorder="1" applyAlignment="1">
      <alignment horizontal="center" vertical="top"/>
    </xf>
    <xf numFmtId="0" fontId="45" fillId="35" borderId="13" xfId="157" applyFont="1" applyFill="1" applyBorder="1"/>
    <xf numFmtId="0" fontId="20" fillId="35" borderId="14" xfId="157" applyFill="1" applyBorder="1"/>
    <xf numFmtId="0" fontId="18" fillId="0" borderId="0" xfId="157" quotePrefix="1" applyFont="1" applyBorder="1" applyAlignment="1">
      <alignment horizontal="center"/>
    </xf>
    <xf numFmtId="0" fontId="55" fillId="36" borderId="0" xfId="209" applyFont="1" applyFill="1" applyBorder="1" applyAlignment="1">
      <alignment vertical="top"/>
    </xf>
    <xf numFmtId="0" fontId="54" fillId="0" borderId="10" xfId="157" applyFont="1" applyBorder="1" applyAlignment="1"/>
    <xf numFmtId="0" fontId="54" fillId="0" borderId="11" xfId="157" applyFont="1" applyBorder="1" applyAlignment="1"/>
    <xf numFmtId="0" fontId="20" fillId="0" borderId="13" xfId="157" applyBorder="1"/>
    <xf numFmtId="0" fontId="20" fillId="0" borderId="14" xfId="157" applyBorder="1"/>
    <xf numFmtId="0" fontId="30" fillId="0" borderId="14" xfId="157" applyFont="1" applyBorder="1" applyAlignment="1">
      <alignment horizontal="center"/>
    </xf>
    <xf numFmtId="0" fontId="32" fillId="0" borderId="14" xfId="157" quotePrefix="1" applyFont="1" applyBorder="1" applyAlignment="1">
      <alignment horizontal="center"/>
    </xf>
    <xf numFmtId="0" fontId="32" fillId="0" borderId="15" xfId="157" quotePrefix="1" applyFont="1" applyBorder="1" applyAlignment="1">
      <alignment horizontal="center"/>
    </xf>
    <xf numFmtId="166" fontId="20" fillId="0" borderId="0" xfId="211" applyNumberFormat="1" applyFont="1"/>
    <xf numFmtId="0" fontId="16" fillId="0" borderId="0" xfId="212"/>
    <xf numFmtId="0" fontId="45" fillId="38" borderId="3" xfId="212" applyFont="1" applyFill="1" applyBorder="1" applyAlignment="1">
      <alignment horizontal="center"/>
    </xf>
    <xf numFmtId="0" fontId="16" fillId="0" borderId="0" xfId="212" applyFill="1"/>
    <xf numFmtId="166" fontId="16" fillId="0" borderId="22" xfId="212" applyNumberFormat="1" applyBorder="1"/>
    <xf numFmtId="166" fontId="45" fillId="0" borderId="27" xfId="212" applyNumberFormat="1" applyFont="1" applyFill="1" applyBorder="1"/>
    <xf numFmtId="0" fontId="30" fillId="0" borderId="0" xfId="93" applyNumberFormat="1" applyFont="1" applyFill="1" applyBorder="1" applyAlignment="1">
      <alignment horizontal="left"/>
    </xf>
    <xf numFmtId="0" fontId="29" fillId="0" borderId="0" xfId="93" applyFont="1" applyFill="1" applyBorder="1" applyAlignment="1">
      <alignment horizontal="left" indent="1"/>
    </xf>
    <xf numFmtId="0" fontId="29" fillId="0" borderId="0" xfId="101" applyFont="1" applyFill="1"/>
    <xf numFmtId="0" fontId="29" fillId="0" borderId="0" xfId="101" applyFill="1"/>
    <xf numFmtId="0" fontId="29" fillId="0" borderId="0" xfId="93" applyFill="1"/>
    <xf numFmtId="0" fontId="29" fillId="0" borderId="0" xfId="93" applyNumberFormat="1" applyFont="1" applyFill="1" applyBorder="1" applyAlignment="1">
      <alignment horizontal="left"/>
    </xf>
    <xf numFmtId="1" fontId="29" fillId="0" borderId="0" xfId="93" applyNumberFormat="1" applyFont="1" applyFill="1" applyBorder="1" applyAlignment="1">
      <alignment horizontal="center"/>
    </xf>
    <xf numFmtId="0" fontId="32" fillId="0" borderId="0" xfId="93" applyFont="1" applyFill="1" applyBorder="1" applyAlignment="1">
      <alignment horizontal="center"/>
    </xf>
    <xf numFmtId="0" fontId="29" fillId="0" borderId="0" xfId="93" applyNumberFormat="1" applyFont="1" applyFill="1" applyBorder="1" applyAlignment="1">
      <alignment horizontal="right"/>
    </xf>
    <xf numFmtId="0" fontId="32" fillId="0" borderId="0" xfId="93" applyFont="1" applyBorder="1" applyAlignment="1">
      <alignment horizontal="center"/>
    </xf>
    <xf numFmtId="0" fontId="29" fillId="0" borderId="0" xfId="93" applyFont="1" applyBorder="1" applyAlignment="1">
      <alignment horizontal="left"/>
    </xf>
    <xf numFmtId="1" fontId="29" fillId="0" borderId="0" xfId="93" applyNumberFormat="1" applyFont="1" applyFill="1" applyBorder="1" applyAlignment="1">
      <alignment horizontal="right"/>
    </xf>
    <xf numFmtId="164" fontId="29" fillId="34" borderId="0" xfId="93" applyNumberFormat="1" applyFont="1" applyFill="1"/>
    <xf numFmtId="0" fontId="29" fillId="0" borderId="0" xfId="93" applyFont="1" applyFill="1"/>
    <xf numFmtId="0" fontId="30" fillId="0" borderId="0" xfId="93" applyFont="1" applyAlignment="1">
      <alignment horizontal="center"/>
    </xf>
    <xf numFmtId="3" fontId="16" fillId="0" borderId="3" xfId="212" applyNumberFormat="1" applyBorder="1" applyAlignment="1">
      <alignment horizontal="center"/>
    </xf>
    <xf numFmtId="164" fontId="60" fillId="0" borderId="0" xfId="93" applyNumberFormat="1" applyFont="1" applyFill="1"/>
    <xf numFmtId="0" fontId="29" fillId="0" borderId="0" xfId="93" applyFont="1" applyFill="1" applyAlignment="1">
      <alignment horizontal="left" indent="2"/>
    </xf>
    <xf numFmtId="0" fontId="29" fillId="0" borderId="0" xfId="93" applyFont="1" applyFill="1" applyAlignment="1">
      <alignment horizontal="left"/>
    </xf>
    <xf numFmtId="43" fontId="0" fillId="0" borderId="0" xfId="210" applyFont="1"/>
    <xf numFmtId="0" fontId="63" fillId="36" borderId="0" xfId="209" applyFont="1" applyFill="1" applyBorder="1" applyAlignment="1">
      <alignment horizontal="left" vertical="top"/>
    </xf>
    <xf numFmtId="0" fontId="63" fillId="36" borderId="0" xfId="209" applyFont="1" applyFill="1" applyBorder="1" applyAlignment="1">
      <alignment horizontal="left" vertical="top" wrapText="1"/>
    </xf>
    <xf numFmtId="0" fontId="63" fillId="36" borderId="0" xfId="209" applyFont="1" applyFill="1" applyBorder="1" applyAlignment="1">
      <alignment horizontal="center" vertical="center"/>
    </xf>
    <xf numFmtId="171" fontId="63" fillId="0" borderId="0" xfId="216" applyNumberFormat="1" applyFont="1" applyFill="1" applyBorder="1" applyAlignment="1">
      <alignment horizontal="left" vertical="center"/>
    </xf>
    <xf numFmtId="171" fontId="64" fillId="0" borderId="0" xfId="216" applyNumberFormat="1" applyFont="1" applyFill="1" applyBorder="1" applyAlignment="1">
      <alignment horizontal="center" vertical="center"/>
    </xf>
    <xf numFmtId="171" fontId="64" fillId="0" borderId="0" xfId="216" applyNumberFormat="1" applyFont="1" applyFill="1" applyBorder="1" applyAlignment="1">
      <alignment horizontal="center" vertical="center" wrapText="1"/>
    </xf>
    <xf numFmtId="0" fontId="52" fillId="36" borderId="0" xfId="209" applyFont="1" applyFill="1" applyBorder="1" applyAlignment="1">
      <alignment horizontal="left" vertical="top"/>
    </xf>
    <xf numFmtId="164" fontId="29" fillId="0" borderId="0" xfId="157" applyNumberFormat="1" applyFont="1" applyFill="1" applyBorder="1" applyAlignment="1">
      <alignment horizontal="center" vertical="center"/>
    </xf>
    <xf numFmtId="164" fontId="46" fillId="34" borderId="7" xfId="157" applyNumberFormat="1" applyFont="1" applyFill="1" applyBorder="1"/>
    <xf numFmtId="164" fontId="46" fillId="0" borderId="8" xfId="157" applyNumberFormat="1" applyFont="1" applyFill="1" applyBorder="1" applyAlignment="1">
      <alignment horizontal="right"/>
    </xf>
    <xf numFmtId="0" fontId="45" fillId="0" borderId="0" xfId="157" applyFont="1" applyFill="1" applyBorder="1" applyAlignment="1">
      <alignment horizontal="right"/>
    </xf>
    <xf numFmtId="164" fontId="45" fillId="0" borderId="8" xfId="157" applyNumberFormat="1" applyFont="1" applyFill="1" applyBorder="1"/>
    <xf numFmtId="0" fontId="20" fillId="0" borderId="0" xfId="157" applyFill="1"/>
    <xf numFmtId="0" fontId="16" fillId="0" borderId="0" xfId="212" applyAlignment="1">
      <alignment horizontal="left" wrapText="1"/>
    </xf>
    <xf numFmtId="0" fontId="15" fillId="0" borderId="0" xfId="212" applyFont="1"/>
    <xf numFmtId="3" fontId="45" fillId="0" borderId="3" xfId="212" applyNumberFormat="1" applyFont="1" applyFill="1" applyBorder="1" applyAlignment="1">
      <alignment horizontal="center"/>
    </xf>
    <xf numFmtId="0" fontId="14" fillId="0" borderId="0" xfId="157" quotePrefix="1" applyFont="1" applyBorder="1" applyAlignment="1">
      <alignment horizontal="center"/>
    </xf>
    <xf numFmtId="0" fontId="68" fillId="36" borderId="0" xfId="209" applyFont="1" applyFill="1" applyBorder="1" applyAlignment="1">
      <alignment horizontal="center" vertical="center"/>
    </xf>
    <xf numFmtId="0" fontId="12" fillId="0" borderId="0" xfId="157" quotePrefix="1" applyFont="1" applyBorder="1" applyAlignment="1">
      <alignment horizontal="center"/>
    </xf>
    <xf numFmtId="0" fontId="30" fillId="0" borderId="7" xfId="157" applyFont="1" applyBorder="1" applyAlignment="1">
      <alignment horizontal="center"/>
    </xf>
    <xf numFmtId="0" fontId="32" fillId="0" borderId="7" xfId="157" applyFont="1" applyBorder="1" applyAlignment="1">
      <alignment horizontal="center" vertical="top"/>
    </xf>
    <xf numFmtId="0" fontId="45" fillId="0" borderId="0" xfId="157" applyFont="1" applyFill="1" applyBorder="1"/>
    <xf numFmtId="0" fontId="20" fillId="0" borderId="11" xfId="157" applyBorder="1"/>
    <xf numFmtId="0" fontId="54" fillId="0" borderId="11" xfId="157" applyFont="1" applyFill="1" applyBorder="1" applyAlignment="1"/>
    <xf numFmtId="0" fontId="30" fillId="0" borderId="0" xfId="0" applyFont="1"/>
    <xf numFmtId="0" fontId="0" fillId="0" borderId="0" xfId="0" applyFill="1"/>
    <xf numFmtId="0" fontId="30" fillId="0" borderId="0" xfId="0" applyFont="1" applyAlignment="1">
      <alignment horizontal="left"/>
    </xf>
    <xf numFmtId="0" fontId="30" fillId="0" borderId="0" xfId="0" applyFont="1" applyAlignment="1">
      <alignment horizontal="left" indent="1"/>
    </xf>
    <xf numFmtId="0" fontId="30" fillId="0" borderId="0" xfId="0" applyFont="1" applyAlignment="1">
      <alignment horizontal="center"/>
    </xf>
    <xf numFmtId="0" fontId="32" fillId="0" borderId="0" xfId="0" applyFont="1" applyAlignment="1">
      <alignment horizontal="left"/>
    </xf>
    <xf numFmtId="0" fontId="0" fillId="0" borderId="0" xfId="0" applyAlignment="1">
      <alignment horizontal="left" indent="1"/>
    </xf>
    <xf numFmtId="0" fontId="32" fillId="0" borderId="0" xfId="0" applyFont="1"/>
    <xf numFmtId="0" fontId="32" fillId="0" borderId="0" xfId="0" applyFont="1" applyAlignment="1">
      <alignment horizontal="center"/>
    </xf>
    <xf numFmtId="0" fontId="30" fillId="0" borderId="0" xfId="0" applyFont="1" applyFill="1" applyAlignment="1">
      <alignment horizontal="center"/>
    </xf>
    <xf numFmtId="0" fontId="29" fillId="0" borderId="0" xfId="0" applyFont="1" applyFill="1" applyAlignment="1">
      <alignment horizontal="left"/>
    </xf>
    <xf numFmtId="164" fontId="0" fillId="0" borderId="0" xfId="0" applyNumberFormat="1" applyFill="1"/>
    <xf numFmtId="0" fontId="29" fillId="0" borderId="0" xfId="0" applyFont="1" applyFill="1"/>
    <xf numFmtId="0" fontId="57" fillId="0" borderId="0" xfId="0" applyFont="1" applyFill="1"/>
    <xf numFmtId="0" fontId="29" fillId="0" borderId="0" xfId="0" applyFont="1" applyFill="1" applyAlignment="1">
      <alignment horizontal="left" indent="1"/>
    </xf>
    <xf numFmtId="0" fontId="0" fillId="0" borderId="0" xfId="0" applyFill="1" applyAlignment="1">
      <alignment horizontal="left" indent="1"/>
    </xf>
    <xf numFmtId="164" fontId="57" fillId="37" borderId="0" xfId="0" applyNumberFormat="1" applyFont="1" applyFill="1"/>
    <xf numFmtId="164" fontId="0" fillId="37" borderId="0" xfId="0" applyNumberFormat="1" applyFill="1"/>
    <xf numFmtId="0" fontId="57" fillId="0" borderId="0" xfId="0" applyFont="1" applyFill="1" applyAlignment="1">
      <alignment horizontal="left"/>
    </xf>
    <xf numFmtId="164" fontId="57" fillId="0" borderId="0" xfId="0" applyNumberFormat="1" applyFont="1" applyFill="1"/>
    <xf numFmtId="0" fontId="0" fillId="0" borderId="0" xfId="0" applyFill="1" applyAlignment="1">
      <alignment horizontal="left"/>
    </xf>
    <xf numFmtId="0" fontId="30" fillId="0" borderId="0" xfId="0" applyFont="1" applyFill="1"/>
    <xf numFmtId="0" fontId="32" fillId="0" borderId="0" xfId="0" applyFont="1" applyFill="1" applyAlignment="1">
      <alignment horizontal="left"/>
    </xf>
    <xf numFmtId="167" fontId="29" fillId="0" borderId="0" xfId="0" applyNumberFormat="1" applyFont="1" applyFill="1"/>
    <xf numFmtId="164" fontId="29" fillId="37" borderId="0" xfId="0" applyNumberFormat="1" applyFont="1" applyFill="1"/>
    <xf numFmtId="167" fontId="0" fillId="0" borderId="0" xfId="0" applyNumberFormat="1" applyFill="1"/>
    <xf numFmtId="164" fontId="29" fillId="0" borderId="0" xfId="0" applyNumberFormat="1" applyFont="1" applyFill="1"/>
    <xf numFmtId="0" fontId="30" fillId="0" borderId="0" xfId="0" applyFont="1" applyFill="1" applyBorder="1" applyAlignment="1">
      <alignment horizontal="center"/>
    </xf>
    <xf numFmtId="0" fontId="0" fillId="0" borderId="0" xfId="0" applyFill="1" applyBorder="1" applyAlignment="1">
      <alignment horizontal="left" indent="1"/>
    </xf>
    <xf numFmtId="0" fontId="29" fillId="0" borderId="0" xfId="0" applyFont="1" applyFill="1" applyBorder="1"/>
    <xf numFmtId="0" fontId="0" fillId="0" borderId="0" xfId="0" applyFill="1" applyBorder="1"/>
    <xf numFmtId="164" fontId="0" fillId="0" borderId="0" xfId="0" applyNumberFormat="1" applyFill="1" applyBorder="1"/>
    <xf numFmtId="164" fontId="0" fillId="37" borderId="0" xfId="0" applyNumberFormat="1" applyFill="1" applyBorder="1"/>
    <xf numFmtId="0" fontId="30" fillId="0" borderId="0" xfId="0" applyFont="1" applyFill="1" applyAlignment="1">
      <alignment horizontal="left"/>
    </xf>
    <xf numFmtId="0" fontId="0" fillId="0" borderId="0" xfId="0" applyAlignment="1">
      <alignment horizontal="left"/>
    </xf>
    <xf numFmtId="0" fontId="29" fillId="0" borderId="0" xfId="0" applyFont="1" applyFill="1" applyAlignment="1">
      <alignment horizontal="right"/>
    </xf>
    <xf numFmtId="0" fontId="30" fillId="37" borderId="16" xfId="0" applyFont="1" applyFill="1" applyBorder="1" applyAlignment="1">
      <alignment horizontal="center"/>
    </xf>
    <xf numFmtId="168" fontId="0" fillId="0" borderId="0" xfId="0" applyNumberFormat="1" applyFill="1"/>
    <xf numFmtId="0" fontId="30" fillId="37" borderId="17" xfId="0" applyFont="1" applyFill="1" applyBorder="1" applyAlignment="1">
      <alignment horizontal="center"/>
    </xf>
    <xf numFmtId="170" fontId="0" fillId="0" borderId="0" xfId="0" applyNumberFormat="1"/>
    <xf numFmtId="0" fontId="0" fillId="0" borderId="0" xfId="0" applyFill="1" applyAlignment="1">
      <alignment horizontal="right"/>
    </xf>
    <xf numFmtId="164" fontId="29" fillId="37" borderId="17" xfId="0" applyNumberFormat="1" applyFont="1" applyFill="1" applyBorder="1"/>
    <xf numFmtId="169" fontId="57" fillId="37" borderId="17" xfId="0" applyNumberFormat="1" applyFont="1" applyFill="1" applyBorder="1"/>
    <xf numFmtId="164" fontId="46" fillId="37" borderId="18" xfId="0" applyNumberFormat="1" applyFont="1" applyFill="1" applyBorder="1"/>
    <xf numFmtId="0" fontId="30" fillId="0" borderId="0" xfId="0" applyNumberFormat="1" applyFont="1" applyFill="1" applyAlignment="1">
      <alignment horizontal="left"/>
    </xf>
    <xf numFmtId="0" fontId="32" fillId="0" borderId="0" xfId="0" applyFont="1" applyFill="1" applyAlignment="1">
      <alignment horizontal="center"/>
    </xf>
    <xf numFmtId="0" fontId="32" fillId="0" borderId="0" xfId="0" applyFont="1" applyFill="1"/>
    <xf numFmtId="0" fontId="30" fillId="0" borderId="0" xfId="0" quotePrefix="1" applyFont="1" applyFill="1" applyAlignment="1">
      <alignment horizontal="center"/>
    </xf>
    <xf numFmtId="10" fontId="0" fillId="0" borderId="0" xfId="0" applyNumberFormat="1" applyFill="1"/>
    <xf numFmtId="15" fontId="29" fillId="34" borderId="0" xfId="0" quotePrefix="1" applyNumberFormat="1" applyFont="1" applyFill="1" applyAlignment="1">
      <alignment horizontal="center"/>
    </xf>
    <xf numFmtId="0" fontId="29" fillId="34" borderId="0" xfId="0" quotePrefix="1" applyFont="1" applyFill="1" applyAlignment="1">
      <alignment horizontal="center"/>
    </xf>
    <xf numFmtId="0" fontId="29" fillId="34" borderId="0" xfId="0" applyFont="1" applyFill="1"/>
    <xf numFmtId="10" fontId="29" fillId="34" borderId="0" xfId="0" quotePrefix="1" applyNumberFormat="1" applyFont="1" applyFill="1" applyAlignment="1">
      <alignment horizontal="right"/>
    </xf>
    <xf numFmtId="0" fontId="29" fillId="0" borderId="0" xfId="0" applyFont="1" applyFill="1" applyAlignment="1"/>
    <xf numFmtId="10" fontId="29" fillId="0" borderId="0" xfId="0" quotePrefix="1" applyNumberFormat="1" applyFont="1" applyFill="1" applyAlignment="1">
      <alignment horizontal="right"/>
    </xf>
    <xf numFmtId="0" fontId="29" fillId="0" borderId="0" xfId="0" quotePrefix="1" applyFont="1" applyFill="1" applyAlignment="1">
      <alignment horizontal="center"/>
    </xf>
    <xf numFmtId="0" fontId="0" fillId="34" borderId="0" xfId="0" applyFill="1"/>
    <xf numFmtId="0" fontId="29"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9" fillId="0" borderId="0" xfId="0" applyFont="1"/>
    <xf numFmtId="0" fontId="29" fillId="0" borderId="0" xfId="0" applyFont="1" applyAlignment="1">
      <alignment horizontal="right"/>
    </xf>
    <xf numFmtId="164" fontId="57" fillId="0" borderId="0" xfId="0" applyNumberFormat="1" applyFont="1"/>
    <xf numFmtId="0" fontId="30" fillId="0" borderId="0" xfId="0" quotePrefix="1" applyFont="1" applyAlignment="1">
      <alignment horizontal="center"/>
    </xf>
    <xf numFmtId="0" fontId="32" fillId="0" borderId="0" xfId="0" quotePrefix="1" applyFont="1" applyAlignment="1">
      <alignment horizontal="center"/>
    </xf>
    <xf numFmtId="170" fontId="0" fillId="0" borderId="0" xfId="0" applyNumberFormat="1" applyFill="1"/>
    <xf numFmtId="170" fontId="29" fillId="0" borderId="0" xfId="0" applyNumberFormat="1" applyFont="1" applyFill="1" applyAlignment="1">
      <alignment horizontal="left" indent="1"/>
    </xf>
    <xf numFmtId="0" fontId="0" fillId="0" borderId="0" xfId="0" applyAlignment="1">
      <alignment horizontal="right"/>
    </xf>
    <xf numFmtId="170" fontId="29" fillId="0" borderId="0" xfId="0" applyNumberFormat="1" applyFont="1" applyAlignment="1">
      <alignment horizontal="left" indent="1"/>
    </xf>
    <xf numFmtId="167" fontId="58" fillId="0" borderId="0" xfId="0" applyNumberFormat="1" applyFont="1"/>
    <xf numFmtId="167" fontId="0" fillId="0" borderId="0" xfId="0" applyNumberFormat="1"/>
    <xf numFmtId="167" fontId="59" fillId="0" borderId="0" xfId="0" applyNumberFormat="1" applyFont="1"/>
    <xf numFmtId="167" fontId="57" fillId="0" borderId="0" xfId="0" applyNumberFormat="1" applyFont="1"/>
    <xf numFmtId="0" fontId="0" fillId="0" borderId="0" xfId="0" applyBorder="1"/>
    <xf numFmtId="0" fontId="30" fillId="0" borderId="0" xfId="0" applyFont="1" applyBorder="1" applyAlignment="1">
      <alignment horizontal="center"/>
    </xf>
    <xf numFmtId="164" fontId="46" fillId="0" borderId="0" xfId="0" applyNumberFormat="1" applyFont="1" applyFill="1" applyBorder="1"/>
    <xf numFmtId="0" fontId="63" fillId="0" borderId="0" xfId="209" applyFont="1" applyFill="1" applyBorder="1" applyAlignment="1">
      <alignment horizontal="left" vertical="top"/>
    </xf>
    <xf numFmtId="0" fontId="63" fillId="0" borderId="0" xfId="209" applyFont="1" applyFill="1" applyBorder="1" applyAlignment="1">
      <alignment horizontal="center" vertical="center"/>
    </xf>
    <xf numFmtId="0" fontId="52" fillId="0" borderId="0" xfId="209" quotePrefix="1" applyFont="1" applyFill="1" applyBorder="1" applyAlignment="1">
      <alignment horizontal="right" vertical="top"/>
    </xf>
    <xf numFmtId="0" fontId="52" fillId="0" borderId="0" xfId="209" applyFont="1" applyFill="1" applyBorder="1" applyAlignment="1">
      <alignment vertical="top" wrapText="1"/>
    </xf>
    <xf numFmtId="0" fontId="64" fillId="0" borderId="0" xfId="209" applyFont="1" applyFill="1" applyBorder="1" applyAlignment="1">
      <alignment horizontal="center" vertical="center" wrapText="1"/>
    </xf>
    <xf numFmtId="164" fontId="30" fillId="0" borderId="0" xfId="157" applyNumberFormat="1" applyFont="1" applyFill="1" applyBorder="1" applyAlignment="1">
      <alignment horizontal="center" vertical="center"/>
    </xf>
    <xf numFmtId="0" fontId="45" fillId="38" borderId="3" xfId="212" applyFont="1" applyFill="1" applyBorder="1" applyAlignment="1">
      <alignment horizontal="center"/>
    </xf>
    <xf numFmtId="0" fontId="20" fillId="0" borderId="5" xfId="157" applyBorder="1"/>
    <xf numFmtId="0" fontId="20" fillId="40" borderId="14" xfId="157" applyFill="1" applyBorder="1"/>
    <xf numFmtId="0" fontId="20" fillId="40" borderId="5" xfId="157" applyFill="1" applyBorder="1"/>
    <xf numFmtId="164" fontId="54" fillId="0" borderId="11" xfId="157" applyNumberFormat="1" applyFont="1" applyFill="1" applyBorder="1" applyAlignment="1"/>
    <xf numFmtId="0" fontId="54" fillId="0" borderId="11" xfId="157" applyFont="1" applyFill="1" applyBorder="1" applyAlignment="1">
      <alignment horizontal="right"/>
    </xf>
    <xf numFmtId="167" fontId="0" fillId="0" borderId="0" xfId="0" applyNumberFormat="1" applyFill="1" applyBorder="1"/>
    <xf numFmtId="164" fontId="29" fillId="0" borderId="0" xfId="0" applyNumberFormat="1" applyFont="1" applyFill="1" applyBorder="1"/>
    <xf numFmtId="164" fontId="57" fillId="0" borderId="0" xfId="0" applyNumberFormat="1" applyFont="1" applyFill="1" applyBorder="1"/>
    <xf numFmtId="168" fontId="0" fillId="0" borderId="0" xfId="0" applyNumberFormat="1" applyFill="1" applyBorder="1"/>
    <xf numFmtId="0" fontId="11" fillId="0" borderId="0" xfId="212" applyFont="1"/>
    <xf numFmtId="0" fontId="11" fillId="0" borderId="0" xfId="212" applyFont="1" applyFill="1"/>
    <xf numFmtId="166" fontId="67" fillId="0" borderId="23" xfId="213" applyNumberFormat="1" applyFont="1" applyFill="1" applyBorder="1"/>
    <xf numFmtId="3" fontId="67" fillId="0" borderId="19" xfId="213" applyNumberFormat="1" applyFont="1" applyFill="1" applyBorder="1" applyAlignment="1">
      <alignment horizontal="center"/>
    </xf>
    <xf numFmtId="0" fontId="10" fillId="0" borderId="0" xfId="157" quotePrefix="1" applyFont="1" applyBorder="1" applyAlignment="1">
      <alignment horizontal="center"/>
    </xf>
    <xf numFmtId="0" fontId="10" fillId="0" borderId="0" xfId="157" applyFont="1" applyAlignment="1">
      <alignment horizontal="center"/>
    </xf>
    <xf numFmtId="166" fontId="11" fillId="0" borderId="32" xfId="212" applyNumberFormat="1" applyFont="1" applyFill="1" applyBorder="1"/>
    <xf numFmtId="166" fontId="67" fillId="0" borderId="31" xfId="213" applyNumberFormat="1" applyFont="1" applyFill="1" applyBorder="1"/>
    <xf numFmtId="166" fontId="45" fillId="0" borderId="33" xfId="212" applyNumberFormat="1" applyFont="1" applyFill="1" applyBorder="1"/>
    <xf numFmtId="0" fontId="52" fillId="36" borderId="0" xfId="209" applyFont="1" applyFill="1" applyBorder="1" applyAlignment="1">
      <alignment horizontal="left" vertical="top" wrapText="1"/>
    </xf>
    <xf numFmtId="0" fontId="29" fillId="34" borderId="0" xfId="0" applyFont="1" applyFill="1" applyAlignment="1"/>
    <xf numFmtId="0" fontId="29" fillId="0" borderId="0" xfId="0" applyFont="1" applyFill="1" applyBorder="1" applyAlignment="1">
      <alignment horizontal="left"/>
    </xf>
    <xf numFmtId="0" fontId="20" fillId="0" borderId="7" xfId="157" applyFill="1" applyBorder="1"/>
    <xf numFmtId="0" fontId="20" fillId="0" borderId="0" xfId="157" applyFill="1" applyBorder="1"/>
    <xf numFmtId="164" fontId="45" fillId="0" borderId="0" xfId="157" applyNumberFormat="1" applyFont="1" applyFill="1" applyBorder="1"/>
    <xf numFmtId="164" fontId="45" fillId="0" borderId="7" xfId="157" applyNumberFormat="1" applyFont="1" applyFill="1" applyBorder="1"/>
    <xf numFmtId="0" fontId="64" fillId="0" borderId="0" xfId="209" quotePrefix="1" applyFont="1" applyFill="1" applyBorder="1" applyAlignment="1">
      <alignment horizontal="center" vertical="center" wrapText="1"/>
    </xf>
    <xf numFmtId="0" fontId="64" fillId="0" borderId="0" xfId="209" applyFont="1" applyFill="1" applyBorder="1" applyAlignment="1">
      <alignment horizontal="left" vertical="top"/>
    </xf>
    <xf numFmtId="0" fontId="63" fillId="0" borderId="11" xfId="209" applyFont="1" applyFill="1" applyBorder="1" applyAlignment="1">
      <alignment horizontal="left" vertical="top"/>
    </xf>
    <xf numFmtId="0" fontId="64" fillId="0" borderId="11" xfId="209" applyFont="1" applyFill="1" applyBorder="1" applyAlignment="1">
      <alignment horizontal="center" vertical="center"/>
    </xf>
    <xf numFmtId="0" fontId="8" fillId="0" borderId="0" xfId="212" applyFont="1"/>
    <xf numFmtId="164" fontId="54" fillId="0" borderId="12" xfId="157" applyNumberFormat="1" applyFont="1" applyFill="1" applyBorder="1" applyAlignment="1"/>
    <xf numFmtId="167" fontId="29" fillId="0" borderId="0" xfId="0" applyNumberFormat="1" applyFont="1" applyFill="1" applyBorder="1"/>
    <xf numFmtId="164" fontId="0" fillId="0" borderId="0" xfId="210" applyNumberFormat="1" applyFont="1"/>
    <xf numFmtId="167" fontId="57" fillId="0" borderId="0" xfId="0" applyNumberFormat="1" applyFont="1" applyFill="1"/>
    <xf numFmtId="166" fontId="0" fillId="0" borderId="0" xfId="210" applyNumberFormat="1" applyFont="1" applyBorder="1"/>
    <xf numFmtId="0" fontId="7" fillId="0" borderId="0" xfId="157" quotePrefix="1" applyFont="1" applyBorder="1" applyAlignment="1">
      <alignment horizontal="center"/>
    </xf>
    <xf numFmtId="0" fontId="20" fillId="40" borderId="15" xfId="157" applyFill="1" applyBorder="1"/>
    <xf numFmtId="0" fontId="20" fillId="40" borderId="6" xfId="157" applyFill="1" applyBorder="1"/>
    <xf numFmtId="0" fontId="30" fillId="41" borderId="3" xfId="0" applyFont="1" applyFill="1" applyBorder="1" applyAlignment="1">
      <alignment horizontal="center"/>
    </xf>
    <xf numFmtId="0" fontId="30" fillId="0" borderId="3" xfId="0" applyFont="1" applyBorder="1" applyAlignment="1">
      <alignment horizontal="center"/>
    </xf>
    <xf numFmtId="0" fontId="30" fillId="0" borderId="3" xfId="0" applyFont="1" applyFill="1" applyBorder="1" applyAlignment="1">
      <alignment horizontal="center"/>
    </xf>
    <xf numFmtId="0" fontId="29" fillId="41" borderId="3" xfId="0" applyFont="1" applyFill="1" applyBorder="1" applyAlignment="1">
      <alignment horizontal="center"/>
    </xf>
    <xf numFmtId="0" fontId="29" fillId="41" borderId="3" xfId="0" applyFont="1" applyFill="1" applyBorder="1"/>
    <xf numFmtId="39" fontId="29" fillId="41" borderId="3" xfId="90" applyNumberFormat="1" applyFont="1" applyFill="1" applyBorder="1" applyAlignment="1">
      <alignment horizontal="center"/>
    </xf>
    <xf numFmtId="39" fontId="29" fillId="0" borderId="3" xfId="90" applyNumberFormat="1" applyFont="1" applyBorder="1" applyAlignment="1">
      <alignment horizontal="center" wrapText="1"/>
    </xf>
    <xf numFmtId="0" fontId="30" fillId="0" borderId="3" xfId="0" applyNumberFormat="1" applyFont="1" applyBorder="1" applyAlignment="1">
      <alignment horizontal="center" wrapText="1"/>
    </xf>
    <xf numFmtId="0" fontId="30" fillId="0" borderId="3" xfId="0" applyNumberFormat="1" applyFont="1" applyFill="1" applyBorder="1" applyAlignment="1">
      <alignment wrapText="1"/>
    </xf>
    <xf numFmtId="0" fontId="30" fillId="0" borderId="3" xfId="0" applyNumberFormat="1" applyFont="1" applyBorder="1" applyAlignment="1">
      <alignment wrapText="1"/>
    </xf>
    <xf numFmtId="39" fontId="30" fillId="0" borderId="3" xfId="90" quotePrefix="1" applyNumberFormat="1" applyFont="1" applyBorder="1" applyAlignment="1">
      <alignment horizontal="center" wrapText="1"/>
    </xf>
    <xf numFmtId="39" fontId="30" fillId="0" borderId="3" xfId="90" applyNumberFormat="1" applyFont="1" applyBorder="1" applyAlignment="1">
      <alignment horizontal="center" wrapText="1"/>
    </xf>
    <xf numFmtId="0" fontId="30" fillId="0" borderId="3" xfId="0" applyFont="1" applyFill="1" applyBorder="1" applyAlignment="1">
      <alignment horizontal="center" wrapText="1"/>
    </xf>
    <xf numFmtId="39" fontId="30" fillId="0" borderId="3" xfId="90" applyNumberFormat="1" applyFont="1" applyFill="1" applyBorder="1" applyAlignment="1">
      <alignment horizontal="center" wrapText="1"/>
    </xf>
    <xf numFmtId="165" fontId="30" fillId="0" borderId="3" xfId="90" applyNumberFormat="1" applyFont="1" applyBorder="1" applyAlignment="1">
      <alignment horizontal="center" wrapText="1"/>
    </xf>
    <xf numFmtId="0" fontId="30" fillId="0" borderId="3" xfId="0" applyFont="1" applyBorder="1" applyAlignment="1">
      <alignment horizontal="center" wrapText="1"/>
    </xf>
    <xf numFmtId="0" fontId="29" fillId="0" borderId="3" xfId="0" quotePrefix="1" applyNumberFormat="1" applyFont="1" applyFill="1" applyBorder="1" applyAlignment="1">
      <alignment horizontal="center"/>
    </xf>
    <xf numFmtId="0" fontId="29" fillId="0" borderId="3" xfId="0" quotePrefix="1" applyNumberFormat="1" applyFont="1" applyFill="1" applyBorder="1" applyAlignment="1">
      <alignment horizontal="left"/>
    </xf>
    <xf numFmtId="0" fontId="29" fillId="0" borderId="3" xfId="0" quotePrefix="1" applyNumberFormat="1" applyFont="1" applyFill="1" applyBorder="1"/>
    <xf numFmtId="37" fontId="29" fillId="34" borderId="3" xfId="90" quotePrefix="1" applyNumberFormat="1" applyFont="1" applyFill="1" applyBorder="1" applyAlignment="1">
      <alignment horizontal="center"/>
    </xf>
    <xf numFmtId="37" fontId="29" fillId="0" borderId="3" xfId="90" quotePrefix="1" applyNumberFormat="1" applyFont="1" applyFill="1" applyBorder="1" applyAlignment="1">
      <alignment horizontal="center"/>
    </xf>
    <xf numFmtId="0" fontId="29" fillId="0" borderId="3" xfId="0" applyFont="1" applyFill="1" applyBorder="1" applyAlignment="1">
      <alignment horizontal="center"/>
    </xf>
    <xf numFmtId="37" fontId="29" fillId="0" borderId="3" xfId="0" applyNumberFormat="1" applyFont="1" applyFill="1" applyBorder="1" applyAlignment="1">
      <alignment horizontal="center"/>
    </xf>
    <xf numFmtId="39" fontId="29" fillId="0" borderId="3" xfId="90" quotePrefix="1" applyNumberFormat="1" applyFont="1" applyFill="1" applyBorder="1" applyAlignment="1">
      <alignment horizontal="center"/>
    </xf>
    <xf numFmtId="37" fontId="29" fillId="0" borderId="3" xfId="0" applyNumberFormat="1" applyFont="1" applyBorder="1" applyAlignment="1">
      <alignment horizontal="center"/>
    </xf>
    <xf numFmtId="0" fontId="29" fillId="0" borderId="3" xfId="0" quotePrefix="1" applyNumberFormat="1" applyFont="1" applyBorder="1" applyAlignment="1">
      <alignment horizontal="center"/>
    </xf>
    <xf numFmtId="0" fontId="29" fillId="0" borderId="3" xfId="0" quotePrefix="1" applyNumberFormat="1" applyFont="1" applyBorder="1"/>
    <xf numFmtId="0" fontId="29" fillId="0" borderId="3" xfId="0" applyFont="1" applyBorder="1" applyAlignment="1">
      <alignment horizontal="center"/>
    </xf>
    <xf numFmtId="37" fontId="29" fillId="34" borderId="21" xfId="90" quotePrefix="1" applyNumberFormat="1" applyFont="1" applyFill="1" applyBorder="1" applyAlignment="1">
      <alignment horizontal="center"/>
    </xf>
    <xf numFmtId="0" fontId="29" fillId="34" borderId="3" xfId="0" quotePrefix="1" applyNumberFormat="1" applyFont="1" applyFill="1" applyBorder="1" applyAlignment="1">
      <alignment horizontal="center"/>
    </xf>
    <xf numFmtId="0" fontId="29" fillId="34" borderId="3" xfId="0" quotePrefix="1" applyNumberFormat="1" applyFont="1" applyFill="1" applyBorder="1" applyAlignment="1">
      <alignment horizontal="left"/>
    </xf>
    <xf numFmtId="0" fontId="29" fillId="34" borderId="3" xfId="0" quotePrefix="1" applyNumberFormat="1" applyFont="1" applyFill="1" applyBorder="1"/>
    <xf numFmtId="0" fontId="29" fillId="34" borderId="3" xfId="0" applyNumberFormat="1" applyFont="1" applyFill="1" applyBorder="1"/>
    <xf numFmtId="39" fontId="29" fillId="34" borderId="21" xfId="90" quotePrefix="1" applyNumberFormat="1" applyFont="1" applyFill="1" applyBorder="1" applyAlignment="1">
      <alignment horizontal="center"/>
    </xf>
    <xf numFmtId="0" fontId="29" fillId="34" borderId="3" xfId="0" applyFont="1" applyFill="1" applyBorder="1" applyAlignment="1">
      <alignment horizontal="center"/>
    </xf>
    <xf numFmtId="37" fontId="29" fillId="34" borderId="3" xfId="0" applyNumberFormat="1" applyFont="1" applyFill="1" applyBorder="1" applyAlignment="1">
      <alignment horizontal="center"/>
    </xf>
    <xf numFmtId="39" fontId="29" fillId="34" borderId="3" xfId="90" quotePrefix="1" applyNumberFormat="1" applyFont="1" applyFill="1" applyBorder="1" applyAlignment="1">
      <alignment horizontal="center"/>
    </xf>
    <xf numFmtId="37" fontId="30" fillId="0" borderId="3" xfId="90" quotePrefix="1" applyNumberFormat="1" applyFont="1" applyBorder="1" applyAlignment="1">
      <alignment horizontal="center"/>
    </xf>
    <xf numFmtId="37" fontId="30" fillId="41" borderId="3" xfId="90" quotePrefix="1" applyNumberFormat="1" applyFont="1" applyFill="1" applyBorder="1" applyAlignment="1">
      <alignment horizontal="center"/>
    </xf>
    <xf numFmtId="37" fontId="30" fillId="0" borderId="3" xfId="90" quotePrefix="1" applyNumberFormat="1" applyFont="1" applyFill="1" applyBorder="1" applyAlignment="1">
      <alignment horizontal="center"/>
    </xf>
    <xf numFmtId="37" fontId="30" fillId="34" borderId="3" xfId="90" quotePrefix="1" applyNumberFormat="1" applyFont="1" applyFill="1" applyBorder="1" applyAlignment="1">
      <alignment horizontal="center"/>
    </xf>
    <xf numFmtId="37" fontId="30" fillId="0" borderId="0" xfId="90" quotePrefix="1" applyNumberFormat="1" applyFont="1" applyFill="1" applyBorder="1" applyAlignment="1">
      <alignment horizontal="center"/>
    </xf>
    <xf numFmtId="37" fontId="30" fillId="0" borderId="0" xfId="90" quotePrefix="1" applyNumberFormat="1" applyFont="1" applyBorder="1" applyAlignment="1">
      <alignment horizontal="center"/>
    </xf>
    <xf numFmtId="0" fontId="30" fillId="0" borderId="0" xfId="0" quotePrefix="1" applyNumberFormat="1" applyFont="1" applyBorder="1" applyAlignment="1">
      <alignment horizontal="center"/>
    </xf>
    <xf numFmtId="0" fontId="30" fillId="0" borderId="0" xfId="0" applyNumberFormat="1" applyFont="1" applyFill="1" applyBorder="1"/>
    <xf numFmtId="0" fontId="30" fillId="0" borderId="0" xfId="0" quotePrefix="1" applyNumberFormat="1" applyFont="1" applyBorder="1"/>
    <xf numFmtId="0" fontId="30" fillId="0" borderId="0" xfId="0" quotePrefix="1" applyNumberFormat="1" applyFont="1" applyFill="1" applyBorder="1"/>
    <xf numFmtId="37" fontId="29" fillId="0" borderId="3" xfId="90" applyNumberFormat="1" applyFont="1" applyFill="1" applyBorder="1" applyAlignment="1">
      <alignment horizontal="center"/>
    </xf>
    <xf numFmtId="0" fontId="29" fillId="0" borderId="3" xfId="0" applyNumberFormat="1" applyFont="1" applyFill="1" applyBorder="1"/>
    <xf numFmtId="0" fontId="29" fillId="34" borderId="21" xfId="0" applyNumberFormat="1" applyFont="1" applyFill="1" applyBorder="1"/>
    <xf numFmtId="37" fontId="29" fillId="0" borderId="0" xfId="0" applyNumberFormat="1" applyFont="1" applyFill="1" applyBorder="1" applyAlignment="1">
      <alignment horizontal="center"/>
    </xf>
    <xf numFmtId="0" fontId="29" fillId="0" borderId="0" xfId="0" applyFont="1" applyBorder="1" applyAlignment="1">
      <alignment horizontal="center"/>
    </xf>
    <xf numFmtId="0" fontId="29" fillId="0" borderId="0" xfId="0" quotePrefix="1" applyNumberFormat="1" applyFont="1" applyBorder="1" applyAlignment="1">
      <alignment horizontal="center"/>
    </xf>
    <xf numFmtId="37" fontId="30" fillId="34" borderId="25" xfId="90" quotePrefix="1" applyNumberFormat="1" applyFont="1" applyFill="1" applyBorder="1" applyAlignment="1">
      <alignment horizontal="center"/>
    </xf>
    <xf numFmtId="37" fontId="30" fillId="0" borderId="0" xfId="0" applyNumberFormat="1" applyFont="1" applyFill="1" applyBorder="1" applyAlignment="1">
      <alignment horizontal="center"/>
    </xf>
    <xf numFmtId="0" fontId="29" fillId="0" borderId="3" xfId="0" quotePrefix="1" applyNumberFormat="1" applyFont="1" applyBorder="1" applyAlignment="1">
      <alignment horizontal="left"/>
    </xf>
    <xf numFmtId="37" fontId="29" fillId="34" borderId="3" xfId="90" applyNumberFormat="1" applyFont="1" applyFill="1" applyBorder="1" applyAlignment="1">
      <alignment horizontal="center"/>
    </xf>
    <xf numFmtId="37" fontId="29" fillId="0" borderId="22" xfId="0" applyNumberFormat="1" applyFont="1" applyFill="1" applyBorder="1" applyAlignment="1">
      <alignment horizontal="center"/>
    </xf>
    <xf numFmtId="37" fontId="29" fillId="0" borderId="19" xfId="90" quotePrefix="1" applyNumberFormat="1" applyFont="1" applyFill="1" applyBorder="1" applyAlignment="1">
      <alignment horizontal="center"/>
    </xf>
    <xf numFmtId="37" fontId="29" fillId="34" borderId="30" xfId="0" applyNumberFormat="1" applyFont="1" applyFill="1" applyBorder="1" applyAlignment="1">
      <alignment horizontal="center"/>
    </xf>
    <xf numFmtId="37" fontId="29" fillId="0" borderId="21" xfId="0" applyNumberFormat="1" applyFont="1" applyFill="1" applyBorder="1" applyAlignment="1">
      <alignment horizontal="center"/>
    </xf>
    <xf numFmtId="37" fontId="29" fillId="0" borderId="25" xfId="0" applyNumberFormat="1" applyFont="1" applyFill="1" applyBorder="1" applyAlignment="1">
      <alignment horizontal="center"/>
    </xf>
    <xf numFmtId="37" fontId="30" fillId="37" borderId="3" xfId="90" quotePrefix="1" applyNumberFormat="1" applyFont="1" applyFill="1" applyBorder="1" applyAlignment="1">
      <alignment horizontal="center"/>
    </xf>
    <xf numFmtId="37" fontId="69" fillId="0" borderId="0" xfId="90" quotePrefix="1" applyNumberFormat="1" applyFont="1" applyBorder="1" applyAlignment="1">
      <alignment horizontal="center"/>
    </xf>
    <xf numFmtId="39" fontId="69" fillId="0" borderId="0" xfId="90" quotePrefix="1" applyNumberFormat="1" applyFont="1" applyBorder="1" applyAlignment="1">
      <alignment horizontal="center"/>
    </xf>
    <xf numFmtId="39" fontId="30" fillId="0" borderId="0" xfId="90" quotePrefix="1" applyNumberFormat="1" applyFont="1" applyFill="1" applyBorder="1" applyAlignment="1">
      <alignment horizontal="center"/>
    </xf>
    <xf numFmtId="39" fontId="30" fillId="0" borderId="0" xfId="90" quotePrefix="1" applyNumberFormat="1" applyFont="1" applyBorder="1" applyAlignment="1">
      <alignment horizontal="center"/>
    </xf>
    <xf numFmtId="0" fontId="29" fillId="34" borderId="3" xfId="0" applyNumberFormat="1" applyFont="1" applyFill="1" applyBorder="1" applyAlignment="1">
      <alignment horizontal="left"/>
    </xf>
    <xf numFmtId="0" fontId="30" fillId="34" borderId="3" xfId="0" quotePrefix="1" applyNumberFormat="1" applyFont="1" applyFill="1" applyBorder="1"/>
    <xf numFmtId="39" fontId="30" fillId="34" borderId="3" xfId="90" quotePrefix="1" applyNumberFormat="1" applyFont="1" applyFill="1" applyBorder="1" applyAlignment="1">
      <alignment horizontal="center"/>
    </xf>
    <xf numFmtId="0" fontId="30" fillId="34" borderId="3" xfId="0" applyNumberFormat="1" applyFont="1" applyFill="1" applyBorder="1"/>
    <xf numFmtId="39" fontId="30" fillId="41" borderId="0" xfId="90" quotePrefix="1" applyNumberFormat="1" applyFont="1" applyFill="1" applyBorder="1" applyAlignment="1">
      <alignment horizontal="center"/>
    </xf>
    <xf numFmtId="37" fontId="30" fillId="0" borderId="0" xfId="0" applyNumberFormat="1" applyFont="1" applyBorder="1" applyAlignment="1">
      <alignment horizontal="center"/>
    </xf>
    <xf numFmtId="0" fontId="29" fillId="0" borderId="3" xfId="0" applyNumberFormat="1" applyFont="1" applyFill="1" applyBorder="1" applyAlignment="1">
      <alignment horizontal="left"/>
    </xf>
    <xf numFmtId="0" fontId="29" fillId="0" borderId="3" xfId="90" applyNumberFormat="1" applyFont="1" applyFill="1" applyBorder="1" applyAlignment="1">
      <alignment horizontal="left"/>
    </xf>
    <xf numFmtId="0" fontId="29" fillId="0" borderId="3" xfId="0" applyFont="1" applyFill="1" applyBorder="1"/>
    <xf numFmtId="37" fontId="29" fillId="0" borderId="3" xfId="90" quotePrefix="1" applyNumberFormat="1" applyFont="1" applyBorder="1" applyAlignment="1">
      <alignment horizontal="center"/>
    </xf>
    <xf numFmtId="0" fontId="29" fillId="34" borderId="3" xfId="90" applyNumberFormat="1" applyFont="1" applyFill="1" applyBorder="1" applyAlignment="1">
      <alignment horizontal="left"/>
    </xf>
    <xf numFmtId="172" fontId="29" fillId="34" borderId="3" xfId="90" applyNumberFormat="1" applyFont="1" applyFill="1" applyBorder="1"/>
    <xf numFmtId="37" fontId="30" fillId="0" borderId="0" xfId="90" applyNumberFormat="1" applyFont="1" applyFill="1" applyBorder="1" applyAlignment="1">
      <alignment horizontal="center"/>
    </xf>
    <xf numFmtId="39" fontId="29" fillId="0" borderId="0" xfId="90" applyNumberFormat="1" applyFont="1" applyBorder="1" applyAlignment="1">
      <alignment horizontal="center"/>
    </xf>
    <xf numFmtId="0" fontId="29" fillId="0" borderId="0" xfId="0" applyFont="1" applyFill="1" applyBorder="1" applyAlignment="1">
      <alignment horizontal="center"/>
    </xf>
    <xf numFmtId="39" fontId="29" fillId="0" borderId="0" xfId="90" applyNumberFormat="1" applyFont="1" applyFill="1" applyBorder="1" applyAlignment="1">
      <alignment horizontal="center"/>
    </xf>
    <xf numFmtId="165" fontId="29" fillId="0" borderId="0" xfId="90" applyNumberFormat="1" applyFont="1" applyBorder="1" applyAlignment="1">
      <alignment horizontal="center"/>
    </xf>
    <xf numFmtId="0" fontId="29" fillId="0" borderId="0" xfId="0" applyFont="1" applyBorder="1"/>
    <xf numFmtId="0" fontId="30" fillId="0" borderId="0" xfId="0" applyFont="1" applyFill="1" applyBorder="1"/>
    <xf numFmtId="39" fontId="29" fillId="0" borderId="3" xfId="90" applyNumberFormat="1" applyFont="1" applyFill="1" applyBorder="1" applyAlignment="1">
      <alignment horizontal="center"/>
    </xf>
    <xf numFmtId="0" fontId="29" fillId="0" borderId="19" xfId="0" applyFont="1" applyFill="1" applyBorder="1" applyAlignment="1">
      <alignment horizontal="left"/>
    </xf>
    <xf numFmtId="0" fontId="29" fillId="0" borderId="21" xfId="0" applyFont="1" applyFill="1" applyBorder="1" applyAlignment="1">
      <alignment horizontal="left"/>
    </xf>
    <xf numFmtId="0" fontId="29" fillId="34" borderId="19" xfId="0" applyFont="1" applyFill="1" applyBorder="1" applyAlignment="1"/>
    <xf numFmtId="0" fontId="29" fillId="34" borderId="21" xfId="0" applyFont="1" applyFill="1" applyBorder="1" applyAlignment="1"/>
    <xf numFmtId="0" fontId="29" fillId="34" borderId="3" xfId="0" applyFont="1" applyFill="1" applyBorder="1"/>
    <xf numFmtId="39" fontId="29" fillId="34" borderId="3" xfId="90" applyNumberFormat="1" applyFont="1" applyFill="1" applyBorder="1" applyAlignment="1">
      <alignment horizontal="center"/>
    </xf>
    <xf numFmtId="39" fontId="29" fillId="34" borderId="3" xfId="0" applyNumberFormat="1" applyFont="1" applyFill="1" applyBorder="1" applyAlignment="1">
      <alignment horizontal="center"/>
    </xf>
    <xf numFmtId="37" fontId="30" fillId="0" borderId="3" xfId="90" applyNumberFormat="1" applyFont="1" applyBorder="1" applyAlignment="1">
      <alignment horizontal="center"/>
    </xf>
    <xf numFmtId="39" fontId="30" fillId="41" borderId="22" xfId="90" applyNumberFormat="1" applyFont="1" applyFill="1" applyBorder="1" applyAlignment="1">
      <alignment horizontal="center"/>
    </xf>
    <xf numFmtId="37" fontId="30" fillId="0" borderId="3" xfId="90" applyNumberFormat="1" applyFont="1" applyFill="1" applyBorder="1" applyAlignment="1">
      <alignment horizontal="center"/>
    </xf>
    <xf numFmtId="39" fontId="30" fillId="41" borderId="3" xfId="90" applyNumberFormat="1" applyFont="1" applyFill="1" applyBorder="1" applyAlignment="1">
      <alignment horizontal="center"/>
    </xf>
    <xf numFmtId="37" fontId="30" fillId="34" borderId="3" xfId="90" applyNumberFormat="1" applyFont="1" applyFill="1" applyBorder="1" applyAlignment="1">
      <alignment horizontal="center"/>
    </xf>
    <xf numFmtId="39" fontId="30" fillId="0" borderId="0" xfId="90" applyNumberFormat="1" applyFont="1" applyFill="1" applyBorder="1" applyAlignment="1">
      <alignment horizontal="center"/>
    </xf>
    <xf numFmtId="39" fontId="30" fillId="0" borderId="0" xfId="90" applyNumberFormat="1" applyFont="1" applyBorder="1" applyAlignment="1">
      <alignment horizontal="center"/>
    </xf>
    <xf numFmtId="0" fontId="30" fillId="41" borderId="0" xfId="0" applyFont="1" applyFill="1" applyBorder="1"/>
    <xf numFmtId="0" fontId="30" fillId="41" borderId="0" xfId="0" quotePrefix="1" applyNumberFormat="1" applyFont="1" applyFill="1" applyBorder="1"/>
    <xf numFmtId="0" fontId="30" fillId="0" borderId="3" xfId="0" applyNumberFormat="1" applyFont="1" applyFill="1" applyBorder="1" applyAlignment="1">
      <alignment horizontal="right"/>
    </xf>
    <xf numFmtId="37" fontId="30" fillId="0" borderId="3" xfId="0" applyNumberFormat="1" applyFont="1" applyBorder="1" applyAlignment="1">
      <alignment horizontal="center"/>
    </xf>
    <xf numFmtId="37" fontId="30" fillId="41" borderId="3" xfId="0" applyNumberFormat="1" applyFont="1" applyFill="1" applyBorder="1" applyAlignment="1">
      <alignment horizontal="center"/>
    </xf>
    <xf numFmtId="37" fontId="30" fillId="37" borderId="3" xfId="0" applyNumberFormat="1" applyFont="1" applyFill="1" applyBorder="1" applyAlignment="1">
      <alignment horizontal="center"/>
    </xf>
    <xf numFmtId="0" fontId="29" fillId="0" borderId="0" xfId="0" quotePrefix="1" applyNumberFormat="1" applyFont="1" applyBorder="1"/>
    <xf numFmtId="0" fontId="29" fillId="0" borderId="0" xfId="0" quotePrefix="1" applyNumberFormat="1" applyFont="1" applyFill="1" applyBorder="1"/>
    <xf numFmtId="39" fontId="29" fillId="0" borderId="0" xfId="90" quotePrefix="1" applyNumberFormat="1" applyFont="1" applyBorder="1" applyAlignment="1">
      <alignment horizontal="center"/>
    </xf>
    <xf numFmtId="39" fontId="60" fillId="0" borderId="0" xfId="90" quotePrefix="1" applyNumberFormat="1" applyFont="1" applyBorder="1" applyAlignment="1">
      <alignment horizontal="center"/>
    </xf>
    <xf numFmtId="39" fontId="29" fillId="0" borderId="0" xfId="90" quotePrefix="1" applyNumberFormat="1" applyFont="1" applyFill="1" applyBorder="1" applyAlignment="1">
      <alignment horizontal="center"/>
    </xf>
    <xf numFmtId="0" fontId="29" fillId="41" borderId="3" xfId="0" quotePrefix="1" applyNumberFormat="1" applyFont="1" applyFill="1" applyBorder="1"/>
    <xf numFmtId="39" fontId="29" fillId="0" borderId="3" xfId="90" applyNumberFormat="1" applyFont="1" applyBorder="1" applyAlignment="1">
      <alignment horizontal="right"/>
    </xf>
    <xf numFmtId="49" fontId="29" fillId="0" borderId="0" xfId="90" applyNumberFormat="1" applyFont="1" applyBorder="1" applyAlignment="1">
      <alignment horizontal="left"/>
    </xf>
    <xf numFmtId="49" fontId="29" fillId="0" borderId="0" xfId="90" applyNumberFormat="1" applyFont="1" applyFill="1" applyBorder="1" applyAlignment="1">
      <alignment horizontal="left"/>
    </xf>
    <xf numFmtId="39" fontId="29" fillId="0" borderId="3" xfId="90" quotePrefix="1" applyNumberFormat="1" applyFont="1" applyBorder="1" applyAlignment="1">
      <alignment horizontal="center"/>
    </xf>
    <xf numFmtId="49" fontId="29" fillId="0" borderId="0" xfId="90" quotePrefix="1" applyNumberFormat="1" applyFont="1" applyFill="1" applyBorder="1" applyAlignment="1">
      <alignment horizontal="left"/>
    </xf>
    <xf numFmtId="172" fontId="60" fillId="0" borderId="0" xfId="90" applyNumberFormat="1" applyFont="1" applyBorder="1" applyAlignment="1">
      <alignment horizontal="center"/>
    </xf>
    <xf numFmtId="39" fontId="60" fillId="0" borderId="0" xfId="90" applyNumberFormat="1" applyFont="1" applyBorder="1" applyAlignment="1">
      <alignment horizontal="left"/>
    </xf>
    <xf numFmtId="49" fontId="29" fillId="0" borderId="0" xfId="0" applyNumberFormat="1" applyFont="1" applyFill="1" applyBorder="1" applyAlignment="1">
      <alignment horizontal="left"/>
    </xf>
    <xf numFmtId="10" fontId="29" fillId="0" borderId="3" xfId="31" applyNumberFormat="1" applyFont="1" applyFill="1" applyBorder="1" applyAlignment="1">
      <alignment horizontal="center"/>
    </xf>
    <xf numFmtId="39" fontId="30" fillId="0" borderId="3" xfId="90" applyNumberFormat="1" applyFont="1" applyFill="1" applyBorder="1" applyAlignment="1">
      <alignment horizontal="right" wrapText="1"/>
    </xf>
    <xf numFmtId="165" fontId="29" fillId="0" borderId="0" xfId="90" applyNumberFormat="1" applyFont="1" applyFill="1" applyBorder="1" applyAlignment="1">
      <alignment horizontal="center"/>
    </xf>
    <xf numFmtId="39" fontId="29" fillId="0" borderId="0" xfId="210" applyNumberFormat="1" applyFont="1" applyFill="1" applyBorder="1" applyAlignment="1">
      <alignment horizontal="center"/>
    </xf>
    <xf numFmtId="0" fontId="57" fillId="0" borderId="0" xfId="0" applyFont="1" applyBorder="1" applyAlignment="1">
      <alignment horizontal="center"/>
    </xf>
    <xf numFmtId="39" fontId="29" fillId="0" borderId="0" xfId="210" applyNumberFormat="1" applyFont="1" applyBorder="1" applyAlignment="1">
      <alignment horizontal="center"/>
    </xf>
    <xf numFmtId="164" fontId="29" fillId="37" borderId="0" xfId="210" applyNumberFormat="1" applyFont="1" applyFill="1" applyBorder="1" applyAlignment="1">
      <alignment horizontal="center"/>
    </xf>
    <xf numFmtId="49" fontId="29" fillId="0" borderId="0" xfId="210" applyNumberFormat="1" applyFont="1" applyBorder="1" applyAlignment="1">
      <alignment horizontal="left" indent="1"/>
    </xf>
    <xf numFmtId="164" fontId="29" fillId="0" borderId="0" xfId="210" applyNumberFormat="1" applyFont="1" applyBorder="1" applyAlignment="1">
      <alignment horizontal="right"/>
    </xf>
    <xf numFmtId="0" fontId="29" fillId="0" borderId="0" xfId="0" applyFont="1" applyBorder="1" applyAlignment="1">
      <alignment vertical="top"/>
    </xf>
    <xf numFmtId="0" fontId="29" fillId="0" borderId="0" xfId="0" applyFont="1" applyFill="1" applyBorder="1" applyAlignment="1">
      <alignment vertical="top"/>
    </xf>
    <xf numFmtId="0" fontId="0" fillId="34" borderId="0" xfId="0" applyFill="1" applyAlignment="1">
      <alignment horizontal="left" vertical="top" wrapText="1"/>
    </xf>
    <xf numFmtId="39" fontId="29" fillId="0" borderId="0" xfId="90" applyNumberFormat="1" applyFont="1" applyFill="1" applyBorder="1" applyAlignment="1">
      <alignment horizontal="right"/>
    </xf>
    <xf numFmtId="39" fontId="29" fillId="34" borderId="0" xfId="90" applyNumberFormat="1" applyFont="1" applyFill="1" applyBorder="1" applyAlignment="1">
      <alignment horizontal="center"/>
    </xf>
    <xf numFmtId="170" fontId="0" fillId="0" borderId="0" xfId="0" applyNumberFormat="1" applyBorder="1"/>
    <xf numFmtId="0" fontId="29" fillId="0" borderId="21" xfId="0" applyNumberFormat="1" applyFont="1" applyFill="1" applyBorder="1"/>
    <xf numFmtId="37" fontId="29" fillId="37" borderId="21" xfId="0" applyNumberFormat="1" applyFont="1" applyFill="1" applyBorder="1" applyAlignment="1">
      <alignment horizontal="center"/>
    </xf>
    <xf numFmtId="164" fontId="0" fillId="0" borderId="0" xfId="0" applyNumberFormat="1" applyBorder="1"/>
    <xf numFmtId="5" fontId="29" fillId="34" borderId="3" xfId="0" applyNumberFormat="1" applyFont="1" applyFill="1" applyBorder="1" applyAlignment="1">
      <alignment horizontal="center"/>
    </xf>
    <xf numFmtId="5" fontId="29" fillId="34" borderId="3" xfId="90" applyNumberFormat="1" applyFont="1" applyFill="1" applyBorder="1" applyAlignment="1">
      <alignment horizontal="center"/>
    </xf>
    <xf numFmtId="165" fontId="29" fillId="34" borderId="0" xfId="90" applyNumberFormat="1" applyFont="1" applyFill="1" applyBorder="1" applyAlignment="1">
      <alignment horizontal="center"/>
    </xf>
    <xf numFmtId="5" fontId="29" fillId="34" borderId="3" xfId="90" quotePrefix="1" applyNumberFormat="1" applyFont="1" applyFill="1" applyBorder="1" applyAlignment="1">
      <alignment horizontal="center"/>
    </xf>
    <xf numFmtId="164" fontId="29" fillId="34" borderId="3" xfId="0" applyNumberFormat="1" applyFont="1" applyFill="1" applyBorder="1" applyAlignment="1">
      <alignment horizontal="center"/>
    </xf>
    <xf numFmtId="0" fontId="29" fillId="34" borderId="19" xfId="0" quotePrefix="1" applyNumberFormat="1" applyFont="1" applyFill="1" applyBorder="1" applyAlignment="1">
      <alignment horizontal="left"/>
    </xf>
    <xf numFmtId="0" fontId="29" fillId="34" borderId="20" xfId="0" quotePrefix="1" applyNumberFormat="1" applyFont="1" applyFill="1" applyBorder="1" applyAlignment="1">
      <alignment horizontal="left"/>
    </xf>
    <xf numFmtId="164" fontId="57" fillId="34" borderId="0" xfId="93" applyNumberFormat="1" applyFont="1" applyFill="1"/>
    <xf numFmtId="0" fontId="51" fillId="0" borderId="0" xfId="209" applyFont="1" applyFill="1" applyBorder="1" applyAlignment="1">
      <alignment horizontal="left" vertical="top" wrapText="1"/>
    </xf>
    <xf numFmtId="0" fontId="52" fillId="0" borderId="0" xfId="209" applyFont="1" applyFill="1" applyBorder="1" applyAlignment="1">
      <alignment horizontal="left" vertical="top" wrapText="1"/>
    </xf>
    <xf numFmtId="0" fontId="63" fillId="0" borderId="0" xfId="209" applyFont="1" applyFill="1" applyBorder="1" applyAlignment="1">
      <alignment horizontal="left" vertical="top" wrapText="1"/>
    </xf>
    <xf numFmtId="0" fontId="52" fillId="0" borderId="0" xfId="209" applyFont="1" applyFill="1" applyBorder="1" applyAlignment="1">
      <alignment horizontal="left" vertical="top"/>
    </xf>
    <xf numFmtId="0" fontId="52" fillId="0" borderId="0" xfId="209" applyFont="1" applyFill="1" applyBorder="1" applyAlignment="1">
      <alignment horizontal="center" vertical="top" wrapText="1"/>
    </xf>
    <xf numFmtId="0" fontId="63" fillId="0" borderId="0" xfId="209" applyFont="1" applyFill="1" applyBorder="1" applyAlignment="1">
      <alignment horizontal="center" vertical="center" wrapText="1"/>
    </xf>
    <xf numFmtId="164" fontId="30" fillId="0" borderId="11" xfId="157" applyNumberFormat="1" applyFont="1" applyFill="1" applyBorder="1" applyAlignment="1">
      <alignment horizontal="center" vertical="center"/>
    </xf>
    <xf numFmtId="164" fontId="30" fillId="0" borderId="12" xfId="157" applyNumberFormat="1" applyFont="1" applyFill="1" applyBorder="1" applyAlignment="1">
      <alignment horizontal="center" vertical="center"/>
    </xf>
    <xf numFmtId="164" fontId="63" fillId="36" borderId="0" xfId="209" applyNumberFormat="1" applyFont="1" applyFill="1" applyBorder="1" applyAlignment="1">
      <alignment horizontal="left" vertical="top"/>
    </xf>
    <xf numFmtId="164" fontId="46" fillId="0" borderId="0" xfId="157" applyNumberFormat="1" applyFont="1" applyFill="1" applyBorder="1" applyAlignment="1">
      <alignment horizontal="right"/>
    </xf>
    <xf numFmtId="10" fontId="0" fillId="0" borderId="0" xfId="159" applyNumberFormat="1" applyFont="1" applyFill="1" applyBorder="1"/>
    <xf numFmtId="0" fontId="4" fillId="0" borderId="0" xfId="157" quotePrefix="1" applyFont="1" applyBorder="1" applyAlignment="1">
      <alignment horizontal="center"/>
    </xf>
    <xf numFmtId="0" fontId="51" fillId="0" borderId="0" xfId="209" applyFont="1" applyFill="1" applyBorder="1" applyAlignment="1">
      <alignment horizontal="left" vertical="top" wrapText="1"/>
    </xf>
    <xf numFmtId="0" fontId="52" fillId="0" borderId="0" xfId="209" applyFont="1" applyFill="1" applyBorder="1" applyAlignment="1">
      <alignment horizontal="left" vertical="top" wrapText="1"/>
    </xf>
    <xf numFmtId="164" fontId="29" fillId="0" borderId="0" xfId="210" applyNumberFormat="1" applyFont="1" applyFill="1" applyBorder="1" applyAlignment="1">
      <alignment horizontal="center" vertical="center"/>
    </xf>
    <xf numFmtId="171" fontId="63" fillId="0" borderId="0" xfId="91" applyNumberFormat="1" applyFont="1" applyFill="1" applyBorder="1" applyAlignment="1">
      <alignment horizontal="left" vertical="center"/>
    </xf>
    <xf numFmtId="0" fontId="52" fillId="36" borderId="0" xfId="209" quotePrefix="1" applyFont="1" applyFill="1" applyBorder="1" applyAlignment="1">
      <alignment horizontal="right" vertical="top"/>
    </xf>
    <xf numFmtId="0" fontId="3" fillId="0" borderId="0" xfId="225" applyFont="1"/>
    <xf numFmtId="0" fontId="45" fillId="38" borderId="3" xfId="225" applyFont="1" applyFill="1" applyBorder="1" applyAlignment="1">
      <alignment horizontal="center"/>
    </xf>
    <xf numFmtId="0" fontId="3" fillId="0" borderId="0" xfId="225" applyFont="1" applyFill="1"/>
    <xf numFmtId="166" fontId="3" fillId="0" borderId="32" xfId="225" applyNumberFormat="1" applyFont="1" applyFill="1" applyBorder="1"/>
    <xf numFmtId="166" fontId="67" fillId="0" borderId="31" xfId="226" applyNumberFormat="1" applyFont="1" applyFill="1" applyBorder="1"/>
    <xf numFmtId="166" fontId="45" fillId="0" borderId="33" xfId="225" applyNumberFormat="1" applyFont="1" applyFill="1" applyBorder="1"/>
    <xf numFmtId="0" fontId="30" fillId="0" borderId="16" xfId="0" applyFont="1" applyFill="1" applyBorder="1" applyAlignment="1">
      <alignment horizontal="center"/>
    </xf>
    <xf numFmtId="0" fontId="30" fillId="0" borderId="17" xfId="0" applyFont="1" applyFill="1" applyBorder="1" applyAlignment="1">
      <alignment horizontal="center"/>
    </xf>
    <xf numFmtId="164" fontId="29" fillId="0" borderId="17" xfId="0" applyNumberFormat="1" applyFont="1" applyFill="1" applyBorder="1"/>
    <xf numFmtId="169" fontId="57" fillId="0" borderId="17" xfId="0" applyNumberFormat="1" applyFont="1" applyFill="1" applyBorder="1"/>
    <xf numFmtId="164" fontId="46" fillId="0" borderId="18" xfId="0" applyNumberFormat="1" applyFont="1" applyFill="1" applyBorder="1"/>
    <xf numFmtId="0" fontId="0" fillId="39" borderId="0" xfId="0" applyFill="1"/>
    <xf numFmtId="0" fontId="0" fillId="0" borderId="0" xfId="0" applyAlignment="1">
      <alignment horizontal="center"/>
    </xf>
    <xf numFmtId="164" fontId="0" fillId="39" borderId="0" xfId="0" applyNumberFormat="1" applyFill="1" applyAlignment="1"/>
    <xf numFmtId="164" fontId="57" fillId="39" borderId="0" xfId="0" applyNumberFormat="1" applyFont="1" applyFill="1" applyAlignment="1"/>
    <xf numFmtId="0" fontId="32" fillId="0" borderId="0" xfId="0" quotePrefix="1" applyFont="1" applyFill="1" applyAlignment="1">
      <alignment horizontal="center"/>
    </xf>
    <xf numFmtId="164" fontId="0" fillId="0" borderId="0" xfId="0" applyNumberFormat="1" applyFill="1" applyAlignment="1">
      <alignment horizontal="right" indent="1"/>
    </xf>
    <xf numFmtId="164" fontId="29" fillId="34" borderId="0"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9" fillId="34" borderId="0" xfId="0" applyNumberFormat="1" applyFont="1" applyFill="1"/>
    <xf numFmtId="164" fontId="0" fillId="37" borderId="0" xfId="0" applyNumberFormat="1" applyFill="1" applyAlignment="1">
      <alignment horizontal="right" indent="1"/>
    </xf>
    <xf numFmtId="164" fontId="29" fillId="34" borderId="30" xfId="0" applyNumberFormat="1" applyFont="1" applyFill="1" applyBorder="1"/>
    <xf numFmtId="0" fontId="29" fillId="0" borderId="0" xfId="0" applyFont="1" applyAlignment="1">
      <alignment horizontal="left" indent="1"/>
    </xf>
    <xf numFmtId="164" fontId="0" fillId="0" borderId="0" xfId="0" applyNumberFormat="1" applyFill="1" applyAlignment="1"/>
    <xf numFmtId="164" fontId="29" fillId="0" borderId="0" xfId="0" applyNumberFormat="1" applyFont="1"/>
    <xf numFmtId="0" fontId="32" fillId="0" borderId="0" xfId="0" applyFont="1" applyBorder="1" applyAlignment="1">
      <alignment horizontal="center"/>
    </xf>
    <xf numFmtId="0" fontId="30" fillId="0" borderId="0" xfId="0" applyFont="1" applyBorder="1"/>
    <xf numFmtId="0" fontId="32" fillId="0" borderId="0" xfId="0" applyFont="1" applyFill="1" applyBorder="1"/>
    <xf numFmtId="0" fontId="29" fillId="0" borderId="0" xfId="0" applyFont="1" applyBorder="1" applyAlignment="1">
      <alignment horizontal="right"/>
    </xf>
    <xf numFmtId="164" fontId="29" fillId="0" borderId="0" xfId="0" applyNumberFormat="1" applyFont="1" applyFill="1" applyBorder="1" applyAlignment="1">
      <alignment horizontal="right"/>
    </xf>
    <xf numFmtId="0" fontId="29" fillId="0" borderId="0" xfId="0" applyFont="1" applyFill="1" applyBorder="1" applyAlignment="1">
      <alignment horizontal="left" indent="1"/>
    </xf>
    <xf numFmtId="164" fontId="57" fillId="34" borderId="0" xfId="0" applyNumberFormat="1" applyFont="1" applyFill="1" applyBorder="1" applyAlignment="1"/>
    <xf numFmtId="164" fontId="0" fillId="0" borderId="0" xfId="0" applyNumberFormat="1" applyFill="1" applyBorder="1" applyAlignment="1"/>
    <xf numFmtId="0" fontId="29" fillId="0" borderId="0" xfId="0" applyFont="1" applyBorder="1" applyAlignment="1">
      <alignment horizontal="left" indent="1"/>
    </xf>
    <xf numFmtId="164" fontId="0" fillId="0" borderId="0" xfId="0" applyNumberFormat="1" applyAlignment="1"/>
    <xf numFmtId="0" fontId="61" fillId="0" borderId="0" xfId="0" applyFont="1" applyFill="1"/>
    <xf numFmtId="0" fontId="29" fillId="0" borderId="0" xfId="0" applyFont="1" applyFill="1" applyAlignment="1">
      <alignment horizontal="left" indent="2"/>
    </xf>
    <xf numFmtId="0" fontId="29" fillId="34" borderId="0" xfId="0" applyFont="1" applyFill="1" applyBorder="1"/>
    <xf numFmtId="0" fontId="0" fillId="34" borderId="0" xfId="0" applyFill="1" applyBorder="1"/>
    <xf numFmtId="0" fontId="3" fillId="0" borderId="0" xfId="225"/>
    <xf numFmtId="0" fontId="3" fillId="0" borderId="0" xfId="225" applyFill="1"/>
    <xf numFmtId="166" fontId="3" fillId="0" borderId="22" xfId="225" applyNumberFormat="1" applyBorder="1"/>
    <xf numFmtId="166" fontId="67" fillId="0" borderId="23" xfId="226" applyNumberFormat="1" applyFont="1" applyFill="1" applyBorder="1"/>
    <xf numFmtId="166" fontId="45" fillId="0" borderId="27" xfId="225" applyNumberFormat="1" applyFont="1" applyFill="1" applyBorder="1"/>
    <xf numFmtId="0" fontId="29" fillId="0" borderId="0" xfId="0" applyFont="1" applyAlignment="1">
      <alignment horizontal="center"/>
    </xf>
    <xf numFmtId="164" fontId="30" fillId="34" borderId="0" xfId="0" applyNumberFormat="1" applyFont="1" applyFill="1" applyAlignment="1">
      <alignment horizontal="center"/>
    </xf>
    <xf numFmtId="164" fontId="32" fillId="34" borderId="0" xfId="0" applyNumberFormat="1" applyFont="1" applyFill="1" applyAlignment="1">
      <alignment horizontal="center"/>
    </xf>
    <xf numFmtId="1" fontId="29" fillId="34" borderId="0" xfId="93" applyNumberFormat="1" applyFont="1" applyFill="1" applyBorder="1" applyAlignment="1">
      <alignment horizontal="center"/>
    </xf>
    <xf numFmtId="164" fontId="29" fillId="34" borderId="0" xfId="0" applyNumberFormat="1" applyFont="1" applyFill="1" applyAlignment="1">
      <alignment horizontal="right"/>
    </xf>
    <xf numFmtId="164" fontId="29" fillId="0" borderId="0" xfId="0" applyNumberFormat="1" applyFont="1" applyFill="1" applyAlignment="1">
      <alignment horizontal="center"/>
    </xf>
    <xf numFmtId="164" fontId="57" fillId="34" borderId="0" xfId="0" applyNumberFormat="1" applyFont="1" applyFill="1" applyAlignment="1">
      <alignment horizontal="right"/>
    </xf>
    <xf numFmtId="164" fontId="57" fillId="34" borderId="0" xfId="0" applyNumberFormat="1" applyFont="1" applyFill="1"/>
    <xf numFmtId="1" fontId="29" fillId="0" borderId="0" xfId="93" quotePrefix="1" applyNumberFormat="1" applyFont="1" applyFill="1" applyBorder="1" applyAlignment="1">
      <alignment horizontal="right"/>
    </xf>
    <xf numFmtId="164" fontId="29" fillId="37" borderId="0" xfId="0" applyNumberFormat="1" applyFont="1" applyFill="1" applyAlignment="1">
      <alignment horizontal="right"/>
    </xf>
    <xf numFmtId="164" fontId="29" fillId="0" borderId="0" xfId="0" applyNumberFormat="1" applyFont="1" applyFill="1" applyAlignment="1">
      <alignment horizontal="right"/>
    </xf>
    <xf numFmtId="164" fontId="30" fillId="0" borderId="0" xfId="0" applyNumberFormat="1" applyFont="1" applyFill="1" applyAlignment="1">
      <alignment horizontal="center"/>
    </xf>
    <xf numFmtId="164" fontId="29" fillId="34" borderId="0" xfId="0" quotePrefix="1" applyNumberFormat="1" applyFont="1" applyFill="1" applyAlignment="1">
      <alignment horizontal="right"/>
    </xf>
    <xf numFmtId="164" fontId="29" fillId="34" borderId="0" xfId="0" quotePrefix="1" applyNumberFormat="1" applyFont="1" applyFill="1" applyAlignment="1">
      <alignment horizontal="center"/>
    </xf>
    <xf numFmtId="164" fontId="0" fillId="34" borderId="16" xfId="0" applyNumberFormat="1" applyFill="1" applyBorder="1"/>
    <xf numFmtId="164" fontId="57" fillId="34" borderId="18" xfId="0" applyNumberFormat="1" applyFont="1" applyFill="1" applyBorder="1"/>
    <xf numFmtId="164" fontId="57" fillId="34" borderId="0" xfId="0" quotePrefix="1" applyNumberFormat="1" applyFont="1" applyFill="1" applyAlignment="1">
      <alignment horizontal="right"/>
    </xf>
    <xf numFmtId="164" fontId="29" fillId="0" borderId="0" xfId="0" quotePrefix="1" applyNumberFormat="1" applyFont="1" applyFill="1" applyAlignment="1">
      <alignment horizontal="center"/>
    </xf>
    <xf numFmtId="0" fontId="30" fillId="0" borderId="0" xfId="93" applyFont="1" applyFill="1" applyBorder="1" applyAlignment="1">
      <alignment horizontal="left"/>
    </xf>
    <xf numFmtId="0" fontId="32" fillId="0" borderId="0" xfId="0" applyNumberFormat="1" applyFont="1" applyFill="1" applyAlignment="1">
      <alignment horizontal="center"/>
    </xf>
    <xf numFmtId="0" fontId="70" fillId="0" borderId="0" xfId="0" applyFont="1" applyFill="1" applyAlignment="1">
      <alignment horizontal="center"/>
    </xf>
    <xf numFmtId="0" fontId="70" fillId="0" borderId="0" xfId="0" applyFont="1" applyAlignment="1">
      <alignment horizontal="center"/>
    </xf>
    <xf numFmtId="0" fontId="30" fillId="0" borderId="0" xfId="0" applyNumberFormat="1" applyFont="1" applyFill="1" applyAlignment="1">
      <alignment horizontal="center"/>
    </xf>
    <xf numFmtId="0" fontId="30" fillId="0" borderId="0" xfId="0" applyNumberFormat="1" applyFont="1" applyFill="1" applyAlignment="1">
      <alignment horizontal="center" wrapText="1"/>
    </xf>
    <xf numFmtId="0" fontId="29" fillId="0" borderId="0" xfId="0" quotePrefix="1" applyNumberFormat="1" applyFont="1" applyFill="1" applyAlignment="1">
      <alignment horizontal="center"/>
    </xf>
    <xf numFmtId="164" fontId="60" fillId="0" borderId="0" xfId="128" applyNumberFormat="1" applyFont="1" applyFill="1"/>
    <xf numFmtId="164" fontId="71" fillId="0" borderId="0" xfId="128" applyNumberFormat="1" applyFont="1" applyFill="1"/>
    <xf numFmtId="164" fontId="30" fillId="0" borderId="0" xfId="0" applyNumberFormat="1" applyFont="1" applyFill="1" applyAlignment="1">
      <alignment horizontal="right" indent="1"/>
    </xf>
    <xf numFmtId="164" fontId="30" fillId="0" borderId="0" xfId="0" applyNumberFormat="1" applyFont="1"/>
    <xf numFmtId="164" fontId="69" fillId="0" borderId="0" xfId="128" applyNumberFormat="1" applyFont="1" applyFill="1"/>
    <xf numFmtId="0" fontId="0" fillId="0" borderId="0" xfId="0" applyNumberFormat="1" applyFill="1"/>
    <xf numFmtId="0" fontId="30" fillId="0" borderId="0" xfId="0" applyNumberFormat="1" applyFont="1" applyFill="1" applyAlignment="1">
      <alignment horizontal="left" indent="2"/>
    </xf>
    <xf numFmtId="0" fontId="32" fillId="0" borderId="0" xfId="0" quotePrefix="1" applyNumberFormat="1" applyFont="1" applyFill="1" applyAlignment="1">
      <alignment horizontal="center"/>
    </xf>
    <xf numFmtId="0" fontId="29" fillId="0" borderId="0" xfId="0" quotePrefix="1" applyNumberFormat="1" applyFont="1" applyFill="1" applyAlignment="1">
      <alignment horizontal="center" wrapText="1"/>
    </xf>
    <xf numFmtId="0" fontId="29" fillId="0" borderId="0" xfId="0" quotePrefix="1" applyFont="1" applyAlignment="1">
      <alignment horizontal="center"/>
    </xf>
    <xf numFmtId="0" fontId="70" fillId="0" borderId="0" xfId="0" quotePrefix="1" applyNumberFormat="1" applyFont="1" applyFill="1" applyAlignment="1">
      <alignment horizontal="center"/>
    </xf>
    <xf numFmtId="164" fontId="0" fillId="34" borderId="0" xfId="0" applyNumberFormat="1" applyFill="1" applyBorder="1"/>
    <xf numFmtId="0" fontId="0" fillId="0" borderId="0" xfId="0" applyNumberFormat="1" applyFill="1" applyAlignment="1">
      <alignment horizontal="left"/>
    </xf>
    <xf numFmtId="0" fontId="29" fillId="34" borderId="0" xfId="0" applyNumberFormat="1" applyFont="1" applyFill="1" applyAlignment="1"/>
    <xf numFmtId="0" fontId="29" fillId="0" borderId="0" xfId="93" applyNumberFormat="1" applyFont="1" applyFill="1" applyBorder="1" applyAlignment="1">
      <alignment horizontal="center"/>
    </xf>
    <xf numFmtId="0" fontId="57" fillId="0" borderId="0" xfId="0" applyNumberFormat="1" applyFont="1" applyFill="1"/>
    <xf numFmtId="0" fontId="29" fillId="0" borderId="0" xfId="93" quotePrefix="1" applyNumberFormat="1" applyFont="1" applyFill="1" applyBorder="1" applyAlignment="1">
      <alignment horizontal="right"/>
    </xf>
    <xf numFmtId="0" fontId="29" fillId="0" borderId="0" xfId="0" applyNumberFormat="1" applyFont="1" applyFill="1" applyAlignment="1">
      <alignment horizontal="right"/>
    </xf>
    <xf numFmtId="0" fontId="30" fillId="0" borderId="0" xfId="0" applyNumberFormat="1" applyFont="1" applyFill="1"/>
    <xf numFmtId="0" fontId="29" fillId="0" borderId="0" xfId="0" applyNumberFormat="1" applyFont="1" applyFill="1"/>
    <xf numFmtId="0" fontId="29" fillId="0" borderId="0" xfId="0" applyNumberFormat="1" applyFont="1" applyFill="1" applyAlignment="1">
      <alignment horizontal="left" indent="1"/>
    </xf>
    <xf numFmtId="164" fontId="0" fillId="0" borderId="0" xfId="0" applyNumberFormat="1" applyBorder="1" applyAlignment="1"/>
    <xf numFmtId="0" fontId="51" fillId="0" borderId="0" xfId="209" applyFont="1" applyFill="1" applyBorder="1" applyAlignment="1">
      <alignment horizontal="left" vertical="top" wrapText="1"/>
    </xf>
    <xf numFmtId="0" fontId="52" fillId="0" borderId="0" xfId="209" applyFont="1" applyFill="1" applyBorder="1" applyAlignment="1">
      <alignment horizontal="left" vertical="top" wrapText="1"/>
    </xf>
    <xf numFmtId="0" fontId="51" fillId="0" borderId="0" xfId="209" applyFont="1" applyFill="1" applyBorder="1" applyAlignment="1">
      <alignment horizontal="center" vertical="top" wrapText="1"/>
    </xf>
    <xf numFmtId="0" fontId="52" fillId="0" borderId="0" xfId="209" applyFont="1" applyFill="1" applyBorder="1" applyAlignment="1">
      <alignment horizontal="center" vertical="top" wrapText="1"/>
    </xf>
    <xf numFmtId="0" fontId="51" fillId="36" borderId="0" xfId="209" applyFont="1" applyFill="1" applyBorder="1" applyAlignment="1">
      <alignment horizontal="left" vertical="top" wrapText="1"/>
    </xf>
    <xf numFmtId="0" fontId="52" fillId="36" borderId="0" xfId="209" applyFont="1" applyFill="1" applyBorder="1" applyAlignment="1">
      <alignment horizontal="left" vertical="top" wrapText="1"/>
    </xf>
    <xf numFmtId="0" fontId="51" fillId="0" borderId="10" xfId="209" applyFont="1" applyFill="1" applyBorder="1" applyAlignment="1">
      <alignment horizontal="left" vertical="top" wrapText="1"/>
    </xf>
    <xf numFmtId="0" fontId="51" fillId="0" borderId="11" xfId="209" applyFont="1" applyFill="1" applyBorder="1" applyAlignment="1">
      <alignment horizontal="left" vertical="top" wrapText="1"/>
    </xf>
    <xf numFmtId="0" fontId="45" fillId="35" borderId="10" xfId="157" applyFont="1" applyFill="1" applyBorder="1" applyAlignment="1">
      <alignment horizontal="center"/>
    </xf>
    <xf numFmtId="0" fontId="45" fillId="35" borderId="11" xfId="157" applyFont="1" applyFill="1" applyBorder="1" applyAlignment="1">
      <alignment horizontal="center"/>
    </xf>
    <xf numFmtId="0" fontId="45" fillId="35" borderId="12" xfId="157" applyFont="1" applyFill="1" applyBorder="1" applyAlignment="1">
      <alignment horizontal="center"/>
    </xf>
    <xf numFmtId="0" fontId="45" fillId="35" borderId="6" xfId="157" applyFont="1" applyFill="1" applyBorder="1" applyAlignment="1">
      <alignment horizontal="center"/>
    </xf>
    <xf numFmtId="0" fontId="45" fillId="35" borderId="4" xfId="157" applyFont="1" applyFill="1" applyBorder="1" applyAlignment="1">
      <alignment horizontal="center"/>
    </xf>
    <xf numFmtId="0" fontId="8" fillId="0" borderId="0" xfId="212" applyFont="1" applyAlignment="1">
      <alignment horizontal="left" wrapText="1"/>
    </xf>
    <xf numFmtId="0" fontId="11" fillId="0" borderId="0" xfId="212" applyFont="1" applyAlignment="1">
      <alignment horizontal="left" wrapText="1"/>
    </xf>
    <xf numFmtId="0" fontId="45" fillId="0" borderId="25" xfId="212" applyFont="1" applyBorder="1" applyAlignment="1">
      <alignment horizontal="right"/>
    </xf>
    <xf numFmtId="0" fontId="45" fillId="0" borderId="26" xfId="212" applyFont="1" applyBorder="1" applyAlignment="1">
      <alignment horizontal="right"/>
    </xf>
    <xf numFmtId="0" fontId="11" fillId="0" borderId="3" xfId="212" applyFont="1" applyFill="1" applyBorder="1" applyAlignment="1">
      <alignment horizontal="left"/>
    </xf>
    <xf numFmtId="0" fontId="7" fillId="0" borderId="0" xfId="212" applyFont="1" applyAlignment="1">
      <alignment horizontal="left" wrapText="1"/>
    </xf>
    <xf numFmtId="0" fontId="2" fillId="0" borderId="19" xfId="212" applyFont="1" applyFill="1" applyBorder="1" applyAlignment="1">
      <alignment horizontal="left" wrapText="1"/>
    </xf>
    <xf numFmtId="0" fontId="11" fillId="0" borderId="20" xfId="212" applyFont="1" applyFill="1" applyBorder="1" applyAlignment="1">
      <alignment horizontal="left" wrapText="1"/>
    </xf>
    <xf numFmtId="0" fontId="11" fillId="0" borderId="21" xfId="212" applyFont="1" applyFill="1" applyBorder="1" applyAlignment="1">
      <alignment horizontal="left" wrapText="1"/>
    </xf>
    <xf numFmtId="0" fontId="2" fillId="0" borderId="3" xfId="212" applyFont="1" applyFill="1" applyBorder="1" applyAlignment="1">
      <alignment wrapText="1"/>
    </xf>
    <xf numFmtId="0" fontId="11" fillId="0" borderId="3" xfId="212" applyFont="1" applyFill="1" applyBorder="1" applyAlignment="1">
      <alignment wrapText="1"/>
    </xf>
    <xf numFmtId="0" fontId="56" fillId="38" borderId="3" xfId="212" applyFont="1" applyFill="1" applyBorder="1" applyAlignment="1">
      <alignment horizontal="center" vertical="center" wrapText="1"/>
    </xf>
    <xf numFmtId="0" fontId="45" fillId="38" borderId="3" xfId="212" quotePrefix="1" applyFont="1" applyFill="1" applyBorder="1" applyAlignment="1">
      <alignment horizontal="center"/>
    </xf>
    <xf numFmtId="0" fontId="45" fillId="38" borderId="3" xfId="212" applyFont="1" applyFill="1" applyBorder="1" applyAlignment="1">
      <alignment horizontal="center"/>
    </xf>
    <xf numFmtId="0" fontId="7" fillId="0" borderId="19" xfId="212" applyFont="1" applyFill="1" applyBorder="1" applyAlignment="1">
      <alignment horizontal="left"/>
    </xf>
    <xf numFmtId="0" fontId="11" fillId="0" borderId="20" xfId="212" applyFont="1" applyFill="1" applyBorder="1" applyAlignment="1">
      <alignment horizontal="left"/>
    </xf>
    <xf numFmtId="0" fontId="11" fillId="0" borderId="21" xfId="212" applyFont="1" applyFill="1" applyBorder="1" applyAlignment="1">
      <alignment horizontal="left"/>
    </xf>
    <xf numFmtId="0" fontId="5" fillId="0" borderId="19" xfId="212" applyFont="1" applyFill="1" applyBorder="1" applyAlignment="1">
      <alignment wrapText="1"/>
    </xf>
    <xf numFmtId="0" fontId="8" fillId="0" borderId="20" xfId="212" applyFont="1" applyFill="1" applyBorder="1" applyAlignment="1">
      <alignment wrapText="1"/>
    </xf>
    <xf numFmtId="0" fontId="8" fillId="0" borderId="21" xfId="212" applyFont="1" applyFill="1" applyBorder="1" applyAlignment="1">
      <alignment wrapText="1"/>
    </xf>
    <xf numFmtId="0" fontId="30" fillId="0" borderId="19" xfId="0" applyNumberFormat="1" applyFont="1" applyFill="1" applyBorder="1" applyAlignment="1">
      <alignment wrapText="1"/>
    </xf>
    <xf numFmtId="0" fontId="0" fillId="0" borderId="20" xfId="0" applyBorder="1" applyAlignment="1">
      <alignment wrapText="1"/>
    </xf>
    <xf numFmtId="0" fontId="0" fillId="0" borderId="21" xfId="0" applyBorder="1" applyAlignment="1">
      <alignment wrapText="1"/>
    </xf>
    <xf numFmtId="39" fontId="29" fillId="0" borderId="19" xfId="90" applyNumberFormat="1" applyFont="1" applyBorder="1" applyAlignment="1">
      <alignment horizontal="center"/>
    </xf>
    <xf numFmtId="0" fontId="0" fillId="0" borderId="20" xfId="0" applyBorder="1"/>
    <xf numFmtId="0" fontId="0" fillId="0" borderId="21" xfId="0" applyBorder="1"/>
    <xf numFmtId="0" fontId="30" fillId="0" borderId="19" xfId="0" applyNumberFormat="1" applyFont="1" applyFill="1" applyBorder="1" applyAlignment="1"/>
    <xf numFmtId="0" fontId="0" fillId="0" borderId="20" xfId="0" applyBorder="1" applyAlignment="1"/>
    <xf numFmtId="0" fontId="0" fillId="0" borderId="21" xfId="0" applyBorder="1" applyAlignment="1"/>
    <xf numFmtId="0" fontId="30" fillId="0" borderId="3" xfId="0" applyNumberFormat="1" applyFont="1" applyFill="1" applyBorder="1" applyAlignment="1">
      <alignment wrapText="1"/>
    </xf>
    <xf numFmtId="0" fontId="0" fillId="0" borderId="3" xfId="0" applyBorder="1" applyAlignment="1">
      <alignment wrapText="1"/>
    </xf>
    <xf numFmtId="0" fontId="29" fillId="0" borderId="19" xfId="0" applyFont="1" applyFill="1" applyBorder="1" applyAlignment="1">
      <alignment horizontal="left"/>
    </xf>
    <xf numFmtId="0" fontId="29" fillId="0" borderId="21" xfId="0" applyFont="1" applyFill="1" applyBorder="1" applyAlignment="1">
      <alignment horizontal="left"/>
    </xf>
    <xf numFmtId="0" fontId="30" fillId="0" borderId="26" xfId="0" applyNumberFormat="1" applyFont="1" applyFill="1" applyBorder="1" applyAlignment="1">
      <alignment wrapText="1"/>
    </xf>
    <xf numFmtId="0" fontId="0" fillId="0" borderId="28" xfId="0" applyBorder="1" applyAlignment="1">
      <alignment wrapText="1"/>
    </xf>
    <xf numFmtId="0" fontId="0" fillId="0" borderId="29" xfId="0" applyBorder="1" applyAlignment="1">
      <alignment wrapText="1"/>
    </xf>
    <xf numFmtId="0" fontId="30" fillId="0" borderId="19" xfId="0" applyFont="1" applyFill="1" applyBorder="1" applyAlignment="1"/>
    <xf numFmtId="0" fontId="29"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0" fillId="0" borderId="20" xfId="0" applyFill="1" applyBorder="1" applyAlignment="1"/>
    <xf numFmtId="0" fontId="0" fillId="0" borderId="21" xfId="0" applyFill="1" applyBorder="1" applyAlignment="1"/>
    <xf numFmtId="0" fontId="30" fillId="0" borderId="3" xfId="0" applyFont="1" applyFill="1" applyBorder="1" applyAlignment="1">
      <alignment wrapText="1"/>
    </xf>
    <xf numFmtId="0" fontId="29" fillId="0" borderId="0" xfId="0" applyFont="1" applyFill="1" applyBorder="1" applyAlignment="1">
      <alignment wrapText="1"/>
    </xf>
    <xf numFmtId="0" fontId="0" fillId="0" borderId="0" xfId="0" applyAlignment="1">
      <alignment wrapText="1"/>
    </xf>
    <xf numFmtId="0" fontId="0" fillId="0" borderId="0" xfId="0" applyFill="1" applyAlignment="1"/>
    <xf numFmtId="0" fontId="0" fillId="0" borderId="0" xfId="0" applyAlignment="1">
      <alignment vertical="top" wrapText="1"/>
    </xf>
    <xf numFmtId="0" fontId="0" fillId="0" borderId="0" xfId="0" applyAlignment="1"/>
    <xf numFmtId="0" fontId="7" fillId="0" borderId="19" xfId="212" applyFont="1" applyBorder="1" applyAlignment="1">
      <alignment horizontal="left"/>
    </xf>
    <xf numFmtId="0" fontId="16" fillId="0" borderId="20" xfId="212" applyBorder="1" applyAlignment="1">
      <alignment horizontal="left"/>
    </xf>
    <xf numFmtId="0" fontId="16" fillId="0" borderId="21" xfId="212" applyBorder="1" applyAlignment="1">
      <alignment horizontal="left"/>
    </xf>
    <xf numFmtId="0" fontId="7" fillId="0" borderId="23" xfId="212" applyFont="1" applyFill="1" applyBorder="1" applyAlignment="1">
      <alignment wrapText="1"/>
    </xf>
    <xf numFmtId="0" fontId="16" fillId="0" borderId="23" xfId="212" applyFill="1" applyBorder="1" applyAlignment="1">
      <alignment wrapText="1"/>
    </xf>
    <xf numFmtId="0" fontId="16" fillId="0" borderId="24" xfId="212" applyFill="1" applyBorder="1" applyAlignment="1">
      <alignment wrapText="1"/>
    </xf>
    <xf numFmtId="0" fontId="16" fillId="0" borderId="28" xfId="212" applyFill="1" applyBorder="1" applyAlignment="1">
      <alignment horizontal="left"/>
    </xf>
    <xf numFmtId="0" fontId="16" fillId="0" borderId="29" xfId="212" applyFill="1" applyBorder="1" applyAlignment="1">
      <alignment horizontal="left"/>
    </xf>
    <xf numFmtId="0" fontId="16" fillId="0" borderId="3" xfId="212" applyFill="1" applyBorder="1" applyAlignment="1">
      <alignment wrapText="1"/>
    </xf>
    <xf numFmtId="0" fontId="7" fillId="0" borderId="19" xfId="212" applyFont="1" applyBorder="1" applyAlignment="1">
      <alignment horizontal="left" wrapText="1"/>
    </xf>
    <xf numFmtId="0" fontId="16" fillId="0" borderId="20" xfId="212" applyBorder="1" applyAlignment="1">
      <alignment horizontal="left" wrapText="1"/>
    </xf>
    <xf numFmtId="0" fontId="16" fillId="0" borderId="21" xfId="212" applyBorder="1" applyAlignment="1">
      <alignment horizontal="left" wrapText="1"/>
    </xf>
    <xf numFmtId="0" fontId="2" fillId="0" borderId="3" xfId="212" applyFont="1" applyFill="1" applyBorder="1" applyAlignment="1">
      <alignment horizontal="left" wrapText="1"/>
    </xf>
    <xf numFmtId="0" fontId="16" fillId="0" borderId="3" xfId="212" applyFill="1" applyBorder="1" applyAlignment="1">
      <alignment horizontal="left" wrapText="1"/>
    </xf>
    <xf numFmtId="0" fontId="45" fillId="0" borderId="3" xfId="212" applyFont="1" applyBorder="1" applyAlignment="1">
      <alignment horizontal="right"/>
    </xf>
    <xf numFmtId="0" fontId="16" fillId="0" borderId="26" xfId="212" applyBorder="1" applyAlignment="1">
      <alignment horizontal="left"/>
    </xf>
    <xf numFmtId="0" fontId="16" fillId="0" borderId="28" xfId="212" applyBorder="1" applyAlignment="1">
      <alignment horizontal="left"/>
    </xf>
    <xf numFmtId="0" fontId="16" fillId="0" borderId="29" xfId="212" applyBorder="1" applyAlignment="1">
      <alignment horizontal="left"/>
    </xf>
    <xf numFmtId="0" fontId="14" fillId="0" borderId="20" xfId="212" applyFont="1" applyBorder="1" applyAlignment="1">
      <alignment horizontal="left" wrapText="1"/>
    </xf>
    <xf numFmtId="0" fontId="14" fillId="0" borderId="21" xfId="212" applyFont="1" applyBorder="1" applyAlignment="1">
      <alignment horizontal="left" wrapText="1"/>
    </xf>
    <xf numFmtId="0" fontId="5" fillId="0" borderId="22" xfId="212" applyFont="1" applyFill="1" applyBorder="1" applyAlignment="1">
      <alignment wrapText="1"/>
    </xf>
    <xf numFmtId="0" fontId="16" fillId="0" borderId="22" xfId="212" applyFill="1" applyBorder="1" applyAlignment="1">
      <alignment wrapText="1"/>
    </xf>
    <xf numFmtId="0" fontId="45" fillId="0" borderId="25" xfId="225" applyFont="1" applyBorder="1" applyAlignment="1">
      <alignment horizontal="right"/>
    </xf>
    <xf numFmtId="0" fontId="45" fillId="0" borderId="26" xfId="225" applyFont="1" applyBorder="1" applyAlignment="1">
      <alignment horizontal="right"/>
    </xf>
    <xf numFmtId="0" fontId="3" fillId="0" borderId="3" xfId="225" applyFont="1" applyFill="1" applyBorder="1" applyAlignment="1">
      <alignment horizontal="left"/>
    </xf>
    <xf numFmtId="0" fontId="3" fillId="0" borderId="0" xfId="225" applyFont="1" applyAlignment="1">
      <alignment horizontal="left" wrapText="1"/>
    </xf>
    <xf numFmtId="0" fontId="3" fillId="0" borderId="19" xfId="225" applyFont="1" applyFill="1" applyBorder="1" applyAlignment="1">
      <alignment horizontal="left" wrapText="1"/>
    </xf>
    <xf numFmtId="0" fontId="3" fillId="0" borderId="20" xfId="225" applyFont="1" applyFill="1" applyBorder="1" applyAlignment="1">
      <alignment horizontal="left" wrapText="1"/>
    </xf>
    <xf numFmtId="0" fontId="3" fillId="0" borderId="21" xfId="225" applyFont="1" applyFill="1" applyBorder="1" applyAlignment="1">
      <alignment horizontal="left" wrapText="1"/>
    </xf>
    <xf numFmtId="0" fontId="3" fillId="0" borderId="3" xfId="225" applyFont="1" applyFill="1" applyBorder="1" applyAlignment="1">
      <alignment wrapText="1"/>
    </xf>
    <xf numFmtId="0" fontId="56" fillId="38" borderId="3" xfId="225" applyFont="1" applyFill="1" applyBorder="1" applyAlignment="1">
      <alignment horizontal="center" vertical="center" wrapText="1"/>
    </xf>
    <xf numFmtId="0" fontId="45" fillId="38" borderId="3" xfId="225" quotePrefix="1" applyFont="1" applyFill="1" applyBorder="1" applyAlignment="1">
      <alignment horizontal="center"/>
    </xf>
    <xf numFmtId="0" fontId="45" fillId="38" borderId="3" xfId="225" applyFont="1" applyFill="1" applyBorder="1" applyAlignment="1">
      <alignment horizontal="center"/>
    </xf>
    <xf numFmtId="0" fontId="3" fillId="0" borderId="28" xfId="225" applyFill="1" applyBorder="1" applyAlignment="1">
      <alignment horizontal="left"/>
    </xf>
    <xf numFmtId="0" fontId="3" fillId="0" borderId="29" xfId="225" applyFill="1" applyBorder="1" applyAlignment="1">
      <alignment horizontal="left"/>
    </xf>
    <xf numFmtId="0" fontId="3" fillId="0" borderId="19" xfId="225" applyFont="1" applyBorder="1" applyAlignment="1">
      <alignment horizontal="left" wrapText="1"/>
    </xf>
    <xf numFmtId="0" fontId="3" fillId="0" borderId="20" xfId="225" applyFont="1" applyBorder="1" applyAlignment="1">
      <alignment horizontal="left" wrapText="1"/>
    </xf>
    <xf numFmtId="0" fontId="3" fillId="0" borderId="21" xfId="225" applyFont="1" applyBorder="1" applyAlignment="1">
      <alignment horizontal="left" wrapText="1"/>
    </xf>
    <xf numFmtId="0" fontId="3" fillId="0" borderId="3" xfId="225" applyFill="1" applyBorder="1" applyAlignment="1">
      <alignment wrapText="1"/>
    </xf>
    <xf numFmtId="0" fontId="3" fillId="0" borderId="19" xfId="225" applyFont="1" applyBorder="1" applyAlignment="1">
      <alignment horizontal="left"/>
    </xf>
    <xf numFmtId="0" fontId="3" fillId="0" borderId="20" xfId="225" applyBorder="1" applyAlignment="1">
      <alignment horizontal="left"/>
    </xf>
    <xf numFmtId="0" fontId="3" fillId="0" borderId="21" xfId="225" applyBorder="1" applyAlignment="1">
      <alignment horizontal="left"/>
    </xf>
    <xf numFmtId="0" fontId="3" fillId="0" borderId="23" xfId="225" applyFont="1" applyFill="1" applyBorder="1" applyAlignment="1">
      <alignment wrapText="1"/>
    </xf>
    <xf numFmtId="0" fontId="3" fillId="0" borderId="23" xfId="225" applyFill="1" applyBorder="1" applyAlignment="1">
      <alignment wrapText="1"/>
    </xf>
    <xf numFmtId="0" fontId="3" fillId="0" borderId="24" xfId="225" applyFill="1" applyBorder="1" applyAlignment="1">
      <alignment wrapText="1"/>
    </xf>
    <xf numFmtId="0" fontId="29" fillId="34" borderId="0" xfId="0" applyNumberFormat="1" applyFont="1" applyFill="1" applyAlignment="1">
      <alignment horizontal="center"/>
    </xf>
    <xf numFmtId="0" fontId="1" fillId="0" borderId="3" xfId="225" applyFont="1" applyFill="1" applyBorder="1" applyAlignment="1">
      <alignment wrapText="1"/>
    </xf>
  </cellXfs>
  <cellStyles count="227">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1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CCFFFF"/>
      <color rgb="FFCCFFCC"/>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ERC-REG/FERC/FERC%20Contract%20&amp;%20Cost%20Analysis/2020%20FERC%20Rate%20Case%20TO2020/June%2015%20Draft%20Posting/Workpapers/WP%20Schedule%203%20One%20Time%20Adj-Prior%20Period.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ERC-REG/FERC/FERC%20Contract%20&amp;%20Cost%20Analysis/2020%20FERC%20Rate%20Case%20TO2020/June%2015%20Draft%20Posting/Schedule%203/Prior%20Period%20Adjustment/Revised%20TO12/Revised%20TO12_A&amp;G.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ERC-REG/FERC/FERC%20Contract%20&amp;%20Cost%20Analysis/2020%20FERC%20Rate%20Case%20TO2020/June%2015%20Draft%20Posting/Schedule%203/Prior%20Period%20Adjustment/Revised%20TO13/Revised%20TO13_Mesa%20&amp;%20A&amp;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 Time Adj Explanation"/>
      <sheetName val="WP-Total Adj with Int"/>
      <sheetName val="WP-2016 True Up TRR Adj"/>
      <sheetName val="WP-2016 Sch4-TUTRR"/>
      <sheetName val="WP-2016 Sch20-AandG"/>
      <sheetName val="WP-2017 True Up TRR Adj"/>
      <sheetName val="WP-2017 Sch4-TUTRR"/>
      <sheetName val="WP-2017 Sch10-CWIP"/>
      <sheetName val="WP-2017 Sch20-AandG"/>
    </sheetNames>
    <sheetDataSet>
      <sheetData sheetId="0" refreshError="1"/>
      <sheetData sheetId="1" refreshError="1"/>
      <sheetData sheetId="2" refreshError="1"/>
      <sheetData sheetId="3">
        <row r="71">
          <cell r="J71">
            <v>1024300614.2093396</v>
          </cell>
        </row>
        <row r="73">
          <cell r="E73">
            <v>1024299495.7222075</v>
          </cell>
        </row>
      </sheetData>
      <sheetData sheetId="4" refreshError="1"/>
      <sheetData sheetId="5" refreshError="1"/>
      <sheetData sheetId="6">
        <row r="71">
          <cell r="J71">
            <v>1014525809.0326087</v>
          </cell>
        </row>
        <row r="73">
          <cell r="E73">
            <v>1014519565.1585541</v>
          </cell>
        </row>
      </sheetData>
      <sheetData sheetId="7" refreshError="1"/>
      <sheetData sheetId="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8056054.5974049214</v>
          </cell>
        </row>
        <row r="80">
          <cell r="A80">
            <v>46</v>
          </cell>
          <cell r="K80">
            <v>0.48421955317211685</v>
          </cell>
        </row>
        <row r="85">
          <cell r="A85">
            <v>49</v>
          </cell>
          <cell r="K85">
            <v>9.8000000000000004E-2</v>
          </cell>
        </row>
        <row r="88">
          <cell r="A88">
            <v>50</v>
          </cell>
          <cell r="K88">
            <v>1.995961372710912E-2</v>
          </cell>
        </row>
        <row r="89">
          <cell r="A89">
            <v>51</v>
          </cell>
          <cell r="K89">
            <v>5.136127971127352E-3</v>
          </cell>
        </row>
        <row r="102">
          <cell r="A102">
            <v>58</v>
          </cell>
          <cell r="K102">
            <v>0.40745999999999999</v>
          </cell>
        </row>
        <row r="108">
          <cell r="A108">
            <v>62</v>
          </cell>
          <cell r="K108">
            <v>2086200</v>
          </cell>
        </row>
        <row r="112">
          <cell r="A112">
            <v>64</v>
          </cell>
        </row>
        <row r="119">
          <cell r="K119">
            <v>3296636</v>
          </cell>
        </row>
        <row r="124">
          <cell r="A124">
            <v>65</v>
          </cell>
          <cell r="K124">
            <v>82055346.087123767</v>
          </cell>
        </row>
        <row r="125">
          <cell r="A125">
            <v>66</v>
          </cell>
          <cell r="K125">
            <v>46841527.471354976</v>
          </cell>
        </row>
        <row r="126">
          <cell r="A126">
            <v>67</v>
          </cell>
          <cell r="K126">
            <v>2616282.5299999998</v>
          </cell>
        </row>
        <row r="127">
          <cell r="A127">
            <v>68</v>
          </cell>
          <cell r="K127">
            <v>228276528.67688429</v>
          </cell>
        </row>
        <row r="128">
          <cell r="A128">
            <v>69</v>
          </cell>
          <cell r="K128">
            <v>37069049</v>
          </cell>
        </row>
        <row r="129">
          <cell r="A129">
            <v>70</v>
          </cell>
          <cell r="K129">
            <v>58138922.660697684</v>
          </cell>
        </row>
        <row r="130">
          <cell r="A130">
            <v>71</v>
          </cell>
          <cell r="K130">
            <v>-77887588.468262196</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7902835352.5954552</v>
          </cell>
        </row>
        <row r="58">
          <cell r="A58">
            <v>24</v>
          </cell>
          <cell r="F58">
            <v>256061815.89145824</v>
          </cell>
        </row>
      </sheetData>
      <sheetData sheetId="10" refreshError="1"/>
      <sheetData sheetId="11">
        <row r="25">
          <cell r="A25">
            <v>14</v>
          </cell>
          <cell r="N25">
            <v>1388640790.6733401</v>
          </cell>
        </row>
        <row r="35">
          <cell r="A35">
            <v>17</v>
          </cell>
          <cell r="G35">
            <v>0</v>
          </cell>
        </row>
        <row r="53">
          <cell r="A53">
            <v>23</v>
          </cell>
          <cell r="F53">
            <v>111020981.33803944</v>
          </cell>
        </row>
      </sheetData>
      <sheetData sheetId="12">
        <row r="23">
          <cell r="A23">
            <v>14</v>
          </cell>
          <cell r="D23">
            <v>-1431150165.2744904</v>
          </cell>
        </row>
      </sheetData>
      <sheetData sheetId="13" refreshError="1"/>
      <sheetData sheetId="14">
        <row r="41">
          <cell r="A41">
            <v>9</v>
          </cell>
          <cell r="D41">
            <v>9942155</v>
          </cell>
        </row>
      </sheetData>
      <sheetData sheetId="15">
        <row r="21">
          <cell r="A21">
            <v>4</v>
          </cell>
          <cell r="G21">
            <v>18534524.5</v>
          </cell>
        </row>
      </sheetData>
      <sheetData sheetId="16">
        <row r="27">
          <cell r="A27">
            <v>17</v>
          </cell>
          <cell r="F27">
            <v>14352006.969473332</v>
          </cell>
        </row>
        <row r="51">
          <cell r="A51">
            <v>33</v>
          </cell>
          <cell r="F51">
            <v>4739146.5968116177</v>
          </cell>
        </row>
      </sheetData>
      <sheetData sheetId="17">
        <row r="37">
          <cell r="A37">
            <v>12</v>
          </cell>
          <cell r="F37">
            <v>271933898.42538464</v>
          </cell>
        </row>
      </sheetData>
      <sheetData sheetId="18">
        <row r="59">
          <cell r="A59">
            <v>20</v>
          </cell>
          <cell r="G59">
            <v>35016998.566422842</v>
          </cell>
        </row>
      </sheetData>
      <sheetData sheetId="19" refreshError="1"/>
      <sheetData sheetId="20" refreshError="1"/>
      <sheetData sheetId="21" refreshError="1"/>
      <sheetData sheetId="22" refreshError="1"/>
      <sheetData sheetId="23"/>
      <sheetData sheetId="24" refreshError="1"/>
      <sheetData sheetId="25">
        <row r="17">
          <cell r="A17">
            <v>9</v>
          </cell>
          <cell r="E17">
            <v>73457041.180000007</v>
          </cell>
        </row>
      </sheetData>
      <sheetData sheetId="26">
        <row r="18">
          <cell r="A18">
            <v>15</v>
          </cell>
          <cell r="E18">
            <v>0</v>
          </cell>
        </row>
      </sheetData>
      <sheetData sheetId="27" refreshError="1"/>
      <sheetData sheetId="28" refreshError="1"/>
      <sheetData sheetId="29" refreshError="1"/>
      <sheetData sheetId="30">
        <row r="15">
          <cell r="A15">
            <v>9</v>
          </cell>
          <cell r="G15">
            <v>5.7291253607394212E-2</v>
          </cell>
        </row>
        <row r="28">
          <cell r="A28">
            <v>22</v>
          </cell>
          <cell r="G28">
            <v>0.19269684752161567</v>
          </cell>
        </row>
      </sheetData>
      <sheetData sheetId="31">
        <row r="22">
          <cell r="A22">
            <v>5</v>
          </cell>
          <cell r="D22">
            <v>9.2309210958904115E-3</v>
          </cell>
          <cell r="E22">
            <v>2.4141961643835618E-3</v>
          </cell>
        </row>
      </sheetData>
      <sheetData sheetId="32" refreshError="1"/>
      <sheetData sheetId="33" refreshError="1"/>
      <sheetData sheetId="34" refreshError="1"/>
      <sheetData sheetId="35" refreshError="1"/>
      <sheetData sheetId="36" refreshError="1"/>
      <sheetData sheetId="37">
        <row r="10">
          <cell r="A10">
            <v>7</v>
          </cell>
          <cell r="K10">
            <v>-11536540.975080583</v>
          </cell>
        </row>
      </sheetData>
      <sheetData sheetId="38">
        <row r="38">
          <cell r="A38">
            <v>14</v>
          </cell>
          <cell r="G38">
            <v>-134118.82469490985</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7824776.9862349145</v>
          </cell>
        </row>
        <row r="80">
          <cell r="A80">
            <v>46</v>
          </cell>
          <cell r="K80">
            <v>0.48612884227830672</v>
          </cell>
        </row>
        <row r="85">
          <cell r="A85">
            <v>49</v>
          </cell>
          <cell r="K85">
            <v>9.8000000000000004E-2</v>
          </cell>
        </row>
        <row r="88">
          <cell r="A88">
            <v>50</v>
          </cell>
          <cell r="K88">
            <v>1.9907646765737794E-2</v>
          </cell>
        </row>
        <row r="89">
          <cell r="A89">
            <v>51</v>
          </cell>
          <cell r="K89">
            <v>4.9514327156233075E-3</v>
          </cell>
        </row>
        <row r="102">
          <cell r="A102">
            <v>58</v>
          </cell>
          <cell r="K102">
            <v>0.40745999999999999</v>
          </cell>
        </row>
        <row r="108">
          <cell r="A108">
            <v>62</v>
          </cell>
          <cell r="K108">
            <v>2086200</v>
          </cell>
        </row>
        <row r="112">
          <cell r="A112">
            <v>64</v>
          </cell>
        </row>
        <row r="119">
          <cell r="K119">
            <v>3535511</v>
          </cell>
        </row>
        <row r="124">
          <cell r="A124">
            <v>65</v>
          </cell>
          <cell r="K124">
            <v>78644833.663867712</v>
          </cell>
        </row>
        <row r="125">
          <cell r="A125">
            <v>66</v>
          </cell>
          <cell r="K125">
            <v>46551598.115890913</v>
          </cell>
        </row>
        <row r="126">
          <cell r="A126">
            <v>67</v>
          </cell>
          <cell r="K126">
            <v>6116850.9299999997</v>
          </cell>
        </row>
        <row r="127">
          <cell r="A127">
            <v>68</v>
          </cell>
          <cell r="K127">
            <v>239582730.61420554</v>
          </cell>
        </row>
        <row r="128">
          <cell r="A128">
            <v>69</v>
          </cell>
          <cell r="K128">
            <v>0</v>
          </cell>
        </row>
        <row r="129">
          <cell r="A129">
            <v>70</v>
          </cell>
          <cell r="K129">
            <v>60990526.802731596</v>
          </cell>
        </row>
        <row r="130">
          <cell r="A130">
            <v>71</v>
          </cell>
          <cell r="K130">
            <v>-58832605.54180719</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8389794318.0711689</v>
          </cell>
        </row>
        <row r="58">
          <cell r="A58">
            <v>24</v>
          </cell>
          <cell r="F58">
            <v>252097756.36140126</v>
          </cell>
        </row>
      </sheetData>
      <sheetData sheetId="10" refreshError="1"/>
      <sheetData sheetId="11">
        <row r="25">
          <cell r="A25">
            <v>14</v>
          </cell>
          <cell r="N25">
            <v>1549914566.8389716</v>
          </cell>
        </row>
        <row r="35">
          <cell r="A35">
            <v>17</v>
          </cell>
          <cell r="G35">
            <v>0</v>
          </cell>
        </row>
        <row r="53">
          <cell r="A53">
            <v>23</v>
          </cell>
          <cell r="F53">
            <v>102849091.48355895</v>
          </cell>
        </row>
      </sheetData>
      <sheetData sheetId="12">
        <row r="24">
          <cell r="A24">
            <v>15</v>
          </cell>
          <cell r="D24">
            <v>-1600478571.7718422</v>
          </cell>
        </row>
      </sheetData>
      <sheetData sheetId="13"/>
      <sheetData sheetId="14">
        <row r="41">
          <cell r="A41">
            <v>9</v>
          </cell>
          <cell r="D41">
            <v>9942155</v>
          </cell>
        </row>
      </sheetData>
      <sheetData sheetId="15">
        <row r="21">
          <cell r="A21">
            <v>4</v>
          </cell>
          <cell r="G21">
            <v>0</v>
          </cell>
        </row>
      </sheetData>
      <sheetData sheetId="16">
        <row r="27">
          <cell r="A27">
            <v>17</v>
          </cell>
          <cell r="F27">
            <v>13057096.81033094</v>
          </cell>
        </row>
        <row r="51">
          <cell r="A51">
            <v>33</v>
          </cell>
          <cell r="F51">
            <v>10647092.7937865</v>
          </cell>
        </row>
      </sheetData>
      <sheetData sheetId="17">
        <row r="38">
          <cell r="A38">
            <v>13</v>
          </cell>
          <cell r="F38">
            <v>106414658.18538462</v>
          </cell>
        </row>
      </sheetData>
      <sheetData sheetId="18">
        <row r="59">
          <cell r="A59">
            <v>20</v>
          </cell>
          <cell r="G59">
            <v>34932082.703325152</v>
          </cell>
        </row>
      </sheetData>
      <sheetData sheetId="19">
        <row r="103">
          <cell r="E103">
            <v>7.4999999999999997E-2</v>
          </cell>
        </row>
      </sheetData>
      <sheetData sheetId="20" refreshError="1"/>
      <sheetData sheetId="21" refreshError="1"/>
      <sheetData sheetId="22" refreshError="1"/>
      <sheetData sheetId="23"/>
      <sheetData sheetId="24" refreshError="1"/>
      <sheetData sheetId="25">
        <row r="17">
          <cell r="A17">
            <v>9</v>
          </cell>
          <cell r="E17">
            <v>106562330.36</v>
          </cell>
        </row>
      </sheetData>
      <sheetData sheetId="26">
        <row r="18">
          <cell r="A18">
            <v>15</v>
          </cell>
          <cell r="E18">
            <v>0</v>
          </cell>
        </row>
      </sheetData>
      <sheetData sheetId="27" refreshError="1"/>
      <sheetData sheetId="28" refreshError="1"/>
      <sheetData sheetId="29" refreshError="1"/>
      <sheetData sheetId="30">
        <row r="15">
          <cell r="A15">
            <v>9</v>
          </cell>
          <cell r="G15">
            <v>5.6290212846604806E-2</v>
          </cell>
        </row>
        <row r="28">
          <cell r="A28">
            <v>22</v>
          </cell>
          <cell r="G28">
            <v>0.19111474096755637</v>
          </cell>
        </row>
      </sheetData>
      <sheetData sheetId="31">
        <row r="22">
          <cell r="A22">
            <v>5</v>
          </cell>
          <cell r="D22">
            <v>9.2057000000000007E-3</v>
          </cell>
          <cell r="E22">
            <v>2.4076000000000002E-3</v>
          </cell>
        </row>
      </sheetData>
      <sheetData sheetId="32" refreshError="1"/>
      <sheetData sheetId="33" refreshError="1"/>
      <sheetData sheetId="34" refreshError="1"/>
      <sheetData sheetId="35" refreshError="1"/>
      <sheetData sheetId="36" refreshError="1"/>
      <sheetData sheetId="37">
        <row r="10">
          <cell r="A10">
            <v>7</v>
          </cell>
          <cell r="K10">
            <v>-10165090.793968515</v>
          </cell>
        </row>
      </sheetData>
      <sheetData sheetId="38">
        <row r="38">
          <cell r="A38">
            <v>14</v>
          </cell>
          <cell r="G38">
            <v>-6504.559255276572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42"/>
  <sheetViews>
    <sheetView showGridLines="0" tabSelected="1" zoomScaleNormal="100" workbookViewId="0"/>
  </sheetViews>
  <sheetFormatPr defaultColWidth="9.140625" defaultRowHeight="12.75" x14ac:dyDescent="0.2"/>
  <cols>
    <col min="1" max="1" width="5.28515625" style="66" customWidth="1"/>
    <col min="2" max="2" width="111.28515625" style="67" customWidth="1"/>
    <col min="3" max="3" width="5.42578125" style="66" customWidth="1"/>
    <col min="4" max="4" width="19.7109375" style="68" customWidth="1"/>
    <col min="5" max="5" width="19.28515625" style="69" customWidth="1"/>
    <col min="6" max="6" width="13.5703125" style="69" customWidth="1"/>
    <col min="7" max="7" width="10.42578125" style="66" bestFit="1" customWidth="1"/>
    <col min="8" max="16384" width="9.140625" style="66"/>
  </cols>
  <sheetData>
    <row r="1" spans="1:9" ht="18" customHeight="1" x14ac:dyDescent="0.2">
      <c r="A1" s="167"/>
      <c r="B1" s="361"/>
      <c r="C1" s="167"/>
      <c r="D1" s="168"/>
    </row>
    <row r="2" spans="1:9" ht="18" customHeight="1" x14ac:dyDescent="0.2">
      <c r="A2" s="470" t="s">
        <v>290</v>
      </c>
      <c r="B2" s="471"/>
      <c r="C2" s="167"/>
      <c r="D2" s="168"/>
    </row>
    <row r="3" spans="1:9" ht="39" customHeight="1" x14ac:dyDescent="0.2">
      <c r="A3" s="471" t="s">
        <v>31</v>
      </c>
      <c r="B3" s="471"/>
      <c r="C3" s="167"/>
      <c r="D3" s="168"/>
      <c r="E3" s="71" t="s">
        <v>876</v>
      </c>
      <c r="F3" s="71" t="s">
        <v>875</v>
      </c>
    </row>
    <row r="4" spans="1:9" ht="15.75" customHeight="1" x14ac:dyDescent="0.2">
      <c r="A4" s="362"/>
      <c r="B4" s="363"/>
      <c r="C4" s="167"/>
      <c r="D4" s="168"/>
      <c r="E4" s="70" t="s">
        <v>278</v>
      </c>
      <c r="F4" s="70" t="s">
        <v>281</v>
      </c>
    </row>
    <row r="5" spans="1:9" ht="20.25" customHeight="1" x14ac:dyDescent="0.2">
      <c r="A5" s="468" t="s">
        <v>300</v>
      </c>
      <c r="B5" s="469"/>
      <c r="C5" s="167"/>
      <c r="D5" s="168"/>
    </row>
    <row r="6" spans="1:9" ht="50.25" customHeight="1" x14ac:dyDescent="0.2">
      <c r="A6" s="169" t="s">
        <v>30</v>
      </c>
      <c r="B6" s="360" t="s">
        <v>991</v>
      </c>
      <c r="C6" s="167"/>
      <c r="D6" s="168" t="s">
        <v>280</v>
      </c>
      <c r="E6" s="73">
        <f>'WP-2012 True Up TRR Adj'!D8</f>
        <v>-8629.1507190465927</v>
      </c>
      <c r="F6" s="73">
        <f>(E6/E8)*F8</f>
        <v>-10390.866591607384</v>
      </c>
      <c r="G6" s="167"/>
    </row>
    <row r="7" spans="1:9" ht="15.75" x14ac:dyDescent="0.2">
      <c r="A7" s="169"/>
      <c r="B7" s="360"/>
      <c r="C7" s="167"/>
      <c r="D7" s="168"/>
      <c r="E7" s="73"/>
      <c r="F7" s="73"/>
    </row>
    <row r="8" spans="1:9" ht="15.75" x14ac:dyDescent="0.2">
      <c r="A8" s="468" t="s">
        <v>872</v>
      </c>
      <c r="B8" s="469"/>
      <c r="C8" s="170"/>
      <c r="D8" s="171" t="s">
        <v>280</v>
      </c>
      <c r="E8" s="172">
        <f>SUM(E5:E7)</f>
        <v>-8629.1507190465927</v>
      </c>
      <c r="F8" s="172">
        <f>'WP-Total Adj with Int'!G84</f>
        <v>-10390.866591607384</v>
      </c>
      <c r="G8" s="167"/>
    </row>
    <row r="9" spans="1:9" ht="15.75" x14ac:dyDescent="0.2">
      <c r="A9" s="371"/>
      <c r="B9" s="372"/>
      <c r="C9" s="170"/>
      <c r="D9" s="171"/>
      <c r="E9" s="172"/>
      <c r="F9" s="172"/>
      <c r="G9" s="167"/>
    </row>
    <row r="10" spans="1:9" ht="15.75" customHeight="1" x14ac:dyDescent="0.2">
      <c r="A10" s="359"/>
      <c r="B10" s="360"/>
      <c r="C10" s="170"/>
      <c r="D10" s="364"/>
      <c r="E10" s="73"/>
      <c r="F10" s="73"/>
    </row>
    <row r="11" spans="1:9" ht="20.25" customHeight="1" x14ac:dyDescent="0.2">
      <c r="A11" s="468" t="s">
        <v>279</v>
      </c>
      <c r="B11" s="469"/>
      <c r="C11" s="167"/>
      <c r="D11" s="168"/>
    </row>
    <row r="12" spans="1:9" ht="55.5" customHeight="1" x14ac:dyDescent="0.2">
      <c r="A12" s="169" t="s">
        <v>30</v>
      </c>
      <c r="B12" s="360" t="s">
        <v>317</v>
      </c>
      <c r="C12" s="167"/>
      <c r="D12" s="168" t="s">
        <v>291</v>
      </c>
      <c r="E12" s="73">
        <f>'WP-2013 True Up TRR Adj'!D8</f>
        <v>-200399.01134812832</v>
      </c>
      <c r="F12" s="73">
        <f>(E12/E$14)*F$14</f>
        <v>-233629.19348012612</v>
      </c>
    </row>
    <row r="13" spans="1:9" ht="12.75" customHeight="1" x14ac:dyDescent="0.2">
      <c r="A13" s="362"/>
      <c r="B13" s="360"/>
      <c r="C13" s="167"/>
      <c r="D13" s="168"/>
      <c r="E13" s="73"/>
      <c r="F13" s="73"/>
    </row>
    <row r="14" spans="1:9" ht="15.75" customHeight="1" x14ac:dyDescent="0.2">
      <c r="A14" s="468" t="s">
        <v>873</v>
      </c>
      <c r="B14" s="469"/>
      <c r="C14" s="170"/>
      <c r="D14" s="199" t="s">
        <v>291</v>
      </c>
      <c r="E14" s="172">
        <f>SUM(E12:E13)</f>
        <v>-200399.01134812832</v>
      </c>
      <c r="F14" s="172">
        <f>'WP-Total Adj with Int'!K84</f>
        <v>-233629.19348012612</v>
      </c>
      <c r="G14" s="167"/>
      <c r="H14" s="167"/>
      <c r="I14" s="167"/>
    </row>
    <row r="15" spans="1:9" ht="15.75" customHeight="1" x14ac:dyDescent="0.2">
      <c r="A15" s="371"/>
      <c r="B15" s="372"/>
      <c r="C15" s="170"/>
      <c r="D15" s="199"/>
      <c r="E15" s="172"/>
      <c r="F15" s="172"/>
      <c r="G15" s="167"/>
      <c r="H15" s="167"/>
      <c r="I15" s="167"/>
    </row>
    <row r="16" spans="1:9" ht="12.75" customHeight="1" x14ac:dyDescent="0.2">
      <c r="A16" s="362"/>
      <c r="B16" s="360"/>
      <c r="C16" s="167"/>
      <c r="D16" s="168"/>
      <c r="E16" s="73"/>
      <c r="F16" s="73"/>
    </row>
    <row r="17" spans="1:7" ht="20.25" customHeight="1" x14ac:dyDescent="0.2">
      <c r="A17" s="468" t="s">
        <v>289</v>
      </c>
      <c r="B17" s="469"/>
      <c r="C17" s="167"/>
      <c r="D17" s="168"/>
      <c r="E17" s="73"/>
      <c r="F17" s="73"/>
    </row>
    <row r="18" spans="1:7" ht="47.25" x14ac:dyDescent="0.2">
      <c r="A18" s="169" t="s">
        <v>30</v>
      </c>
      <c r="B18" s="360" t="s">
        <v>318</v>
      </c>
      <c r="C18" s="167"/>
      <c r="D18" s="168" t="s">
        <v>301</v>
      </c>
      <c r="E18" s="73">
        <f>'WP-2014 True Up TRR Adj'!D8</f>
        <v>-29938.994953513145</v>
      </c>
      <c r="F18" s="73">
        <f>(E18/E$20)*F$20</f>
        <v>-33792.208244305359</v>
      </c>
    </row>
    <row r="19" spans="1:7" ht="15.75" x14ac:dyDescent="0.2">
      <c r="A19" s="169"/>
      <c r="B19" s="360"/>
      <c r="C19" s="167"/>
      <c r="D19" s="168"/>
      <c r="E19" s="73"/>
      <c r="F19" s="73"/>
    </row>
    <row r="20" spans="1:7" ht="15.75" customHeight="1" x14ac:dyDescent="0.2">
      <c r="A20" s="468" t="s">
        <v>874</v>
      </c>
      <c r="B20" s="469"/>
      <c r="C20" s="170"/>
      <c r="D20" s="199" t="s">
        <v>301</v>
      </c>
      <c r="E20" s="172">
        <f>SUM(E17:E19)</f>
        <v>-29938.994953513145</v>
      </c>
      <c r="F20" s="172">
        <f>'WP-Total Adj with Int'!O84</f>
        <v>-33792.208244305359</v>
      </c>
    </row>
    <row r="21" spans="1:7" ht="15.75" customHeight="1" x14ac:dyDescent="0.2">
      <c r="A21" s="371"/>
      <c r="B21" s="372"/>
      <c r="C21" s="170"/>
      <c r="D21" s="199"/>
      <c r="E21" s="172"/>
      <c r="F21" s="172"/>
    </row>
    <row r="22" spans="1:7" ht="15.75" customHeight="1" x14ac:dyDescent="0.2">
      <c r="A22" s="371"/>
      <c r="B22" s="372"/>
      <c r="C22" s="170"/>
      <c r="D22" s="199"/>
      <c r="E22" s="172"/>
      <c r="F22" s="172"/>
    </row>
    <row r="23" spans="1:7" ht="20.25" customHeight="1" x14ac:dyDescent="0.2">
      <c r="A23" s="472" t="s">
        <v>877</v>
      </c>
      <c r="B23" s="473"/>
      <c r="E23" s="73"/>
      <c r="F23" s="73"/>
    </row>
    <row r="24" spans="1:7" ht="93.75" customHeight="1" x14ac:dyDescent="0.2">
      <c r="A24" s="169" t="s">
        <v>30</v>
      </c>
      <c r="B24" s="372" t="s">
        <v>878</v>
      </c>
      <c r="C24" s="167"/>
      <c r="D24" s="168" t="s">
        <v>312</v>
      </c>
      <c r="E24" s="73">
        <f>'WP-2016 True Up TRR Adj'!D8</f>
        <v>-1118.4871320724487</v>
      </c>
      <c r="F24" s="373">
        <f>(E24/E$26)*F$26</f>
        <v>-1182.5407858312205</v>
      </c>
      <c r="G24" s="167"/>
    </row>
    <row r="25" spans="1:7" ht="15.75" x14ac:dyDescent="0.2">
      <c r="A25" s="169"/>
      <c r="B25" s="372"/>
      <c r="C25" s="167"/>
      <c r="D25" s="168"/>
      <c r="E25" s="73"/>
      <c r="F25" s="73"/>
      <c r="G25" s="167"/>
    </row>
    <row r="26" spans="1:7" ht="15.75" customHeight="1" x14ac:dyDescent="0.2">
      <c r="A26" s="468" t="s">
        <v>884</v>
      </c>
      <c r="B26" s="468"/>
      <c r="C26" s="200"/>
      <c r="D26" s="199" t="s">
        <v>312</v>
      </c>
      <c r="E26" s="172">
        <f>SUM(E24:E25)</f>
        <v>-1118.4871320724487</v>
      </c>
      <c r="F26" s="172">
        <f>'WP-Total Adj with Int'!S84</f>
        <v>-1182.5407858312205</v>
      </c>
      <c r="G26" s="167"/>
    </row>
    <row r="27" spans="1:7" ht="15.75" customHeight="1" x14ac:dyDescent="0.2">
      <c r="A27" s="371"/>
      <c r="B27" s="371"/>
      <c r="C27" s="200"/>
      <c r="D27" s="199"/>
      <c r="E27" s="172"/>
      <c r="F27" s="172"/>
      <c r="G27" s="167"/>
    </row>
    <row r="28" spans="1:7" ht="15.75" customHeight="1" x14ac:dyDescent="0.2">
      <c r="A28" s="371"/>
      <c r="B28" s="371"/>
      <c r="C28" s="200"/>
      <c r="D28" s="199"/>
      <c r="E28" s="172"/>
      <c r="F28" s="172"/>
      <c r="G28" s="167"/>
    </row>
    <row r="29" spans="1:7" ht="20.25" customHeight="1" x14ac:dyDescent="0.2">
      <c r="A29" s="472" t="s">
        <v>879</v>
      </c>
      <c r="B29" s="473"/>
      <c r="E29" s="374"/>
      <c r="F29" s="374"/>
    </row>
    <row r="30" spans="1:7" ht="94.5" customHeight="1" x14ac:dyDescent="0.2">
      <c r="A30" s="375" t="s">
        <v>30</v>
      </c>
      <c r="B30" s="372" t="s">
        <v>880</v>
      </c>
      <c r="C30" s="167"/>
      <c r="D30" s="168" t="s">
        <v>302</v>
      </c>
      <c r="E30" s="73">
        <v>-3295.1372944116592</v>
      </c>
      <c r="F30" s="73">
        <f>(E30/E$34)*F$34</f>
        <v>-3361.6326997406636</v>
      </c>
    </row>
    <row r="31" spans="1:7" ht="15.75" x14ac:dyDescent="0.2">
      <c r="A31" s="375"/>
      <c r="B31" s="372"/>
      <c r="E31" s="73"/>
      <c r="F31" s="73"/>
    </row>
    <row r="32" spans="1:7" ht="53.25" customHeight="1" x14ac:dyDescent="0.2">
      <c r="A32" s="375" t="s">
        <v>881</v>
      </c>
      <c r="B32" s="372" t="s">
        <v>882</v>
      </c>
      <c r="C32" s="167"/>
      <c r="D32" s="168" t="s">
        <v>322</v>
      </c>
      <c r="E32" s="73">
        <v>-2948.7367602586746</v>
      </c>
      <c r="F32" s="73">
        <f>(E32/E$34)*F$34</f>
        <v>-3008.2418517201049</v>
      </c>
    </row>
    <row r="33" spans="1:9" ht="15.75" x14ac:dyDescent="0.2">
      <c r="A33" s="375"/>
      <c r="B33" s="372"/>
      <c r="C33" s="167"/>
      <c r="D33" s="168"/>
      <c r="E33" s="73"/>
      <c r="F33" s="373"/>
    </row>
    <row r="34" spans="1:9" ht="15.75" x14ac:dyDescent="0.2">
      <c r="A34" s="468" t="s">
        <v>885</v>
      </c>
      <c r="B34" s="469"/>
      <c r="C34" s="170"/>
      <c r="D34" s="199" t="s">
        <v>883</v>
      </c>
      <c r="E34" s="172">
        <f>SUM(E30:E32)</f>
        <v>-6243.8740546703339</v>
      </c>
      <c r="F34" s="172">
        <f>'WP-Total Adj with Int'!W84</f>
        <v>-6369.8745514607681</v>
      </c>
      <c r="G34" s="167"/>
      <c r="H34" s="167"/>
      <c r="I34" s="167"/>
    </row>
    <row r="35" spans="1:9" ht="15.75" customHeight="1" x14ac:dyDescent="0.2">
      <c r="A35" s="371"/>
      <c r="B35" s="372"/>
      <c r="C35" s="170"/>
      <c r="D35" s="199"/>
      <c r="E35" s="172"/>
      <c r="F35" s="172"/>
    </row>
    <row r="36" spans="1:9" ht="16.5" thickBot="1" x14ac:dyDescent="0.25">
      <c r="A36" s="371"/>
      <c r="B36" s="372"/>
      <c r="C36" s="170"/>
      <c r="D36" s="199"/>
      <c r="E36" s="172"/>
      <c r="F36" s="172"/>
    </row>
    <row r="37" spans="1:9" ht="16.5" thickBot="1" x14ac:dyDescent="0.25">
      <c r="A37" s="474" t="s">
        <v>886</v>
      </c>
      <c r="B37" s="475"/>
      <c r="C37" s="201"/>
      <c r="D37" s="202" t="s">
        <v>986</v>
      </c>
      <c r="E37" s="365">
        <f>E8+E14+E20+E26+E34</f>
        <v>-246329.51820743084</v>
      </c>
      <c r="F37" s="366">
        <f>F8+F14+F20+F26+F34</f>
        <v>-285364.6836533309</v>
      </c>
      <c r="G37" s="167"/>
    </row>
    <row r="38" spans="1:9" ht="15.75" x14ac:dyDescent="0.2">
      <c r="A38" s="371"/>
      <c r="B38" s="372"/>
      <c r="C38" s="167"/>
      <c r="D38" s="168"/>
      <c r="E38" s="73"/>
      <c r="F38" s="73"/>
      <c r="G38" s="167"/>
    </row>
    <row r="39" spans="1:9" ht="15.75" x14ac:dyDescent="0.2">
      <c r="A39" s="72"/>
      <c r="B39" s="192"/>
      <c r="E39" s="73"/>
      <c r="F39" s="73"/>
    </row>
    <row r="40" spans="1:9" ht="21" x14ac:dyDescent="0.2">
      <c r="A40" s="66" t="s">
        <v>871</v>
      </c>
      <c r="B40" s="32"/>
      <c r="C40" s="32"/>
      <c r="D40" s="83"/>
      <c r="E40" s="73"/>
      <c r="F40" s="73"/>
      <c r="G40" s="367"/>
    </row>
    <row r="41" spans="1:9" ht="15.75" x14ac:dyDescent="0.2">
      <c r="A41" s="72"/>
      <c r="B41" s="192"/>
      <c r="E41" s="73"/>
      <c r="F41" s="73"/>
    </row>
    <row r="42" spans="1:9" ht="29.25" customHeight="1" x14ac:dyDescent="0.2">
      <c r="E42" s="73"/>
      <c r="F42" s="73"/>
    </row>
  </sheetData>
  <mergeCells count="13">
    <mergeCell ref="A23:B23"/>
    <mergeCell ref="A26:B26"/>
    <mergeCell ref="A29:B29"/>
    <mergeCell ref="A34:B34"/>
    <mergeCell ref="A37:B37"/>
    <mergeCell ref="A20:B20"/>
    <mergeCell ref="A14:B14"/>
    <mergeCell ref="A11:B11"/>
    <mergeCell ref="A2:B2"/>
    <mergeCell ref="A3:B3"/>
    <mergeCell ref="A17:B17"/>
    <mergeCell ref="A5:B5"/>
    <mergeCell ref="A8:B8"/>
  </mergeCells>
  <printOptions horizontalCentered="1"/>
  <pageMargins left="0.7" right="0.7" top="0.75" bottom="0.75" header="0.3" footer="0.3"/>
  <pageSetup scale="71" fitToHeight="0" orientation="landscape" r:id="rId1"/>
  <headerFooter>
    <oddHeader>&amp;R&amp;8TO2020 Annual Update
Attachment 4
WP-Schedule 3-One Time Adj Prior Period
Page &amp;P of &amp;N</oddHeader>
    <oddFooter>&amp;R&amp;A</oddFooter>
  </headerFooter>
  <rowBreaks count="1" manualBreakCount="1">
    <brk id="28"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27.28515625" bestFit="1" customWidth="1"/>
    <col min="12" max="12" width="12.28515625" bestFit="1" customWidth="1"/>
  </cols>
  <sheetData>
    <row r="1" spans="1:10" x14ac:dyDescent="0.2">
      <c r="A1" s="90" t="s">
        <v>38</v>
      </c>
    </row>
    <row r="2" spans="1:10" x14ac:dyDescent="0.2">
      <c r="H2" s="91"/>
    </row>
    <row r="3" spans="1:10" x14ac:dyDescent="0.2">
      <c r="B3" s="92" t="s">
        <v>39</v>
      </c>
    </row>
    <row r="4" spans="1:10" x14ac:dyDescent="0.2">
      <c r="B4" s="93"/>
      <c r="F4" s="94" t="s">
        <v>40</v>
      </c>
      <c r="G4" s="94"/>
      <c r="H4" s="94" t="s">
        <v>41</v>
      </c>
    </row>
    <row r="5" spans="1:10" x14ac:dyDescent="0.2">
      <c r="A5" s="95" t="s">
        <v>42</v>
      </c>
      <c r="B5" s="96"/>
      <c r="C5" s="97" t="s">
        <v>43</v>
      </c>
      <c r="F5" s="98" t="s">
        <v>44</v>
      </c>
      <c r="G5" s="98" t="s">
        <v>45</v>
      </c>
      <c r="H5" s="98" t="s">
        <v>46</v>
      </c>
      <c r="J5" s="98" t="s">
        <v>34</v>
      </c>
    </row>
    <row r="6" spans="1:10" x14ac:dyDescent="0.2">
      <c r="A6" s="99">
        <v>1</v>
      </c>
      <c r="B6" s="91"/>
      <c r="C6" s="100" t="s">
        <v>47</v>
      </c>
      <c r="D6" s="91"/>
      <c r="E6" s="91"/>
      <c r="F6" s="91" t="s">
        <v>48</v>
      </c>
      <c r="G6" s="91"/>
      <c r="H6" s="100" t="s">
        <v>833</v>
      </c>
      <c r="I6" s="91"/>
      <c r="J6" s="101">
        <v>5979743757.3212185</v>
      </c>
    </row>
    <row r="7" spans="1:10" x14ac:dyDescent="0.2">
      <c r="A7" s="99">
        <f>A6+1</f>
        <v>2</v>
      </c>
      <c r="B7" s="91"/>
      <c r="C7" s="100" t="s">
        <v>49</v>
      </c>
      <c r="D7" s="91"/>
      <c r="E7" s="91"/>
      <c r="F7" s="91" t="s">
        <v>50</v>
      </c>
      <c r="G7" s="91"/>
      <c r="H7" s="100" t="s">
        <v>834</v>
      </c>
      <c r="I7" s="91"/>
      <c r="J7" s="101">
        <v>243935134.52950749</v>
      </c>
    </row>
    <row r="8" spans="1:10" x14ac:dyDescent="0.2">
      <c r="A8" s="99">
        <f>A7+1</f>
        <v>3</v>
      </c>
      <c r="B8" s="91"/>
      <c r="C8" s="100" t="s">
        <v>51</v>
      </c>
      <c r="D8" s="91"/>
      <c r="E8" s="91"/>
      <c r="F8" s="91" t="s">
        <v>50</v>
      </c>
      <c r="G8" s="91"/>
      <c r="H8" s="91" t="s">
        <v>835</v>
      </c>
      <c r="I8" s="91"/>
      <c r="J8" s="101">
        <v>9942155</v>
      </c>
    </row>
    <row r="9" spans="1:10" x14ac:dyDescent="0.2">
      <c r="A9" s="99">
        <f>A8+1</f>
        <v>4</v>
      </c>
      <c r="B9" s="91"/>
      <c r="C9" s="100" t="s">
        <v>52</v>
      </c>
      <c r="D9" s="91"/>
      <c r="E9" s="91"/>
      <c r="F9" s="91" t="s">
        <v>50</v>
      </c>
      <c r="G9" s="91"/>
      <c r="H9" s="102" t="s">
        <v>836</v>
      </c>
      <c r="I9" s="91"/>
      <c r="J9" s="101">
        <v>7222500</v>
      </c>
    </row>
    <row r="10" spans="1:10" x14ac:dyDescent="0.2">
      <c r="A10" s="99"/>
      <c r="B10" s="91"/>
      <c r="C10" s="100"/>
      <c r="D10" s="91"/>
      <c r="E10" s="91"/>
      <c r="F10" s="91"/>
      <c r="G10" s="91"/>
      <c r="H10" s="91"/>
      <c r="I10" s="91"/>
      <c r="J10" s="101"/>
    </row>
    <row r="11" spans="1:10" x14ac:dyDescent="0.2">
      <c r="A11" s="99"/>
      <c r="B11" s="91"/>
      <c r="C11" s="103" t="s">
        <v>53</v>
      </c>
      <c r="D11" s="91"/>
      <c r="E11" s="91"/>
      <c r="F11" s="91"/>
      <c r="G11" s="91"/>
      <c r="H11" s="91"/>
      <c r="I11" s="91"/>
      <c r="J11" s="101"/>
    </row>
    <row r="12" spans="1:10" x14ac:dyDescent="0.2">
      <c r="A12" s="99">
        <f>A9+1</f>
        <v>5</v>
      </c>
      <c r="B12" s="91"/>
      <c r="C12" s="104" t="s">
        <v>54</v>
      </c>
      <c r="D12" s="91"/>
      <c r="E12" s="91"/>
      <c r="F12" s="91" t="s">
        <v>48</v>
      </c>
      <c r="G12" s="91"/>
      <c r="H12" s="100" t="s">
        <v>837</v>
      </c>
      <c r="I12" s="91"/>
      <c r="J12" s="101">
        <v>13962623.516801436</v>
      </c>
    </row>
    <row r="13" spans="1:10" x14ac:dyDescent="0.2">
      <c r="A13" s="99">
        <f>A12+1</f>
        <v>6</v>
      </c>
      <c r="B13" s="91"/>
      <c r="C13" s="105" t="s">
        <v>55</v>
      </c>
      <c r="D13" s="91"/>
      <c r="E13" s="91"/>
      <c r="F13" s="91" t="s">
        <v>48</v>
      </c>
      <c r="G13" s="91"/>
      <c r="H13" s="100" t="s">
        <v>838</v>
      </c>
      <c r="I13" s="91"/>
      <c r="J13" s="101">
        <v>4007324.090564732</v>
      </c>
    </row>
    <row r="14" spans="1:10" x14ac:dyDescent="0.2">
      <c r="A14" s="99">
        <f>A13+1</f>
        <v>7</v>
      </c>
      <c r="B14" s="91"/>
      <c r="C14" s="104" t="s">
        <v>56</v>
      </c>
      <c r="D14" s="91"/>
      <c r="E14" s="91"/>
      <c r="F14" s="102" t="s">
        <v>57</v>
      </c>
      <c r="G14" s="91"/>
      <c r="H14" s="91" t="s">
        <v>839</v>
      </c>
      <c r="I14" s="91"/>
      <c r="J14" s="109">
        <v>8942908.7126193643</v>
      </c>
    </row>
    <row r="15" spans="1:10" x14ac:dyDescent="0.2">
      <c r="A15" s="99">
        <f>A14+1</f>
        <v>8</v>
      </c>
      <c r="B15" s="91"/>
      <c r="C15" s="104" t="s">
        <v>58</v>
      </c>
      <c r="D15" s="91"/>
      <c r="E15" s="91"/>
      <c r="F15" s="91"/>
      <c r="G15" s="91"/>
      <c r="H15" s="91" t="str">
        <f>"Line "&amp;A12&amp;" + Line "&amp;A13&amp;" + Line "&amp;A14&amp;""</f>
        <v>Line 5 + Line 6 + Line 7</v>
      </c>
      <c r="I15" s="91"/>
      <c r="J15" s="101">
        <f>SUM(J12:J14)</f>
        <v>26912856.319985531</v>
      </c>
    </row>
    <row r="16" spans="1:10" x14ac:dyDescent="0.2">
      <c r="A16" s="99"/>
      <c r="B16" s="91"/>
      <c r="C16" s="104"/>
      <c r="D16" s="91"/>
      <c r="E16" s="91"/>
      <c r="F16" s="91"/>
      <c r="G16" s="91"/>
      <c r="H16" s="91"/>
      <c r="I16" s="91"/>
      <c r="J16" s="101"/>
    </row>
    <row r="17" spans="1:10" x14ac:dyDescent="0.2">
      <c r="A17" s="99"/>
      <c r="B17" s="91"/>
      <c r="C17" s="108" t="s">
        <v>59</v>
      </c>
      <c r="D17" s="91"/>
      <c r="E17" s="91"/>
      <c r="F17" s="91"/>
      <c r="G17" s="91"/>
      <c r="H17" s="91"/>
      <c r="I17" s="91"/>
      <c r="J17" s="101"/>
    </row>
    <row r="18" spans="1:10" x14ac:dyDescent="0.2">
      <c r="A18" s="99">
        <f>A15+1</f>
        <v>9</v>
      </c>
      <c r="B18" s="91"/>
      <c r="C18" s="104" t="s">
        <v>60</v>
      </c>
      <c r="D18" s="91"/>
      <c r="E18" s="91"/>
      <c r="F18" s="91" t="s">
        <v>48</v>
      </c>
      <c r="G18" s="91" t="s">
        <v>61</v>
      </c>
      <c r="H18" s="100" t="s">
        <v>856</v>
      </c>
      <c r="I18" s="91"/>
      <c r="J18" s="101">
        <v>-1118370130.4942241</v>
      </c>
    </row>
    <row r="19" spans="1:10" x14ac:dyDescent="0.2">
      <c r="A19" s="99">
        <f>A18+1</f>
        <v>10</v>
      </c>
      <c r="B19" s="91"/>
      <c r="C19" s="104" t="s">
        <v>62</v>
      </c>
      <c r="D19" s="91"/>
      <c r="E19" s="91"/>
      <c r="F19" s="91" t="s">
        <v>50</v>
      </c>
      <c r="G19" s="91" t="s">
        <v>61</v>
      </c>
      <c r="H19" s="100" t="s">
        <v>857</v>
      </c>
      <c r="I19" s="91"/>
      <c r="J19" s="101">
        <v>0</v>
      </c>
    </row>
    <row r="20" spans="1:10" x14ac:dyDescent="0.2">
      <c r="A20" s="99">
        <f>A19+1</f>
        <v>11</v>
      </c>
      <c r="B20" s="91"/>
      <c r="C20" s="104" t="s">
        <v>63</v>
      </c>
      <c r="D20" s="46"/>
      <c r="E20" s="91"/>
      <c r="F20" s="91" t="s">
        <v>50</v>
      </c>
      <c r="G20" s="91" t="s">
        <v>61</v>
      </c>
      <c r="H20" s="100" t="s">
        <v>858</v>
      </c>
      <c r="I20" s="91"/>
      <c r="J20" s="109">
        <v>-100505621.26748215</v>
      </c>
    </row>
    <row r="21" spans="1:10" x14ac:dyDescent="0.2">
      <c r="A21" s="99">
        <f>A20+1</f>
        <v>12</v>
      </c>
      <c r="B21" s="91"/>
      <c r="C21" s="47" t="s">
        <v>64</v>
      </c>
      <c r="D21" s="46"/>
      <c r="E21" s="91"/>
      <c r="F21" s="91"/>
      <c r="G21" s="91"/>
      <c r="H21" s="91" t="str">
        <f>"Line "&amp;A18&amp;" + Line "&amp;A19&amp;" + Line "&amp;A20&amp;""</f>
        <v>Line 9 + Line 10 + Line 11</v>
      </c>
      <c r="I21" s="91"/>
      <c r="J21" s="101">
        <f>SUM(J18:J20)</f>
        <v>-1218875751.7617061</v>
      </c>
    </row>
    <row r="22" spans="1:10" x14ac:dyDescent="0.2">
      <c r="A22" s="99"/>
      <c r="B22" s="91"/>
      <c r="C22" s="102"/>
      <c r="D22" s="91"/>
      <c r="E22" s="91"/>
      <c r="F22" s="91"/>
      <c r="G22" s="91"/>
      <c r="H22" s="91"/>
      <c r="I22" s="91"/>
      <c r="J22" s="101"/>
    </row>
    <row r="23" spans="1:10" x14ac:dyDescent="0.2">
      <c r="A23" s="99">
        <f>A21+1</f>
        <v>13</v>
      </c>
      <c r="B23" s="91"/>
      <c r="C23" s="110" t="s">
        <v>65</v>
      </c>
      <c r="D23" s="91"/>
      <c r="E23" s="91"/>
      <c r="F23" s="91" t="s">
        <v>50</v>
      </c>
      <c r="G23" s="91"/>
      <c r="H23" s="100" t="s">
        <v>859</v>
      </c>
      <c r="I23" s="91"/>
      <c r="J23" s="101">
        <v>-1123792994.2044671</v>
      </c>
    </row>
    <row r="24" spans="1:10" x14ac:dyDescent="0.2">
      <c r="A24" s="99">
        <f>A23+1</f>
        <v>14</v>
      </c>
      <c r="B24" s="91"/>
      <c r="C24" s="100" t="s">
        <v>66</v>
      </c>
      <c r="D24" s="91"/>
      <c r="E24" s="91"/>
      <c r="F24" s="91" t="s">
        <v>48</v>
      </c>
      <c r="G24" s="91"/>
      <c r="H24" s="100" t="s">
        <v>860</v>
      </c>
      <c r="I24" s="91"/>
      <c r="J24" s="101">
        <v>1012920131.8777215</v>
      </c>
    </row>
    <row r="25" spans="1:10" x14ac:dyDescent="0.2">
      <c r="A25" s="99">
        <f>A24+1</f>
        <v>15</v>
      </c>
      <c r="B25" s="91"/>
      <c r="C25" s="110" t="s">
        <v>67</v>
      </c>
      <c r="D25" s="91"/>
      <c r="E25" s="91"/>
      <c r="F25" s="91" t="s">
        <v>50</v>
      </c>
      <c r="G25" s="91" t="s">
        <v>61</v>
      </c>
      <c r="H25" s="100" t="s">
        <v>861</v>
      </c>
      <c r="I25" s="91"/>
      <c r="J25" s="101">
        <v>-39651975</v>
      </c>
    </row>
    <row r="26" spans="1:10" x14ac:dyDescent="0.2">
      <c r="A26" s="99" t="s">
        <v>68</v>
      </c>
      <c r="B26" s="91"/>
      <c r="C26" s="100" t="s">
        <v>69</v>
      </c>
      <c r="D26" s="91"/>
      <c r="E26" s="91"/>
      <c r="F26" s="91"/>
      <c r="G26" s="91"/>
      <c r="H26" s="102" t="s">
        <v>862</v>
      </c>
      <c r="I26" s="91"/>
      <c r="J26" s="101">
        <v>-14611199.608332802</v>
      </c>
    </row>
    <row r="27" spans="1:10" x14ac:dyDescent="0.2">
      <c r="A27" s="99">
        <v>16</v>
      </c>
      <c r="B27" s="91"/>
      <c r="C27" s="110" t="s">
        <v>70</v>
      </c>
      <c r="D27" s="91"/>
      <c r="E27" s="91"/>
      <c r="F27" s="91" t="s">
        <v>50</v>
      </c>
      <c r="G27" s="91"/>
      <c r="H27" s="100" t="s">
        <v>863</v>
      </c>
      <c r="I27" s="91"/>
      <c r="J27" s="101">
        <v>0</v>
      </c>
    </row>
    <row r="28" spans="1:10" x14ac:dyDescent="0.2">
      <c r="A28" s="99"/>
      <c r="B28" s="91"/>
      <c r="C28" s="110"/>
      <c r="D28" s="91"/>
      <c r="E28" s="91"/>
      <c r="F28" s="91"/>
      <c r="G28" s="91"/>
      <c r="H28" s="91"/>
      <c r="I28" s="91"/>
      <c r="J28" s="91"/>
    </row>
    <row r="29" spans="1:10" x14ac:dyDescent="0.2">
      <c r="A29" s="99">
        <v>17</v>
      </c>
      <c r="B29" s="91"/>
      <c r="C29" s="91" t="s">
        <v>71</v>
      </c>
      <c r="D29" s="91"/>
      <c r="E29" s="91"/>
      <c r="F29" s="91"/>
      <c r="G29" s="91"/>
      <c r="H29" s="91" t="str">
        <f>"L"&amp;A6&amp;"+L"&amp;A7&amp;"+L"&amp;A8&amp;"+L"&amp;A9&amp;"+L"&amp;A15&amp;"+L"&amp;A21&amp;"+"</f>
        <v>L1+L2+L3+L4+L8+L12+</v>
      </c>
      <c r="I29" s="91"/>
      <c r="J29" s="101">
        <f>J6+ J7+J8+J9+J15+J21+J23+J24+J25+J26+J27</f>
        <v>4883744614.4739275</v>
      </c>
    </row>
    <row r="30" spans="1:10" x14ac:dyDescent="0.2">
      <c r="A30" s="99"/>
      <c r="B30" s="91"/>
      <c r="C30" s="91"/>
      <c r="D30" s="91"/>
      <c r="E30" s="91"/>
      <c r="F30" s="91"/>
      <c r="G30" s="91"/>
      <c r="H30" s="91" t="str">
        <f>"L"&amp;A23&amp;"+L"&amp;A24&amp;"+L"&amp;A25&amp;"+L"&amp;A26&amp;"+L"&amp;A27&amp;""</f>
        <v>L13+L14+L15+L15a+L16</v>
      </c>
      <c r="I30" s="91"/>
      <c r="J30" s="101"/>
    </row>
    <row r="31" spans="1:10" x14ac:dyDescent="0.2">
      <c r="A31" s="99"/>
      <c r="B31" s="111" t="s">
        <v>72</v>
      </c>
      <c r="D31" s="91"/>
      <c r="E31" s="91"/>
      <c r="F31" s="91"/>
      <c r="G31" s="91"/>
      <c r="H31" s="91"/>
      <c r="I31" s="91"/>
      <c r="J31" s="101"/>
    </row>
    <row r="32" spans="1:10" x14ac:dyDescent="0.2">
      <c r="A32" s="112" t="s">
        <v>42</v>
      </c>
      <c r="B32" s="91"/>
      <c r="C32" s="111"/>
      <c r="D32" s="91"/>
      <c r="E32" s="91"/>
      <c r="F32" s="91"/>
      <c r="G32" s="91"/>
      <c r="H32" s="91"/>
      <c r="I32" s="91"/>
      <c r="J32" s="101"/>
    </row>
    <row r="33" spans="1:10" x14ac:dyDescent="0.2">
      <c r="A33" s="99">
        <f>A29+1</f>
        <v>18</v>
      </c>
      <c r="B33" s="91"/>
      <c r="C33" s="91" t="s">
        <v>73</v>
      </c>
      <c r="D33" s="91"/>
      <c r="E33" s="91"/>
      <c r="F33" s="91"/>
      <c r="G33" s="102" t="s">
        <v>74</v>
      </c>
      <c r="H33" s="102" t="str">
        <f>"Instruction 1, Line "&amp;B98&amp;""</f>
        <v>Instruction 1, Line j</v>
      </c>
      <c r="I33" s="91"/>
      <c r="J33" s="113">
        <f>E98</f>
        <v>7.3032204412205551E-2</v>
      </c>
    </row>
    <row r="34" spans="1:10" x14ac:dyDescent="0.2">
      <c r="A34" s="94">
        <f>A33+1</f>
        <v>19</v>
      </c>
      <c r="C34" s="102" t="s">
        <v>75</v>
      </c>
      <c r="D34" s="102"/>
      <c r="E34" s="102"/>
      <c r="F34" s="102"/>
      <c r="G34" s="102"/>
      <c r="H34" t="str">
        <f>"Line "&amp;A29&amp;" * Line "&amp;A33&amp;""</f>
        <v>Line 17 * Line 18</v>
      </c>
      <c r="J34" s="116">
        <f>J29*J33</f>
        <v>356670634.98126787</v>
      </c>
    </row>
    <row r="35" spans="1:10" x14ac:dyDescent="0.2">
      <c r="A35" s="94"/>
      <c r="B35" s="96"/>
      <c r="J35" s="91"/>
    </row>
    <row r="36" spans="1:10" x14ac:dyDescent="0.2">
      <c r="A36" s="94"/>
      <c r="B36" s="90" t="s">
        <v>76</v>
      </c>
      <c r="J36" s="91"/>
    </row>
    <row r="37" spans="1:10" x14ac:dyDescent="0.2">
      <c r="A37" s="99"/>
      <c r="B37" s="105"/>
      <c r="C37" s="91"/>
      <c r="D37" s="91"/>
      <c r="E37" s="91"/>
      <c r="F37" s="91"/>
      <c r="G37" s="91"/>
      <c r="H37" s="91"/>
      <c r="I37" s="91"/>
      <c r="J37" s="91"/>
    </row>
    <row r="38" spans="1:10" x14ac:dyDescent="0.2">
      <c r="A38" s="99">
        <f>A34+1</f>
        <v>20</v>
      </c>
      <c r="B38" s="91"/>
      <c r="C38" s="102" t="s">
        <v>77</v>
      </c>
      <c r="D38" s="91"/>
      <c r="E38" s="91"/>
      <c r="F38" s="91"/>
      <c r="G38" s="91"/>
      <c r="H38" s="91"/>
      <c r="I38" s="91"/>
      <c r="J38" s="101">
        <f>(((J29*J42) + J45) *(J43/(1-J43)))+(J44/(1-J43))</f>
        <v>176609752.34572574</v>
      </c>
    </row>
    <row r="39" spans="1:10" x14ac:dyDescent="0.2">
      <c r="A39" s="99"/>
      <c r="B39" s="91"/>
      <c r="C39" s="91"/>
      <c r="D39" s="91"/>
      <c r="E39" s="91"/>
      <c r="F39" s="91"/>
      <c r="G39" s="91"/>
      <c r="H39" s="91"/>
      <c r="I39" s="91"/>
      <c r="J39" s="102"/>
    </row>
    <row r="40" spans="1:10" x14ac:dyDescent="0.2">
      <c r="A40" s="99"/>
      <c r="B40" s="91"/>
      <c r="C40" s="91"/>
      <c r="D40" s="91" t="s">
        <v>78</v>
      </c>
      <c r="E40" s="91"/>
      <c r="F40" s="91"/>
      <c r="G40" s="91"/>
      <c r="H40" s="91"/>
      <c r="I40" s="91"/>
      <c r="J40" s="91"/>
    </row>
    <row r="41" spans="1:10" x14ac:dyDescent="0.2">
      <c r="A41" s="99">
        <f>A38+1</f>
        <v>21</v>
      </c>
      <c r="B41" s="91"/>
      <c r="C41" s="91"/>
      <c r="D41" s="105" t="s">
        <v>79</v>
      </c>
      <c r="E41" s="91"/>
      <c r="F41" s="91"/>
      <c r="G41" s="91"/>
      <c r="H41" s="91" t="str">
        <f>"Line "&amp;A29&amp;""</f>
        <v>Line 17</v>
      </c>
      <c r="I41" s="91"/>
      <c r="J41" s="101">
        <f>J29</f>
        <v>4883744614.4739275</v>
      </c>
    </row>
    <row r="42" spans="1:10" x14ac:dyDescent="0.2">
      <c r="A42" s="99">
        <f>A41+1</f>
        <v>22</v>
      </c>
      <c r="B42" s="91"/>
      <c r="C42" s="91"/>
      <c r="D42" s="104" t="s">
        <v>80</v>
      </c>
      <c r="E42" s="91"/>
      <c r="F42" s="91"/>
      <c r="G42" s="102" t="s">
        <v>81</v>
      </c>
      <c r="H42" s="102" t="str">
        <f>"Instruction 1, Line "&amp;B103&amp;""</f>
        <v>Instruction 1, Line k</v>
      </c>
      <c r="I42" s="91"/>
      <c r="J42" s="115">
        <f>E103</f>
        <v>5.1001483828330106E-2</v>
      </c>
    </row>
    <row r="43" spans="1:10" x14ac:dyDescent="0.2">
      <c r="A43" s="99">
        <f>A42+1</f>
        <v>23</v>
      </c>
      <c r="B43" s="91"/>
      <c r="C43" s="91"/>
      <c r="D43" s="105" t="s">
        <v>82</v>
      </c>
      <c r="E43" s="91"/>
      <c r="F43" s="91"/>
      <c r="G43" s="91"/>
      <c r="H43" s="91" t="s">
        <v>840</v>
      </c>
      <c r="I43" s="91"/>
      <c r="J43" s="115">
        <v>0.40755937049510305</v>
      </c>
    </row>
    <row r="44" spans="1:10" x14ac:dyDescent="0.2">
      <c r="A44" s="99">
        <f>A43+1</f>
        <v>24</v>
      </c>
      <c r="B44" s="91"/>
      <c r="C44" s="91"/>
      <c r="D44" s="105" t="s">
        <v>83</v>
      </c>
      <c r="E44" s="91"/>
      <c r="F44" s="91"/>
      <c r="G44" s="91"/>
      <c r="H44" s="91" t="s">
        <v>841</v>
      </c>
      <c r="I44" s="91"/>
      <c r="J44" s="101">
        <v>2086200</v>
      </c>
    </row>
    <row r="45" spans="1:10" x14ac:dyDescent="0.2">
      <c r="A45" s="99">
        <f>A44+1</f>
        <v>25</v>
      </c>
      <c r="B45" s="91"/>
      <c r="C45" s="91"/>
      <c r="D45" s="105" t="s">
        <v>84</v>
      </c>
      <c r="E45" s="91"/>
      <c r="F45" s="91"/>
      <c r="G45" s="91"/>
      <c r="H45" s="91" t="s">
        <v>842</v>
      </c>
      <c r="I45" s="91"/>
      <c r="J45" s="116">
        <v>2528293</v>
      </c>
    </row>
    <row r="46" spans="1:10" x14ac:dyDescent="0.2">
      <c r="A46" s="99"/>
      <c r="B46" s="105"/>
      <c r="C46" s="91"/>
      <c r="D46" s="91"/>
      <c r="E46" s="91"/>
      <c r="F46" s="91"/>
      <c r="G46" s="91"/>
      <c r="H46" s="91"/>
      <c r="I46" s="91"/>
      <c r="J46" s="91"/>
    </row>
    <row r="47" spans="1:10" x14ac:dyDescent="0.2">
      <c r="A47" s="99"/>
      <c r="B47" s="111" t="s">
        <v>85</v>
      </c>
      <c r="D47" s="91"/>
      <c r="E47" s="91"/>
      <c r="F47" s="91"/>
      <c r="G47" s="91"/>
      <c r="H47" s="91"/>
      <c r="I47" s="91"/>
      <c r="J47" s="91"/>
    </row>
    <row r="48" spans="1:10" x14ac:dyDescent="0.2">
      <c r="A48" s="99">
        <f>A45+1</f>
        <v>26</v>
      </c>
      <c r="B48" s="105"/>
      <c r="C48" s="91" t="s">
        <v>86</v>
      </c>
      <c r="D48" s="91"/>
      <c r="E48" s="91"/>
      <c r="F48" s="91"/>
      <c r="G48" s="91"/>
      <c r="H48" s="91" t="s">
        <v>843</v>
      </c>
      <c r="I48" s="91"/>
      <c r="J48" s="101">
        <v>93536627.127574801</v>
      </c>
    </row>
    <row r="49" spans="1:10" x14ac:dyDescent="0.2">
      <c r="A49" s="99">
        <f t="shared" ref="A49:A60" si="0">A48+1</f>
        <v>27</v>
      </c>
      <c r="B49" s="105"/>
      <c r="C49" s="102" t="s">
        <v>87</v>
      </c>
      <c r="D49" s="91"/>
      <c r="E49" s="91"/>
      <c r="F49" s="91"/>
      <c r="G49" s="91"/>
      <c r="H49" s="91" t="s">
        <v>844</v>
      </c>
      <c r="I49" s="91"/>
      <c r="J49" s="101">
        <v>49549912.274335012</v>
      </c>
    </row>
    <row r="50" spans="1:10" x14ac:dyDescent="0.2">
      <c r="A50" s="117" t="s">
        <v>159</v>
      </c>
      <c r="B50" s="118"/>
      <c r="C50" s="119" t="s">
        <v>160</v>
      </c>
      <c r="D50" s="120"/>
      <c r="E50" s="120"/>
      <c r="F50" s="120"/>
      <c r="G50" s="120"/>
      <c r="H50" s="120" t="s">
        <v>864</v>
      </c>
      <c r="I50" s="120"/>
      <c r="J50" s="121">
        <v>-1422416.9818710689</v>
      </c>
    </row>
    <row r="51" spans="1:10" x14ac:dyDescent="0.2">
      <c r="A51" s="99">
        <f>A49+1</f>
        <v>28</v>
      </c>
      <c r="B51" s="105"/>
      <c r="C51" s="91" t="s">
        <v>88</v>
      </c>
      <c r="D51" s="91"/>
      <c r="E51" s="91"/>
      <c r="F51" s="91"/>
      <c r="G51" s="91"/>
      <c r="H51" s="91" t="s">
        <v>845</v>
      </c>
      <c r="I51" s="91"/>
      <c r="J51" s="101">
        <v>1555832</v>
      </c>
    </row>
    <row r="52" spans="1:10" x14ac:dyDescent="0.2">
      <c r="A52" s="99">
        <f t="shared" si="0"/>
        <v>29</v>
      </c>
      <c r="B52" s="105"/>
      <c r="C52" s="102" t="s">
        <v>89</v>
      </c>
      <c r="D52" s="91"/>
      <c r="E52" s="91"/>
      <c r="F52" s="91"/>
      <c r="G52" s="91"/>
      <c r="H52" s="91" t="s">
        <v>846</v>
      </c>
      <c r="I52" s="91"/>
      <c r="J52" s="101">
        <v>175437868.62126678</v>
      </c>
    </row>
    <row r="53" spans="1:10" x14ac:dyDescent="0.2">
      <c r="A53" s="99">
        <f t="shared" si="0"/>
        <v>30</v>
      </c>
      <c r="B53" s="105"/>
      <c r="C53" s="102" t="s">
        <v>90</v>
      </c>
      <c r="D53" s="91"/>
      <c r="E53" s="91"/>
      <c r="F53" s="91"/>
      <c r="G53" s="91"/>
      <c r="H53" s="91" t="s">
        <v>847</v>
      </c>
      <c r="I53" s="91"/>
      <c r="J53" s="101">
        <v>14445000</v>
      </c>
    </row>
    <row r="54" spans="1:10" x14ac:dyDescent="0.2">
      <c r="A54" s="99">
        <f t="shared" si="0"/>
        <v>31</v>
      </c>
      <c r="B54" s="105"/>
      <c r="C54" s="102" t="s">
        <v>91</v>
      </c>
      <c r="D54" s="91"/>
      <c r="E54" s="91"/>
      <c r="F54" s="91"/>
      <c r="G54" s="91"/>
      <c r="H54" s="91" t="s">
        <v>848</v>
      </c>
      <c r="I54" s="91"/>
      <c r="J54" s="101">
        <v>46994489.336294442</v>
      </c>
    </row>
    <row r="55" spans="1:10" x14ac:dyDescent="0.2">
      <c r="A55" s="99">
        <f t="shared" si="0"/>
        <v>32</v>
      </c>
      <c r="B55" s="105"/>
      <c r="C55" s="91" t="s">
        <v>92</v>
      </c>
      <c r="D55" s="91"/>
      <c r="E55" s="91"/>
      <c r="F55" s="91"/>
      <c r="G55" s="102"/>
      <c r="H55" s="91" t="s">
        <v>849</v>
      </c>
      <c r="I55" s="91"/>
      <c r="J55" s="107">
        <v>-52543043.164500795</v>
      </c>
    </row>
    <row r="56" spans="1:10" x14ac:dyDescent="0.2">
      <c r="A56" s="99">
        <f t="shared" si="0"/>
        <v>33</v>
      </c>
      <c r="B56" s="105"/>
      <c r="C56" s="91" t="s">
        <v>93</v>
      </c>
      <c r="D56" s="91"/>
      <c r="E56" s="91"/>
      <c r="F56" s="91"/>
      <c r="G56" s="91"/>
      <c r="H56" s="91" t="str">
        <f>"Line "&amp;A34&amp;""</f>
        <v>Line 19</v>
      </c>
      <c r="I56" s="91"/>
      <c r="J56" s="101">
        <f>J34</f>
        <v>356670634.98126787</v>
      </c>
    </row>
    <row r="57" spans="1:10" x14ac:dyDescent="0.2">
      <c r="A57" s="99">
        <f t="shared" si="0"/>
        <v>34</v>
      </c>
      <c r="B57" s="105"/>
      <c r="C57" s="91" t="s">
        <v>94</v>
      </c>
      <c r="D57" s="91"/>
      <c r="E57" s="91"/>
      <c r="F57" s="91"/>
      <c r="G57" s="91"/>
      <c r="H57" s="91" t="str">
        <f>"Line "&amp;A38&amp;""</f>
        <v>Line 20</v>
      </c>
      <c r="I57" s="91"/>
      <c r="J57" s="116">
        <f>J38</f>
        <v>176609752.34572574</v>
      </c>
    </row>
    <row r="58" spans="1:10" x14ac:dyDescent="0.2">
      <c r="A58" s="99">
        <f t="shared" si="0"/>
        <v>35</v>
      </c>
      <c r="B58" s="105"/>
      <c r="C58" s="102" t="s">
        <v>95</v>
      </c>
      <c r="D58" s="91"/>
      <c r="E58" s="91"/>
      <c r="F58" s="91"/>
      <c r="G58" s="91"/>
      <c r="H58" s="91" t="s">
        <v>850</v>
      </c>
      <c r="I58" s="91"/>
      <c r="J58" s="116">
        <v>0</v>
      </c>
    </row>
    <row r="59" spans="1:10" x14ac:dyDescent="0.2">
      <c r="A59" s="99">
        <f t="shared" si="0"/>
        <v>36</v>
      </c>
      <c r="B59" s="105"/>
      <c r="C59" s="48" t="s">
        <v>96</v>
      </c>
      <c r="D59" s="49"/>
      <c r="E59" s="91"/>
      <c r="F59" s="91"/>
      <c r="G59" s="91"/>
      <c r="H59" s="91" t="s">
        <v>851</v>
      </c>
      <c r="I59" s="91"/>
      <c r="J59" s="109">
        <v>0</v>
      </c>
    </row>
    <row r="60" spans="1:10" x14ac:dyDescent="0.2">
      <c r="A60" s="99">
        <f t="shared" si="0"/>
        <v>37</v>
      </c>
      <c r="B60" s="105"/>
      <c r="C60" s="102" t="s">
        <v>97</v>
      </c>
      <c r="D60" s="91"/>
      <c r="E60" s="91"/>
      <c r="F60" s="91"/>
      <c r="G60" s="91"/>
      <c r="H60" s="91" t="str">
        <f>"Sum Line "&amp;A48&amp;" to Line "&amp;A59&amp;""</f>
        <v>Sum Line 26 to Line 36</v>
      </c>
      <c r="I60" s="91"/>
      <c r="J60" s="122">
        <f>SUM(J48:J59)</f>
        <v>860834656.54009283</v>
      </c>
    </row>
    <row r="61" spans="1:10" x14ac:dyDescent="0.2">
      <c r="A61" s="99"/>
      <c r="B61" s="105"/>
      <c r="C61" s="91"/>
      <c r="D61" s="91"/>
      <c r="E61" s="91"/>
      <c r="F61" s="91"/>
      <c r="G61" s="91"/>
      <c r="H61" s="91"/>
      <c r="I61" s="91"/>
      <c r="J61" s="101"/>
    </row>
    <row r="62" spans="1:10" ht="12.75" customHeight="1" x14ac:dyDescent="0.2">
      <c r="A62" s="99">
        <f>A60+1</f>
        <v>38</v>
      </c>
      <c r="B62" s="105"/>
      <c r="C62" s="102" t="s">
        <v>98</v>
      </c>
      <c r="D62" s="91"/>
      <c r="E62" s="91"/>
      <c r="F62" s="91"/>
      <c r="G62" s="91"/>
      <c r="H62" s="91" t="s">
        <v>865</v>
      </c>
      <c r="I62" s="91"/>
      <c r="J62" s="101">
        <v>29542762.997239858</v>
      </c>
    </row>
    <row r="63" spans="1:10" x14ac:dyDescent="0.2">
      <c r="A63" s="99"/>
      <c r="B63" s="105"/>
      <c r="C63" s="102"/>
      <c r="D63" s="91"/>
      <c r="E63" s="91"/>
      <c r="F63" s="91"/>
      <c r="G63" s="91"/>
      <c r="H63" s="91"/>
      <c r="I63" s="91"/>
      <c r="J63" s="101"/>
    </row>
    <row r="64" spans="1:10" x14ac:dyDescent="0.2">
      <c r="A64" s="99">
        <f>A62+1</f>
        <v>39</v>
      </c>
      <c r="B64" s="105"/>
      <c r="C64" s="102" t="s">
        <v>99</v>
      </c>
      <c r="D64" s="91"/>
      <c r="E64" s="91"/>
      <c r="F64" s="91"/>
      <c r="G64" s="91"/>
      <c r="H64" s="91" t="str">
        <f>"Line "&amp;A60&amp;" + Line "&amp;A62&amp;""</f>
        <v>Line 37 + Line 38</v>
      </c>
      <c r="I64" s="91"/>
      <c r="J64" s="107">
        <f>J60+J62</f>
        <v>890377419.53733265</v>
      </c>
    </row>
    <row r="65" spans="1:14" x14ac:dyDescent="0.2">
      <c r="A65" s="99"/>
      <c r="B65" s="105"/>
      <c r="C65" s="102"/>
      <c r="D65" s="91"/>
      <c r="E65" s="91"/>
      <c r="F65" s="91"/>
      <c r="G65" s="91"/>
      <c r="H65" s="91"/>
      <c r="I65" s="91"/>
      <c r="J65" s="101"/>
    </row>
    <row r="66" spans="1:14" x14ac:dyDescent="0.2">
      <c r="A66" s="99"/>
      <c r="B66" s="123" t="s">
        <v>100</v>
      </c>
      <c r="C66" s="102"/>
      <c r="D66" s="91"/>
      <c r="E66" s="91"/>
      <c r="F66" s="91"/>
      <c r="G66" s="91"/>
      <c r="H66" s="91"/>
      <c r="I66" s="91"/>
      <c r="J66" s="101"/>
    </row>
    <row r="67" spans="1:14" ht="13.5" thickBot="1" x14ac:dyDescent="0.25">
      <c r="A67" s="95" t="s">
        <v>42</v>
      </c>
      <c r="B67" s="124"/>
      <c r="G67" s="97" t="s">
        <v>101</v>
      </c>
    </row>
    <row r="68" spans="1:14" x14ac:dyDescent="0.2">
      <c r="A68" s="99">
        <f>A64+1</f>
        <v>40</v>
      </c>
      <c r="B68" s="110"/>
      <c r="C68" s="91"/>
      <c r="D68" s="125" t="s">
        <v>102</v>
      </c>
      <c r="E68" s="107">
        <f>J64</f>
        <v>890377419.53733265</v>
      </c>
      <c r="F68" s="91"/>
      <c r="G68" s="91" t="str">
        <f>"Line "&amp;A64&amp;""</f>
        <v>Line 39</v>
      </c>
      <c r="H68" s="91"/>
      <c r="I68" s="91"/>
      <c r="J68" s="126" t="s">
        <v>103</v>
      </c>
      <c r="L68" s="166"/>
    </row>
    <row r="69" spans="1:14" x14ac:dyDescent="0.2">
      <c r="A69" s="99">
        <f>A68+1</f>
        <v>41</v>
      </c>
      <c r="B69" s="110"/>
      <c r="C69" s="91"/>
      <c r="D69" s="125" t="s">
        <v>104</v>
      </c>
      <c r="E69" s="127">
        <v>9.1427999999999995E-3</v>
      </c>
      <c r="F69" s="91"/>
      <c r="G69" s="91" t="s">
        <v>866</v>
      </c>
      <c r="H69" s="91"/>
      <c r="I69" s="91"/>
      <c r="J69" s="128" t="s">
        <v>286</v>
      </c>
    </row>
    <row r="70" spans="1:14" x14ac:dyDescent="0.2">
      <c r="A70" s="99">
        <f>A69+1</f>
        <v>42</v>
      </c>
      <c r="B70" s="110"/>
      <c r="C70" s="91"/>
      <c r="D70" s="130" t="s">
        <v>105</v>
      </c>
      <c r="E70" s="107">
        <v>8140542.671345925</v>
      </c>
      <c r="F70" s="91"/>
      <c r="G70" s="91" t="str">
        <f>"Line "&amp;A68&amp;" * Line "&amp;A69&amp;""</f>
        <v>Line 40 * Line 41</v>
      </c>
      <c r="H70" s="91"/>
      <c r="I70" s="91"/>
      <c r="J70" s="131">
        <f>E73</f>
        <v>900346975.50389218</v>
      </c>
      <c r="L70" s="149"/>
      <c r="M70" s="151"/>
    </row>
    <row r="71" spans="1:14" x14ac:dyDescent="0.2">
      <c r="A71" s="99">
        <f>A70+1</f>
        <v>43</v>
      </c>
      <c r="B71" s="110"/>
      <c r="C71" s="91"/>
      <c r="D71" s="125" t="s">
        <v>106</v>
      </c>
      <c r="E71" s="127">
        <v>2.0541999999999999E-3</v>
      </c>
      <c r="F71" s="91"/>
      <c r="G71" s="91" t="s">
        <v>866</v>
      </c>
      <c r="H71" s="91"/>
      <c r="I71" s="91"/>
      <c r="J71" s="132">
        <v>900376914.4988457</v>
      </c>
      <c r="L71" s="350"/>
      <c r="M71" s="296"/>
      <c r="N71" s="164"/>
    </row>
    <row r="72" spans="1:14" ht="13.5" thickBot="1" x14ac:dyDescent="0.25">
      <c r="A72" s="99">
        <f>A71+1</f>
        <v>44</v>
      </c>
      <c r="B72" s="110"/>
      <c r="C72" s="91"/>
      <c r="D72" s="125" t="s">
        <v>107</v>
      </c>
      <c r="E72" s="107">
        <v>1829013.2952135887</v>
      </c>
      <c r="F72" s="91"/>
      <c r="G72" s="91" t="str">
        <f>"Line "&amp;A70&amp;" * Line "&amp;A71&amp;""</f>
        <v>Line 42 * Line 43</v>
      </c>
      <c r="H72" s="91"/>
      <c r="I72" s="91"/>
      <c r="J72" s="133">
        <f>J70-J71</f>
        <v>-29938.994953513145</v>
      </c>
      <c r="L72" s="149"/>
      <c r="M72" s="151"/>
    </row>
    <row r="73" spans="1:14" x14ac:dyDescent="0.2">
      <c r="A73" s="99">
        <f>A72+1</f>
        <v>45</v>
      </c>
      <c r="B73" s="110"/>
      <c r="C73" s="91"/>
      <c r="D73" s="125" t="s">
        <v>108</v>
      </c>
      <c r="E73" s="107">
        <f>E68+E70+E72</f>
        <v>900346975.50389218</v>
      </c>
      <c r="F73" s="91"/>
      <c r="G73" s="91" t="str">
        <f>"L "&amp;A68&amp;" + L "&amp;A70&amp;" + L "&amp;A72&amp;""</f>
        <v>L 40 + L 42 + L 44</v>
      </c>
      <c r="H73" s="91"/>
      <c r="I73" s="91"/>
      <c r="J73" s="91"/>
    </row>
    <row r="74" spans="1:14" x14ac:dyDescent="0.2">
      <c r="A74" s="91"/>
      <c r="B74" s="134" t="s">
        <v>109</v>
      </c>
      <c r="C74" s="91"/>
      <c r="D74" s="130"/>
      <c r="E74" s="101"/>
      <c r="F74" s="91"/>
      <c r="G74" s="91"/>
      <c r="H74" s="50"/>
      <c r="I74" s="91"/>
      <c r="J74" s="91"/>
    </row>
    <row r="75" spans="1:14" x14ac:dyDescent="0.2">
      <c r="A75" s="99"/>
      <c r="B75" s="102" t="s">
        <v>110</v>
      </c>
      <c r="C75" s="123"/>
      <c r="D75" s="130"/>
      <c r="E75" s="101"/>
      <c r="F75" s="91"/>
      <c r="G75" s="91"/>
      <c r="H75" s="91"/>
      <c r="I75" s="91"/>
      <c r="J75" s="91"/>
    </row>
    <row r="76" spans="1:14" x14ac:dyDescent="0.2">
      <c r="A76" s="99"/>
      <c r="B76" s="102" t="s">
        <v>111</v>
      </c>
      <c r="C76" s="123"/>
      <c r="D76" s="130"/>
      <c r="E76" s="101"/>
      <c r="F76" s="91"/>
      <c r="G76" s="91"/>
      <c r="H76" s="91"/>
      <c r="I76" s="91"/>
      <c r="J76" s="91"/>
    </row>
    <row r="77" spans="1:14" x14ac:dyDescent="0.2">
      <c r="A77" s="99"/>
      <c r="B77" s="100" t="s">
        <v>112</v>
      </c>
      <c r="C77" s="102"/>
      <c r="D77" s="130"/>
      <c r="E77" s="101"/>
      <c r="F77" s="91"/>
      <c r="G77" s="91"/>
      <c r="H77" s="91"/>
      <c r="I77" s="91"/>
      <c r="J77" s="91"/>
    </row>
    <row r="78" spans="1:14" x14ac:dyDescent="0.2">
      <c r="A78" s="99"/>
      <c r="B78" s="100" t="s">
        <v>113</v>
      </c>
      <c r="C78" s="91"/>
      <c r="D78" s="130"/>
      <c r="E78" s="101"/>
      <c r="F78" s="91"/>
      <c r="G78" s="91"/>
      <c r="H78" s="91"/>
      <c r="I78" s="91"/>
      <c r="J78" s="91"/>
    </row>
    <row r="79" spans="1:14" x14ac:dyDescent="0.2">
      <c r="A79" s="99"/>
      <c r="B79" s="91"/>
      <c r="C79" s="91"/>
      <c r="D79" s="91"/>
      <c r="E79" s="91"/>
      <c r="F79" s="91"/>
      <c r="G79" s="91"/>
      <c r="H79" s="91"/>
      <c r="I79" s="91"/>
      <c r="J79" s="91"/>
    </row>
    <row r="80" spans="1:14" x14ac:dyDescent="0.2">
      <c r="A80" s="99"/>
      <c r="B80" s="102" t="s">
        <v>114</v>
      </c>
      <c r="C80" s="91"/>
      <c r="D80" s="91"/>
      <c r="E80" s="91"/>
      <c r="F80" s="91"/>
      <c r="G80" s="91"/>
      <c r="H80" s="91"/>
      <c r="I80" s="91"/>
      <c r="J80" s="91"/>
    </row>
    <row r="81" spans="1:12" x14ac:dyDescent="0.2">
      <c r="A81" s="99"/>
      <c r="B81" s="102"/>
      <c r="C81" s="102" t="s">
        <v>115</v>
      </c>
      <c r="D81" s="91"/>
      <c r="E81" s="91"/>
      <c r="F81" s="91"/>
      <c r="G81" s="91"/>
      <c r="H81" s="91"/>
      <c r="I81" s="91"/>
      <c r="J81" s="91"/>
    </row>
    <row r="82" spans="1:12" x14ac:dyDescent="0.2">
      <c r="A82" s="99"/>
      <c r="B82" s="102"/>
      <c r="C82" s="91"/>
      <c r="D82" s="91"/>
      <c r="E82" s="91"/>
      <c r="F82" s="91"/>
      <c r="G82" s="91"/>
      <c r="H82" s="91"/>
      <c r="I82" s="91"/>
      <c r="J82" s="99" t="s">
        <v>116</v>
      </c>
    </row>
    <row r="83" spans="1:12" x14ac:dyDescent="0.2">
      <c r="A83" s="99"/>
      <c r="B83" s="91"/>
      <c r="C83" s="91"/>
      <c r="D83" s="91"/>
      <c r="E83" s="135" t="s">
        <v>117</v>
      </c>
      <c r="F83" s="136" t="s">
        <v>101</v>
      </c>
      <c r="G83" s="135" t="s">
        <v>118</v>
      </c>
      <c r="H83" s="135" t="s">
        <v>119</v>
      </c>
      <c r="I83" s="91"/>
      <c r="J83" s="135" t="s">
        <v>120</v>
      </c>
    </row>
    <row r="84" spans="1:12" x14ac:dyDescent="0.2">
      <c r="B84" s="137" t="s">
        <v>121</v>
      </c>
      <c r="C84" s="102" t="s">
        <v>122</v>
      </c>
      <c r="D84" s="91"/>
      <c r="E84" s="138">
        <v>9.8000000000000004E-2</v>
      </c>
      <c r="F84" s="91" t="s">
        <v>852</v>
      </c>
      <c r="G84" s="139" t="s">
        <v>282</v>
      </c>
      <c r="H84" s="140" t="s">
        <v>283</v>
      </c>
      <c r="I84" s="102"/>
      <c r="J84" s="141">
        <v>365</v>
      </c>
      <c r="K84" s="102"/>
      <c r="L84" s="102"/>
    </row>
    <row r="85" spans="1:12" x14ac:dyDescent="0.2">
      <c r="B85" s="137" t="s">
        <v>123</v>
      </c>
      <c r="C85" s="102" t="s">
        <v>124</v>
      </c>
      <c r="D85" s="91"/>
      <c r="E85" s="142">
        <v>9.8000000000000004E-2</v>
      </c>
      <c r="F85" s="143" t="s">
        <v>125</v>
      </c>
      <c r="G85" s="139"/>
      <c r="H85" s="140"/>
      <c r="I85" s="102"/>
      <c r="J85" s="141"/>
      <c r="K85" s="102"/>
      <c r="L85" s="102"/>
    </row>
    <row r="86" spans="1:12" x14ac:dyDescent="0.2">
      <c r="B86" s="137" t="s">
        <v>127</v>
      </c>
      <c r="C86" s="102"/>
      <c r="D86" s="91"/>
      <c r="E86" s="144"/>
      <c r="F86" s="143"/>
      <c r="G86" s="145"/>
      <c r="H86" s="145"/>
      <c r="I86" s="125" t="s">
        <v>128</v>
      </c>
      <c r="J86" s="102">
        <f>SUM(J84:J85)</f>
        <v>365</v>
      </c>
      <c r="K86" s="102"/>
      <c r="L86" s="102"/>
    </row>
    <row r="87" spans="1:12" x14ac:dyDescent="0.2">
      <c r="A87" s="91"/>
      <c r="B87" s="137" t="s">
        <v>129</v>
      </c>
      <c r="C87" s="102" t="s">
        <v>130</v>
      </c>
      <c r="D87" s="91"/>
      <c r="E87" s="138">
        <f>((E84*J84) + (E85* J85)) / J86</f>
        <v>9.8000000000000004E-2</v>
      </c>
      <c r="F87" s="102" t="s">
        <v>131</v>
      </c>
      <c r="G87" s="91"/>
      <c r="H87" s="102"/>
      <c r="I87" s="102"/>
      <c r="J87" s="102"/>
      <c r="K87" s="102"/>
      <c r="L87" s="102"/>
    </row>
    <row r="88" spans="1:12" x14ac:dyDescent="0.2">
      <c r="A88" s="99"/>
      <c r="B88" s="102"/>
      <c r="C88" s="91"/>
      <c r="D88" s="91"/>
      <c r="E88" s="91"/>
      <c r="F88" s="91"/>
      <c r="G88" s="91"/>
      <c r="H88" s="102"/>
      <c r="I88" s="102"/>
      <c r="J88" s="102"/>
      <c r="K88" s="102"/>
      <c r="L88" s="102"/>
    </row>
    <row r="89" spans="1:12" x14ac:dyDescent="0.2">
      <c r="A89" s="99"/>
      <c r="B89" s="102" t="s">
        <v>132</v>
      </c>
      <c r="C89" s="91"/>
      <c r="D89" s="91"/>
      <c r="E89" s="91"/>
      <c r="F89" s="91"/>
      <c r="G89" s="91"/>
      <c r="H89" s="102"/>
      <c r="I89" s="102"/>
      <c r="J89" s="102"/>
      <c r="K89" s="102"/>
      <c r="L89" s="102"/>
    </row>
    <row r="90" spans="1:12" x14ac:dyDescent="0.2">
      <c r="A90" s="99"/>
      <c r="B90" s="102"/>
      <c r="C90" s="91"/>
      <c r="D90" s="91"/>
      <c r="E90" s="136" t="s">
        <v>101</v>
      </c>
      <c r="F90" s="91"/>
      <c r="G90" s="91"/>
      <c r="H90" s="102"/>
      <c r="I90" s="102"/>
      <c r="J90" s="102"/>
      <c r="K90" s="102"/>
      <c r="L90" s="102"/>
    </row>
    <row r="91" spans="1:12" x14ac:dyDescent="0.2">
      <c r="A91" s="91"/>
      <c r="B91" s="137" t="s">
        <v>133</v>
      </c>
      <c r="C91" s="102" t="s">
        <v>134</v>
      </c>
      <c r="D91" s="91"/>
      <c r="E91" s="146" t="s">
        <v>135</v>
      </c>
      <c r="F91" s="146"/>
      <c r="G91" s="146"/>
      <c r="H91" s="141"/>
      <c r="I91" s="141"/>
      <c r="J91" s="141"/>
      <c r="K91" s="102"/>
      <c r="L91" s="102"/>
    </row>
    <row r="92" spans="1:12" x14ac:dyDescent="0.2">
      <c r="B92" s="137" t="s">
        <v>136</v>
      </c>
      <c r="C92" s="102" t="s">
        <v>137</v>
      </c>
      <c r="D92" s="91"/>
      <c r="E92" s="146" t="s">
        <v>135</v>
      </c>
      <c r="F92" s="146"/>
      <c r="G92" s="146"/>
      <c r="H92" s="141"/>
      <c r="I92" s="141"/>
      <c r="J92" s="141"/>
      <c r="K92" s="102"/>
      <c r="L92" s="102"/>
    </row>
    <row r="93" spans="1:12" x14ac:dyDescent="0.2">
      <c r="B93" s="91"/>
      <c r="C93" s="102"/>
      <c r="D93" s="91"/>
      <c r="E93" s="145"/>
      <c r="F93" s="91"/>
      <c r="G93" s="91"/>
      <c r="H93" s="91"/>
      <c r="I93" s="102"/>
      <c r="J93" s="102"/>
      <c r="K93" s="102"/>
      <c r="L93" s="102"/>
    </row>
    <row r="94" spans="1:12" x14ac:dyDescent="0.2">
      <c r="B94" s="91"/>
      <c r="C94" s="91"/>
      <c r="D94" s="91"/>
      <c r="E94" s="135" t="s">
        <v>117</v>
      </c>
      <c r="F94" s="136" t="s">
        <v>101</v>
      </c>
      <c r="G94" s="91"/>
      <c r="H94" s="102"/>
      <c r="I94" s="102"/>
      <c r="J94" s="91"/>
    </row>
    <row r="95" spans="1:12" x14ac:dyDescent="0.2">
      <c r="B95" s="137" t="s">
        <v>138</v>
      </c>
      <c r="C95" s="102" t="s">
        <v>139</v>
      </c>
      <c r="D95" s="102"/>
      <c r="E95" s="115">
        <v>2.2030720583875441E-2</v>
      </c>
      <c r="F95" s="91" t="s">
        <v>853</v>
      </c>
      <c r="G95" s="91"/>
      <c r="H95" s="102"/>
      <c r="I95" s="102"/>
      <c r="J95" s="91"/>
    </row>
    <row r="96" spans="1:12" x14ac:dyDescent="0.2">
      <c r="B96" s="137" t="s">
        <v>140</v>
      </c>
      <c r="C96" s="102" t="s">
        <v>141</v>
      </c>
      <c r="D96" s="91"/>
      <c r="E96" s="115">
        <v>5.011336782410134E-3</v>
      </c>
      <c r="F96" s="91" t="s">
        <v>854</v>
      </c>
      <c r="G96" s="91"/>
      <c r="H96" s="102"/>
      <c r="I96" s="102"/>
      <c r="J96" s="91"/>
    </row>
    <row r="97" spans="1:10" x14ac:dyDescent="0.2">
      <c r="B97" s="137" t="s">
        <v>142</v>
      </c>
      <c r="C97" s="102" t="s">
        <v>143</v>
      </c>
      <c r="D97" s="91"/>
      <c r="E97" s="207">
        <v>4.5990147045919971E-2</v>
      </c>
      <c r="F97" s="91" t="s">
        <v>855</v>
      </c>
      <c r="G97" s="102"/>
      <c r="H97" s="102"/>
      <c r="I97" s="91"/>
      <c r="J97" s="91"/>
    </row>
    <row r="98" spans="1:10" x14ac:dyDescent="0.2">
      <c r="A98" s="91"/>
      <c r="B98" s="99" t="s">
        <v>144</v>
      </c>
      <c r="C98" s="104" t="s">
        <v>73</v>
      </c>
      <c r="D98" s="91"/>
      <c r="E98" s="113">
        <f>SUM(E95:E97)</f>
        <v>7.3032204412205551E-2</v>
      </c>
      <c r="F98" s="101" t="str">
        <f>"Sum of Lines "&amp;B92&amp;" to "&amp;B96&amp;""</f>
        <v>Sum of Lines f to h</v>
      </c>
      <c r="G98" s="147"/>
      <c r="H98" s="91"/>
      <c r="I98" s="91"/>
      <c r="J98" s="148"/>
    </row>
    <row r="99" spans="1:10" x14ac:dyDescent="0.2">
      <c r="A99" s="99"/>
      <c r="B99" s="91"/>
      <c r="C99" s="51"/>
      <c r="D99" s="52"/>
      <c r="E99" s="101"/>
      <c r="F99" s="101"/>
      <c r="G99" s="147"/>
      <c r="H99" s="101"/>
      <c r="I99" s="91"/>
      <c r="J99" s="148"/>
    </row>
    <row r="100" spans="1:10" x14ac:dyDescent="0.2">
      <c r="A100" s="99"/>
      <c r="B100" s="102" t="s">
        <v>145</v>
      </c>
      <c r="C100" s="91"/>
      <c r="D100" s="91"/>
      <c r="E100" s="91"/>
      <c r="F100" s="91"/>
      <c r="G100" s="91"/>
      <c r="H100" s="91"/>
      <c r="I100" s="91"/>
      <c r="J100" s="91"/>
    </row>
    <row r="101" spans="1:10" x14ac:dyDescent="0.2">
      <c r="A101" s="99"/>
      <c r="B101" s="91"/>
      <c r="C101" s="91"/>
      <c r="D101" s="91"/>
      <c r="E101" s="91"/>
      <c r="F101" s="91"/>
      <c r="G101" s="91"/>
      <c r="H101" s="91"/>
      <c r="I101" s="91"/>
      <c r="J101" s="91"/>
    </row>
    <row r="102" spans="1:10" x14ac:dyDescent="0.2">
      <c r="A102" s="99"/>
      <c r="B102" s="91"/>
      <c r="C102" s="91"/>
      <c r="D102" s="91"/>
      <c r="E102" s="135" t="s">
        <v>117</v>
      </c>
      <c r="F102" s="136" t="s">
        <v>101</v>
      </c>
      <c r="G102" s="91"/>
      <c r="H102" s="91"/>
      <c r="I102" s="91"/>
      <c r="J102" s="91"/>
    </row>
    <row r="103" spans="1:10" x14ac:dyDescent="0.2">
      <c r="A103" s="91"/>
      <c r="B103" s="137" t="s">
        <v>146</v>
      </c>
      <c r="C103" s="91"/>
      <c r="D103" s="91"/>
      <c r="E103" s="115">
        <f>E96+E97</f>
        <v>5.1001483828330106E-2</v>
      </c>
      <c r="F103" s="101" t="str">
        <f>"Sum of Lines "&amp;B95&amp;" to "&amp;B96&amp;""</f>
        <v>Sum of Lines g to h</v>
      </c>
      <c r="G103" s="91"/>
      <c r="H103" s="91"/>
      <c r="I103" s="91"/>
      <c r="J103" s="91"/>
    </row>
    <row r="104" spans="1:10" x14ac:dyDescent="0.2">
      <c r="A104" s="99"/>
      <c r="B104" s="91"/>
      <c r="C104" s="91"/>
      <c r="D104" s="91"/>
      <c r="E104" s="115"/>
      <c r="F104" s="101"/>
      <c r="G104" s="91"/>
      <c r="H104" s="91"/>
      <c r="I104" s="91"/>
      <c r="J104" s="91"/>
    </row>
    <row r="105" spans="1:10" x14ac:dyDescent="0.2">
      <c r="A105" s="99"/>
      <c r="B105" s="100" t="s">
        <v>147</v>
      </c>
      <c r="C105" s="91"/>
      <c r="D105" s="91"/>
      <c r="E105" s="147"/>
      <c r="F105" s="147"/>
      <c r="G105" s="147"/>
      <c r="H105" s="101"/>
      <c r="I105" s="91"/>
      <c r="J105" s="91"/>
    </row>
    <row r="106" spans="1:10" x14ac:dyDescent="0.2">
      <c r="A106" s="99"/>
      <c r="B106" s="143" t="s">
        <v>148</v>
      </c>
      <c r="C106" s="91"/>
      <c r="D106" s="91"/>
      <c r="E106" s="91"/>
      <c r="F106" s="91"/>
      <c r="G106" s="91"/>
      <c r="H106" s="91"/>
      <c r="I106" s="91"/>
      <c r="J106" s="91"/>
    </row>
    <row r="107" spans="1:10" x14ac:dyDescent="0.2">
      <c r="A107" s="94"/>
      <c r="B107" s="143" t="s">
        <v>149</v>
      </c>
      <c r="C107" s="91"/>
      <c r="D107" s="99"/>
      <c r="E107" s="99"/>
      <c r="F107" s="99"/>
      <c r="G107" s="99"/>
      <c r="H107" s="99"/>
      <c r="I107" s="91"/>
      <c r="J107" s="91"/>
    </row>
    <row r="108" spans="1:10" x14ac:dyDescent="0.2">
      <c r="A108" s="94"/>
      <c r="B108" s="100" t="s">
        <v>150</v>
      </c>
      <c r="C108" s="91"/>
      <c r="D108" s="99"/>
      <c r="E108" s="99"/>
      <c r="F108" s="99"/>
      <c r="G108" s="99"/>
      <c r="H108" s="99"/>
      <c r="I108" s="91"/>
      <c r="J108" s="91"/>
    </row>
    <row r="109" spans="1:10" x14ac:dyDescent="0.2">
      <c r="A109" s="94"/>
      <c r="B109" s="91" t="s">
        <v>151</v>
      </c>
      <c r="C109" s="53"/>
      <c r="D109" s="53"/>
      <c r="E109" s="135"/>
      <c r="F109" s="135"/>
      <c r="G109" s="135"/>
      <c r="H109" s="135"/>
      <c r="I109" s="91"/>
      <c r="J109" s="91"/>
    </row>
    <row r="110" spans="1:10" x14ac:dyDescent="0.2">
      <c r="A110" s="94"/>
    </row>
    <row r="111" spans="1:10" x14ac:dyDescent="0.2">
      <c r="A111" s="94"/>
    </row>
    <row r="112" spans="1:10" x14ac:dyDescent="0.2">
      <c r="A112" s="94"/>
    </row>
    <row r="113" spans="1:10" x14ac:dyDescent="0.2">
      <c r="A113" s="94"/>
      <c r="C113" s="51"/>
      <c r="E113" s="101"/>
      <c r="F113" s="101"/>
      <c r="H113" s="149"/>
      <c r="J113" s="150"/>
    </row>
    <row r="114" spans="1:10" x14ac:dyDescent="0.2">
      <c r="A114" s="94"/>
      <c r="C114" s="51"/>
      <c r="E114" s="101"/>
      <c r="F114" s="101"/>
      <c r="H114" s="149"/>
      <c r="J114" s="150"/>
    </row>
    <row r="115" spans="1:10" x14ac:dyDescent="0.2">
      <c r="A115" s="95"/>
      <c r="C115" s="51"/>
      <c r="E115" s="101"/>
      <c r="F115" s="101"/>
      <c r="H115" s="149"/>
      <c r="J115" s="150"/>
    </row>
    <row r="116" spans="1:10" x14ac:dyDescent="0.2">
      <c r="A116" s="94"/>
      <c r="D116" s="54"/>
      <c r="E116" s="101"/>
      <c r="F116" s="101"/>
      <c r="G116" s="151"/>
      <c r="H116" s="149"/>
      <c r="J116" s="150"/>
    </row>
    <row r="117" spans="1:10" x14ac:dyDescent="0.2">
      <c r="A117" s="94"/>
      <c r="C117" s="51"/>
      <c r="D117" s="152"/>
      <c r="E117" s="153"/>
      <c r="F117" s="149"/>
      <c r="G117" s="151"/>
      <c r="H117" s="149"/>
      <c r="J117" s="150"/>
    </row>
    <row r="118" spans="1:10" x14ac:dyDescent="0.2">
      <c r="A118" s="94"/>
      <c r="C118" s="51"/>
      <c r="D118" s="152"/>
      <c r="E118" s="149"/>
      <c r="F118" s="149"/>
      <c r="G118" s="151"/>
      <c r="H118" s="149"/>
      <c r="J118" s="150"/>
    </row>
    <row r="119" spans="1:10" x14ac:dyDescent="0.2">
      <c r="A119" s="94"/>
    </row>
    <row r="120" spans="1:10" x14ac:dyDescent="0.2">
      <c r="A120" s="94"/>
      <c r="B120" s="90"/>
    </row>
    <row r="121" spans="1:10" x14ac:dyDescent="0.2">
      <c r="A121" s="94"/>
    </row>
    <row r="122" spans="1:10" x14ac:dyDescent="0.2">
      <c r="A122" s="94"/>
    </row>
    <row r="123" spans="1:10" x14ac:dyDescent="0.2">
      <c r="A123" s="94"/>
      <c r="F123" s="94"/>
    </row>
    <row r="124" spans="1:10" x14ac:dyDescent="0.2">
      <c r="A124" s="94"/>
      <c r="F124" s="94"/>
    </row>
    <row r="125" spans="1:10" x14ac:dyDescent="0.2">
      <c r="A125" s="94"/>
      <c r="D125" s="94"/>
      <c r="E125" s="94"/>
      <c r="F125" s="94"/>
      <c r="H125" s="94"/>
    </row>
    <row r="126" spans="1:10" x14ac:dyDescent="0.2">
      <c r="A126" s="94"/>
      <c r="D126" s="94"/>
      <c r="E126" s="94"/>
      <c r="F126" s="94"/>
      <c r="G126" s="94"/>
      <c r="H126" s="154"/>
    </row>
    <row r="127" spans="1:10" x14ac:dyDescent="0.2">
      <c r="A127" s="95"/>
      <c r="C127" s="55"/>
      <c r="D127" s="55"/>
      <c r="E127" s="98"/>
      <c r="F127" s="155"/>
      <c r="G127" s="98"/>
      <c r="H127" s="154"/>
    </row>
    <row r="128" spans="1:10" x14ac:dyDescent="0.2">
      <c r="A128" s="94"/>
      <c r="C128" s="56"/>
      <c r="D128" s="52"/>
      <c r="E128" s="101"/>
      <c r="F128" s="101"/>
      <c r="G128" s="138"/>
      <c r="H128" s="149"/>
    </row>
    <row r="129" spans="1:8" x14ac:dyDescent="0.2">
      <c r="A129" s="94"/>
      <c r="C129" s="51"/>
      <c r="D129" s="52"/>
      <c r="E129" s="101"/>
      <c r="F129" s="101"/>
      <c r="G129" s="138"/>
      <c r="H129" s="149"/>
    </row>
    <row r="130" spans="1:8" x14ac:dyDescent="0.2">
      <c r="A130" s="94"/>
      <c r="C130" s="51"/>
      <c r="D130" s="52"/>
      <c r="E130" s="101"/>
      <c r="F130" s="101"/>
      <c r="G130" s="138"/>
      <c r="H130" s="149"/>
    </row>
    <row r="131" spans="1:8" x14ac:dyDescent="0.2">
      <c r="A131" s="94"/>
      <c r="C131" s="56"/>
      <c r="D131" s="52"/>
      <c r="E131" s="101"/>
      <c r="F131" s="101"/>
      <c r="G131" s="138"/>
      <c r="H131" s="149"/>
    </row>
    <row r="132" spans="1:8" x14ac:dyDescent="0.2">
      <c r="A132" s="94"/>
      <c r="C132" s="51"/>
      <c r="D132" s="52"/>
      <c r="E132" s="101"/>
      <c r="F132" s="101"/>
      <c r="G132" s="138"/>
      <c r="H132" s="149"/>
    </row>
    <row r="133" spans="1:8" x14ac:dyDescent="0.2">
      <c r="A133" s="94"/>
      <c r="C133" s="51"/>
      <c r="D133" s="52"/>
      <c r="E133" s="101"/>
      <c r="F133" s="101"/>
      <c r="G133" s="138"/>
      <c r="H133" s="149"/>
    </row>
    <row r="134" spans="1:8" x14ac:dyDescent="0.2">
      <c r="A134" s="94"/>
      <c r="C134" s="56"/>
      <c r="D134" s="52"/>
      <c r="E134" s="101"/>
      <c r="F134" s="101"/>
      <c r="G134" s="138"/>
      <c r="H134" s="149"/>
    </row>
    <row r="135" spans="1:8" x14ac:dyDescent="0.2">
      <c r="A135" s="94"/>
      <c r="C135" s="51"/>
      <c r="D135" s="52"/>
      <c r="E135" s="101"/>
      <c r="F135" s="101"/>
      <c r="G135" s="138"/>
      <c r="H135" s="149"/>
    </row>
    <row r="136" spans="1:8" x14ac:dyDescent="0.2">
      <c r="A136" s="94"/>
      <c r="C136" s="51"/>
      <c r="D136" s="52"/>
      <c r="E136" s="101"/>
      <c r="F136" s="101"/>
      <c r="G136" s="138"/>
      <c r="H136" s="149"/>
    </row>
    <row r="137" spans="1:8" x14ac:dyDescent="0.2">
      <c r="A137" s="94"/>
      <c r="C137" s="56"/>
      <c r="D137" s="52"/>
      <c r="E137" s="101"/>
      <c r="F137" s="101"/>
      <c r="G137" s="138"/>
      <c r="H137" s="149"/>
    </row>
    <row r="138" spans="1:8" x14ac:dyDescent="0.2">
      <c r="A138" s="94"/>
      <c r="C138" s="56"/>
      <c r="D138" s="52"/>
      <c r="E138" s="101"/>
      <c r="F138" s="101"/>
      <c r="G138" s="138"/>
      <c r="H138" s="149"/>
    </row>
    <row r="139" spans="1:8" x14ac:dyDescent="0.2">
      <c r="A139" s="94"/>
      <c r="C139" s="51"/>
      <c r="D139" s="52"/>
      <c r="E139" s="101"/>
      <c r="F139" s="101"/>
      <c r="G139" s="138"/>
      <c r="H139" s="153"/>
    </row>
    <row r="140" spans="1:8" x14ac:dyDescent="0.2">
      <c r="A140" s="94"/>
      <c r="E140" s="91"/>
      <c r="F140" s="91"/>
      <c r="G140" s="91"/>
      <c r="H140" s="149"/>
    </row>
    <row r="141" spans="1:8" x14ac:dyDescent="0.2">
      <c r="A141" s="94"/>
      <c r="C141" s="51"/>
      <c r="D141" s="52"/>
      <c r="E141" s="91"/>
      <c r="F141" s="156"/>
      <c r="G141" s="138"/>
      <c r="H141" s="129"/>
    </row>
    <row r="142" spans="1:8" x14ac:dyDescent="0.2">
      <c r="A142" s="94"/>
      <c r="B142" s="90"/>
      <c r="C142" s="51"/>
      <c r="D142" s="52"/>
      <c r="E142" s="91"/>
      <c r="F142" s="156"/>
      <c r="G142" s="138"/>
      <c r="H142" s="129"/>
    </row>
    <row r="143" spans="1:8" x14ac:dyDescent="0.2">
      <c r="A143" s="95"/>
      <c r="B143" s="90"/>
      <c r="C143" s="51"/>
      <c r="D143" s="52"/>
      <c r="E143" s="91"/>
      <c r="F143" s="156"/>
      <c r="G143" s="138"/>
      <c r="H143" s="129"/>
    </row>
    <row r="144" spans="1:8" x14ac:dyDescent="0.2">
      <c r="A144" s="94"/>
      <c r="C144" s="51"/>
      <c r="D144" s="57"/>
      <c r="E144" s="101"/>
      <c r="F144" s="157"/>
      <c r="G144" s="138"/>
      <c r="H144" s="129"/>
    </row>
    <row r="145" spans="1:10" x14ac:dyDescent="0.2">
      <c r="A145" s="94"/>
      <c r="C145" s="51"/>
      <c r="D145" s="158"/>
      <c r="E145" s="101"/>
      <c r="F145" s="157"/>
      <c r="G145" s="138"/>
      <c r="H145" s="129"/>
    </row>
    <row r="146" spans="1:10" x14ac:dyDescent="0.2">
      <c r="A146" s="94"/>
      <c r="C146" s="51"/>
      <c r="D146" s="158"/>
      <c r="E146" s="153"/>
      <c r="F146" s="159"/>
      <c r="G146" s="138"/>
      <c r="H146" s="129"/>
    </row>
    <row r="147" spans="1:10" x14ac:dyDescent="0.2">
      <c r="A147" s="94"/>
      <c r="C147" s="51"/>
      <c r="D147" s="57"/>
      <c r="E147" s="149"/>
      <c r="F147" s="129"/>
      <c r="G147" s="138"/>
      <c r="H147" s="129"/>
    </row>
    <row r="148" spans="1:10" x14ac:dyDescent="0.2">
      <c r="A148" s="94"/>
      <c r="C148" s="51"/>
      <c r="D148" s="52"/>
      <c r="F148" s="129"/>
      <c r="G148" s="138"/>
      <c r="H148" s="129"/>
    </row>
    <row r="149" spans="1:10" x14ac:dyDescent="0.2">
      <c r="A149" s="94"/>
    </row>
    <row r="150" spans="1:10" x14ac:dyDescent="0.2">
      <c r="A150" s="94"/>
    </row>
    <row r="151" spans="1:10" x14ac:dyDescent="0.2">
      <c r="A151" s="94"/>
    </row>
    <row r="152" spans="1:10" x14ac:dyDescent="0.2">
      <c r="A152" s="94"/>
      <c r="B152" s="90"/>
    </row>
    <row r="153" spans="1:10" x14ac:dyDescent="0.2">
      <c r="A153" s="94"/>
      <c r="B153" s="151"/>
    </row>
    <row r="154" spans="1:10" x14ac:dyDescent="0.2">
      <c r="A154" s="94"/>
      <c r="B154" s="151"/>
    </row>
    <row r="155" spans="1:10" x14ac:dyDescent="0.2">
      <c r="A155" s="94"/>
      <c r="B155" s="151"/>
    </row>
    <row r="156" spans="1:10" x14ac:dyDescent="0.2">
      <c r="A156" s="94"/>
    </row>
    <row r="157" spans="1:10" x14ac:dyDescent="0.2">
      <c r="A157" s="94"/>
      <c r="B157" s="90"/>
    </row>
    <row r="158" spans="1:10" x14ac:dyDescent="0.2">
      <c r="A158" s="94"/>
    </row>
    <row r="159" spans="1:10" x14ac:dyDescent="0.2">
      <c r="A159" s="95"/>
      <c r="C159" s="55"/>
      <c r="D159" s="98"/>
      <c r="G159" s="91"/>
      <c r="H159" s="91"/>
      <c r="I159" s="91"/>
      <c r="J159" s="91"/>
    </row>
    <row r="160" spans="1:10" x14ac:dyDescent="0.2">
      <c r="A160" s="94"/>
      <c r="C160" s="56"/>
      <c r="D160" s="160"/>
      <c r="F160" s="161"/>
      <c r="G160" s="91"/>
      <c r="H160" s="91"/>
      <c r="I160" s="91"/>
      <c r="J160" s="91"/>
    </row>
    <row r="161" spans="1:10" x14ac:dyDescent="0.2">
      <c r="A161" s="94"/>
      <c r="C161" s="51"/>
      <c r="D161" s="160"/>
      <c r="F161" s="161"/>
      <c r="G161" s="91"/>
      <c r="H161" s="91"/>
      <c r="I161" s="91"/>
      <c r="J161" s="91"/>
    </row>
    <row r="162" spans="1:10" x14ac:dyDescent="0.2">
      <c r="A162" s="94"/>
      <c r="C162" s="51"/>
      <c r="D162" s="160"/>
      <c r="F162" s="161"/>
      <c r="G162" s="91"/>
      <c r="H162" s="91"/>
      <c r="I162" s="91"/>
      <c r="J162" s="91"/>
    </row>
    <row r="163" spans="1:10" x14ac:dyDescent="0.2">
      <c r="A163" s="94"/>
      <c r="C163" s="56"/>
      <c r="D163" s="160"/>
      <c r="F163" s="161"/>
      <c r="G163" s="91"/>
      <c r="H163" s="91"/>
      <c r="I163" s="91"/>
      <c r="J163" s="91"/>
    </row>
    <row r="164" spans="1:10" x14ac:dyDescent="0.2">
      <c r="A164" s="94"/>
      <c r="C164" s="51"/>
      <c r="D164" s="160"/>
      <c r="F164" s="161"/>
      <c r="G164" s="91"/>
      <c r="H164" s="91"/>
      <c r="I164" s="91"/>
      <c r="J164" s="91"/>
    </row>
    <row r="165" spans="1:10" x14ac:dyDescent="0.2">
      <c r="A165" s="94"/>
      <c r="C165" s="51"/>
      <c r="D165" s="160"/>
      <c r="F165" s="161"/>
      <c r="G165" s="91"/>
      <c r="H165" s="91"/>
      <c r="I165" s="91"/>
      <c r="J165" s="91"/>
    </row>
    <row r="166" spans="1:10" x14ac:dyDescent="0.2">
      <c r="A166" s="94"/>
      <c r="C166" s="56"/>
      <c r="D166" s="160"/>
      <c r="F166" s="161"/>
      <c r="G166" s="91"/>
      <c r="H166" s="91"/>
      <c r="I166" s="91"/>
      <c r="J166" s="91"/>
    </row>
    <row r="167" spans="1:10" x14ac:dyDescent="0.2">
      <c r="A167" s="94"/>
      <c r="C167" s="51"/>
      <c r="D167" s="160"/>
      <c r="F167" s="161"/>
      <c r="G167" s="91"/>
      <c r="H167" s="91"/>
      <c r="I167" s="91"/>
      <c r="J167" s="91"/>
    </row>
    <row r="168" spans="1:10" x14ac:dyDescent="0.2">
      <c r="A168" s="94"/>
      <c r="C168" s="51"/>
      <c r="D168" s="160"/>
      <c r="F168" s="161"/>
      <c r="G168" s="91"/>
      <c r="H168" s="91"/>
      <c r="I168" s="91"/>
      <c r="J168" s="91"/>
    </row>
    <row r="169" spans="1:10" x14ac:dyDescent="0.2">
      <c r="A169" s="94"/>
      <c r="C169" s="56"/>
      <c r="D169" s="160"/>
      <c r="F169" s="161"/>
      <c r="G169" s="91"/>
      <c r="H169" s="91"/>
      <c r="I169" s="91"/>
      <c r="J169" s="91"/>
    </row>
    <row r="170" spans="1:10" x14ac:dyDescent="0.2">
      <c r="A170" s="94"/>
      <c r="C170" s="56"/>
      <c r="D170" s="160"/>
      <c r="F170" s="161"/>
    </row>
    <row r="171" spans="1:10" x14ac:dyDescent="0.2">
      <c r="A171" s="94"/>
      <c r="C171" s="51"/>
      <c r="D171" s="162"/>
      <c r="F171" s="163"/>
    </row>
    <row r="172" spans="1:10" x14ac:dyDescent="0.2">
      <c r="A172" s="94"/>
      <c r="C172" s="54"/>
      <c r="D172" s="160"/>
    </row>
  </sheetData>
  <pageMargins left="0.75" right="0.75" top="1" bottom="1" header="0.5" footer="0.5"/>
  <pageSetup scale="80" orientation="landscape" cellComments="asDisplayed" r:id="rId1"/>
  <headerFooter alignWithMargins="0">
    <oddHeader>&amp;CSchedule 4
True Up TRR
(Revised 2014 True Up TRR)&amp;RTO2020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T247"/>
  <sheetViews>
    <sheetView zoomScale="110" zoomScaleNormal="110" zoomScalePageLayoutView="80" workbookViewId="0">
      <selection activeCell="A3" sqref="A3"/>
    </sheetView>
  </sheetViews>
  <sheetFormatPr defaultRowHeight="12.75" x14ac:dyDescent="0.2"/>
  <cols>
    <col min="1" max="1" width="6.28515625" style="296" customWidth="1"/>
    <col min="2" max="2" width="8.5703125" style="119" customWidth="1"/>
    <col min="3" max="3" width="9.85546875" style="296" customWidth="1"/>
    <col min="4" max="4" width="51.5703125" style="119" customWidth="1"/>
    <col min="5" max="5" width="16.28515625" style="292" customWidth="1"/>
    <col min="6" max="6" width="16.140625" style="292" customWidth="1"/>
    <col min="7" max="7" width="18.42578125" style="292" bestFit="1" customWidth="1"/>
    <col min="8" max="8" width="15.85546875" style="293" bestFit="1" customWidth="1"/>
    <col min="9" max="9" width="16.85546875" style="293" bestFit="1" customWidth="1"/>
    <col min="10" max="10" width="15.7109375" style="292" customWidth="1"/>
    <col min="11" max="11" width="6.5703125" style="294" customWidth="1"/>
    <col min="12" max="12" width="16.42578125" style="295" customWidth="1"/>
    <col min="13" max="13" width="17.140625" style="263" bestFit="1" customWidth="1"/>
    <col min="14" max="14" width="18.42578125" style="292" bestFit="1" customWidth="1"/>
    <col min="15" max="15" width="8.5703125" style="263" customWidth="1"/>
  </cols>
  <sheetData>
    <row r="1" spans="1:15" x14ac:dyDescent="0.2">
      <c r="A1" s="212"/>
      <c r="B1" s="213" t="s">
        <v>280</v>
      </c>
      <c r="C1" s="214" t="s">
        <v>291</v>
      </c>
      <c r="D1" s="213" t="s">
        <v>301</v>
      </c>
      <c r="E1" s="214" t="s">
        <v>312</v>
      </c>
      <c r="F1" s="213" t="s">
        <v>302</v>
      </c>
      <c r="G1" s="214" t="s">
        <v>322</v>
      </c>
      <c r="H1" s="213" t="s">
        <v>303</v>
      </c>
      <c r="I1" s="214" t="s">
        <v>313</v>
      </c>
      <c r="J1" s="213" t="s">
        <v>304</v>
      </c>
      <c r="K1" s="214" t="s">
        <v>305</v>
      </c>
      <c r="L1" s="213" t="s">
        <v>306</v>
      </c>
      <c r="M1" s="214" t="s">
        <v>323</v>
      </c>
      <c r="N1" s="213" t="s">
        <v>314</v>
      </c>
      <c r="O1" s="214" t="s">
        <v>315</v>
      </c>
    </row>
    <row r="2" spans="1:15" x14ac:dyDescent="0.2">
      <c r="A2" s="215"/>
      <c r="B2" s="216"/>
      <c r="C2" s="216"/>
      <c r="D2" s="216"/>
      <c r="E2" s="217"/>
      <c r="F2" s="217"/>
      <c r="G2" s="504" t="s">
        <v>324</v>
      </c>
      <c r="H2" s="505"/>
      <c r="I2" s="506"/>
      <c r="J2" s="504" t="s">
        <v>325</v>
      </c>
      <c r="K2" s="505"/>
      <c r="L2" s="505"/>
      <c r="M2" s="506"/>
      <c r="N2" s="218" t="s">
        <v>326</v>
      </c>
      <c r="O2" s="215"/>
    </row>
    <row r="3" spans="1:15" ht="25.5" x14ac:dyDescent="0.2">
      <c r="A3" s="219" t="s">
        <v>292</v>
      </c>
      <c r="B3" s="220" t="s">
        <v>327</v>
      </c>
      <c r="C3" s="221" t="s">
        <v>328</v>
      </c>
      <c r="D3" s="220" t="s">
        <v>329</v>
      </c>
      <c r="E3" s="222" t="s">
        <v>330</v>
      </c>
      <c r="F3" s="223" t="s">
        <v>331</v>
      </c>
      <c r="G3" s="223" t="s">
        <v>307</v>
      </c>
      <c r="H3" s="224" t="s">
        <v>332</v>
      </c>
      <c r="I3" s="224" t="s">
        <v>333</v>
      </c>
      <c r="J3" s="222" t="s">
        <v>307</v>
      </c>
      <c r="K3" s="225" t="s">
        <v>334</v>
      </c>
      <c r="L3" s="226" t="s">
        <v>335</v>
      </c>
      <c r="M3" s="227" t="s">
        <v>310</v>
      </c>
      <c r="N3" s="222" t="s">
        <v>307</v>
      </c>
      <c r="O3" s="227" t="s">
        <v>45</v>
      </c>
    </row>
    <row r="4" spans="1:15" x14ac:dyDescent="0.2">
      <c r="A4" s="228" t="s">
        <v>336</v>
      </c>
      <c r="B4" s="229">
        <v>450</v>
      </c>
      <c r="C4" s="229" t="s">
        <v>337</v>
      </c>
      <c r="D4" s="230" t="s">
        <v>338</v>
      </c>
      <c r="E4" s="231">
        <v>6638263.2300000004</v>
      </c>
      <c r="F4" s="232" t="str">
        <f>$G$2</f>
        <v>Traditional OOR</v>
      </c>
      <c r="G4" s="232">
        <f>IF(F4=$G$2,E4,0)</f>
        <v>6638263.2300000004</v>
      </c>
      <c r="H4" s="233">
        <v>0</v>
      </c>
      <c r="I4" s="234">
        <f>G4-H4</f>
        <v>6638263.2300000004</v>
      </c>
      <c r="J4" s="232">
        <f>IF(F4=$J$2,E4,0)</f>
        <v>0</v>
      </c>
      <c r="K4" s="235"/>
      <c r="L4" s="231"/>
      <c r="M4" s="236">
        <f>J4-L4</f>
        <v>0</v>
      </c>
      <c r="N4" s="232">
        <f>IF(F4=$N$2,E4,0)</f>
        <v>0</v>
      </c>
      <c r="O4" s="233">
        <v>1</v>
      </c>
    </row>
    <row r="5" spans="1:15" x14ac:dyDescent="0.2">
      <c r="A5" s="237" t="s">
        <v>339</v>
      </c>
      <c r="B5" s="229">
        <v>450</v>
      </c>
      <c r="C5" s="238" t="s">
        <v>340</v>
      </c>
      <c r="D5" s="230" t="s">
        <v>341</v>
      </c>
      <c r="E5" s="231">
        <v>10336556.26</v>
      </c>
      <c r="F5" s="232" t="str">
        <f>$G$2</f>
        <v>Traditional OOR</v>
      </c>
      <c r="G5" s="232">
        <f>IF(F5=$G$2,E5,0)</f>
        <v>10336556.26</v>
      </c>
      <c r="H5" s="233">
        <v>0</v>
      </c>
      <c r="I5" s="234">
        <f>G5-H5</f>
        <v>10336556.26</v>
      </c>
      <c r="J5" s="232">
        <f>IF(F5=$J$2,E5,0)</f>
        <v>0</v>
      </c>
      <c r="K5" s="235"/>
      <c r="L5" s="231"/>
      <c r="M5" s="236">
        <f>J5-L5</f>
        <v>0</v>
      </c>
      <c r="N5" s="232">
        <f>IF(F5=$N$2,E5,0)</f>
        <v>0</v>
      </c>
      <c r="O5" s="239">
        <v>1</v>
      </c>
    </row>
    <row r="6" spans="1:15" x14ac:dyDescent="0.2">
      <c r="A6" s="237" t="s">
        <v>342</v>
      </c>
      <c r="B6" s="229">
        <v>450</v>
      </c>
      <c r="C6" s="238" t="s">
        <v>343</v>
      </c>
      <c r="D6" s="230" t="s">
        <v>344</v>
      </c>
      <c r="E6" s="240">
        <v>0</v>
      </c>
      <c r="F6" s="232" t="str">
        <f>$G$2</f>
        <v>Traditional OOR</v>
      </c>
      <c r="G6" s="232">
        <f>IF(F6=$G$2,E6,0)</f>
        <v>0</v>
      </c>
      <c r="H6" s="233">
        <v>0</v>
      </c>
      <c r="I6" s="234">
        <f>G6-H6</f>
        <v>0</v>
      </c>
      <c r="J6" s="232">
        <f>IF(F6=$J$2,E6,0)</f>
        <v>0</v>
      </c>
      <c r="K6" s="235"/>
      <c r="L6" s="231"/>
      <c r="M6" s="236">
        <f>J6-L6</f>
        <v>0</v>
      </c>
      <c r="N6" s="232">
        <f>IF(F6=$N$2,E6,0)</f>
        <v>0</v>
      </c>
      <c r="O6" s="239">
        <v>1</v>
      </c>
    </row>
    <row r="7" spans="1:15" x14ac:dyDescent="0.2">
      <c r="A7" s="241"/>
      <c r="B7" s="242"/>
      <c r="C7" s="243"/>
      <c r="D7" s="244"/>
      <c r="E7" s="245"/>
      <c r="F7" s="245"/>
      <c r="G7" s="231"/>
      <c r="H7" s="246"/>
      <c r="I7" s="247"/>
      <c r="J7" s="231"/>
      <c r="K7" s="248"/>
      <c r="L7" s="231"/>
      <c r="M7" s="247"/>
      <c r="N7" s="231"/>
      <c r="O7" s="246"/>
    </row>
    <row r="8" spans="1:15" x14ac:dyDescent="0.2">
      <c r="A8" s="241"/>
      <c r="B8" s="242"/>
      <c r="C8" s="243"/>
      <c r="D8" s="244"/>
      <c r="E8" s="245"/>
      <c r="F8" s="245"/>
      <c r="G8" s="231"/>
      <c r="H8" s="246"/>
      <c r="I8" s="247"/>
      <c r="J8" s="231"/>
      <c r="K8" s="248"/>
      <c r="L8" s="231"/>
      <c r="M8" s="247"/>
      <c r="N8" s="231"/>
      <c r="O8" s="246"/>
    </row>
    <row r="9" spans="1:15" x14ac:dyDescent="0.2">
      <c r="A9" s="237">
        <v>2</v>
      </c>
      <c r="B9" s="507" t="s">
        <v>345</v>
      </c>
      <c r="C9" s="508"/>
      <c r="D9" s="509"/>
      <c r="E9" s="249">
        <f>SUM(E4:E8)</f>
        <v>16974819.490000002</v>
      </c>
      <c r="F9" s="250"/>
      <c r="G9" s="249">
        <f>SUM(G4:G8)</f>
        <v>16974819.490000002</v>
      </c>
      <c r="H9" s="214">
        <f>SUM(H4:H8)</f>
        <v>0</v>
      </c>
      <c r="I9" s="251">
        <f>SUM(I4:I8)</f>
        <v>16974819.490000002</v>
      </c>
      <c r="J9" s="249">
        <f>SUM(J4:J8)</f>
        <v>0</v>
      </c>
      <c r="K9" s="250"/>
      <c r="L9" s="249">
        <f>SUM(L4:L8)</f>
        <v>0</v>
      </c>
      <c r="M9" s="249">
        <f>SUM(M4:M8)</f>
        <v>0</v>
      </c>
      <c r="N9" s="249">
        <f>SUM(N4:N8)</f>
        <v>0</v>
      </c>
      <c r="O9" s="239"/>
    </row>
    <row r="10" spans="1:15" ht="12.75" customHeight="1" x14ac:dyDescent="0.2">
      <c r="A10" s="237">
        <v>3</v>
      </c>
      <c r="B10" s="501" t="s">
        <v>346</v>
      </c>
      <c r="C10" s="502"/>
      <c r="D10" s="503"/>
      <c r="E10" s="252">
        <v>16974819</v>
      </c>
      <c r="F10" s="253"/>
      <c r="G10" s="254"/>
      <c r="H10" s="253"/>
      <c r="I10" s="253"/>
      <c r="J10" s="254"/>
      <c r="K10" s="253"/>
      <c r="L10" s="254"/>
      <c r="M10" s="254"/>
      <c r="N10" s="254"/>
      <c r="O10" s="165"/>
    </row>
    <row r="11" spans="1:15" x14ac:dyDescent="0.2">
      <c r="A11" s="255"/>
      <c r="B11" s="256"/>
      <c r="C11" s="257"/>
      <c r="D11" s="258"/>
      <c r="E11" s="254"/>
      <c r="F11" s="254"/>
      <c r="G11" s="254"/>
      <c r="H11" s="253"/>
      <c r="I11" s="253"/>
      <c r="J11" s="254"/>
      <c r="K11" s="253"/>
      <c r="L11" s="254"/>
      <c r="M11" s="254"/>
      <c r="N11" s="254"/>
      <c r="O11" s="165"/>
    </row>
    <row r="12" spans="1:15" x14ac:dyDescent="0.2">
      <c r="A12" s="237" t="s">
        <v>347</v>
      </c>
      <c r="B12" s="229">
        <v>451</v>
      </c>
      <c r="C12" s="238" t="s">
        <v>348</v>
      </c>
      <c r="D12" s="230" t="s">
        <v>349</v>
      </c>
      <c r="E12" s="231">
        <v>138145.48000000001</v>
      </c>
      <c r="F12" s="232" t="str">
        <f t="shared" ref="F12:F18" si="0">$G$2</f>
        <v>Traditional OOR</v>
      </c>
      <c r="G12" s="232">
        <f t="shared" ref="G12:G28" si="1">IF(F12=$G$2,E12,0)</f>
        <v>138145.48000000001</v>
      </c>
      <c r="H12" s="233">
        <v>0</v>
      </c>
      <c r="I12" s="234">
        <f t="shared" ref="I12:I28" si="2">G12-H12</f>
        <v>138145.48000000001</v>
      </c>
      <c r="J12" s="232">
        <f t="shared" ref="J12:J28" si="3">IF(F12=$J$2,E12,0)</f>
        <v>0</v>
      </c>
      <c r="K12" s="232"/>
      <c r="L12" s="247"/>
      <c r="M12" s="236">
        <f t="shared" ref="M12:M18" si="4">J12-L12</f>
        <v>0</v>
      </c>
      <c r="N12" s="232">
        <f t="shared" ref="N12:N28" si="5">IF(F12=$N$2,E12,0)</f>
        <v>0</v>
      </c>
      <c r="O12" s="239">
        <v>1</v>
      </c>
    </row>
    <row r="13" spans="1:15" x14ac:dyDescent="0.2">
      <c r="A13" s="237" t="s">
        <v>350</v>
      </c>
      <c r="B13" s="229">
        <v>451</v>
      </c>
      <c r="C13" s="238" t="s">
        <v>351</v>
      </c>
      <c r="D13" s="230" t="s">
        <v>352</v>
      </c>
      <c r="E13" s="231">
        <v>783070.04</v>
      </c>
      <c r="F13" s="232" t="str">
        <f t="shared" si="0"/>
        <v>Traditional OOR</v>
      </c>
      <c r="G13" s="232">
        <f t="shared" si="1"/>
        <v>783070.04</v>
      </c>
      <c r="H13" s="233">
        <v>0</v>
      </c>
      <c r="I13" s="234">
        <f t="shared" si="2"/>
        <v>783070.04</v>
      </c>
      <c r="J13" s="232">
        <f t="shared" si="3"/>
        <v>0</v>
      </c>
      <c r="K13" s="232"/>
      <c r="L13" s="247"/>
      <c r="M13" s="236">
        <f t="shared" si="4"/>
        <v>0</v>
      </c>
      <c r="N13" s="232">
        <f t="shared" si="5"/>
        <v>0</v>
      </c>
      <c r="O13" s="239">
        <v>1</v>
      </c>
    </row>
    <row r="14" spans="1:15" x14ac:dyDescent="0.2">
      <c r="A14" s="237" t="s">
        <v>353</v>
      </c>
      <c r="B14" s="229">
        <v>451</v>
      </c>
      <c r="C14" s="238" t="s">
        <v>354</v>
      </c>
      <c r="D14" s="230" t="s">
        <v>355</v>
      </c>
      <c r="E14" s="231">
        <v>564</v>
      </c>
      <c r="F14" s="232" t="str">
        <f t="shared" si="0"/>
        <v>Traditional OOR</v>
      </c>
      <c r="G14" s="232">
        <f t="shared" si="1"/>
        <v>564</v>
      </c>
      <c r="H14" s="233">
        <v>0</v>
      </c>
      <c r="I14" s="234">
        <f t="shared" si="2"/>
        <v>564</v>
      </c>
      <c r="J14" s="232">
        <f t="shared" si="3"/>
        <v>0</v>
      </c>
      <c r="K14" s="232"/>
      <c r="L14" s="247"/>
      <c r="M14" s="236">
        <f t="shared" si="4"/>
        <v>0</v>
      </c>
      <c r="N14" s="232">
        <f t="shared" si="5"/>
        <v>0</v>
      </c>
      <c r="O14" s="239">
        <v>1</v>
      </c>
    </row>
    <row r="15" spans="1:15" x14ac:dyDescent="0.2">
      <c r="A15" s="237" t="s">
        <v>356</v>
      </c>
      <c r="B15" s="229">
        <v>451</v>
      </c>
      <c r="C15" s="238" t="s">
        <v>357</v>
      </c>
      <c r="D15" s="230" t="s">
        <v>358</v>
      </c>
      <c r="E15" s="231">
        <v>1599973.8</v>
      </c>
      <c r="F15" s="232" t="str">
        <f t="shared" si="0"/>
        <v>Traditional OOR</v>
      </c>
      <c r="G15" s="232">
        <f t="shared" si="1"/>
        <v>1599973.8</v>
      </c>
      <c r="H15" s="233">
        <v>0</v>
      </c>
      <c r="I15" s="234">
        <f t="shared" si="2"/>
        <v>1599973.8</v>
      </c>
      <c r="J15" s="232">
        <f t="shared" si="3"/>
        <v>0</v>
      </c>
      <c r="K15" s="232"/>
      <c r="L15" s="247"/>
      <c r="M15" s="236">
        <f t="shared" si="4"/>
        <v>0</v>
      </c>
      <c r="N15" s="232">
        <f t="shared" si="5"/>
        <v>0</v>
      </c>
      <c r="O15" s="239">
        <v>1</v>
      </c>
    </row>
    <row r="16" spans="1:15" x14ac:dyDescent="0.2">
      <c r="A16" s="237" t="s">
        <v>359</v>
      </c>
      <c r="B16" s="229">
        <v>451</v>
      </c>
      <c r="C16" s="238" t="s">
        <v>360</v>
      </c>
      <c r="D16" s="230" t="s">
        <v>361</v>
      </c>
      <c r="E16" s="231">
        <v>30983.24</v>
      </c>
      <c r="F16" s="232" t="str">
        <f t="shared" si="0"/>
        <v>Traditional OOR</v>
      </c>
      <c r="G16" s="232">
        <f t="shared" si="1"/>
        <v>30983.24</v>
      </c>
      <c r="H16" s="233">
        <v>0</v>
      </c>
      <c r="I16" s="234">
        <f t="shared" si="2"/>
        <v>30983.24</v>
      </c>
      <c r="J16" s="232">
        <f t="shared" si="3"/>
        <v>0</v>
      </c>
      <c r="K16" s="232"/>
      <c r="L16" s="247"/>
      <c r="M16" s="236">
        <f t="shared" si="4"/>
        <v>0</v>
      </c>
      <c r="N16" s="232">
        <f t="shared" si="5"/>
        <v>0</v>
      </c>
      <c r="O16" s="239">
        <v>1</v>
      </c>
    </row>
    <row r="17" spans="1:15" x14ac:dyDescent="0.2">
      <c r="A17" s="237" t="s">
        <v>362</v>
      </c>
      <c r="B17" s="229">
        <v>451</v>
      </c>
      <c r="C17" s="238" t="s">
        <v>363</v>
      </c>
      <c r="D17" s="230" t="s">
        <v>364</v>
      </c>
      <c r="E17" s="231">
        <v>2341.65</v>
      </c>
      <c r="F17" s="232" t="str">
        <f t="shared" si="0"/>
        <v>Traditional OOR</v>
      </c>
      <c r="G17" s="232">
        <f t="shared" si="1"/>
        <v>2341.65</v>
      </c>
      <c r="H17" s="233">
        <v>0</v>
      </c>
      <c r="I17" s="234">
        <f t="shared" si="2"/>
        <v>2341.65</v>
      </c>
      <c r="J17" s="232">
        <f t="shared" si="3"/>
        <v>0</v>
      </c>
      <c r="K17" s="232"/>
      <c r="L17" s="247"/>
      <c r="M17" s="236">
        <f t="shared" si="4"/>
        <v>0</v>
      </c>
      <c r="N17" s="232">
        <f t="shared" si="5"/>
        <v>0</v>
      </c>
      <c r="O17" s="239">
        <v>1</v>
      </c>
    </row>
    <row r="18" spans="1:15" x14ac:dyDescent="0.2">
      <c r="A18" s="237" t="s">
        <v>365</v>
      </c>
      <c r="B18" s="229">
        <v>451</v>
      </c>
      <c r="C18" s="238" t="s">
        <v>366</v>
      </c>
      <c r="D18" s="230" t="s">
        <v>367</v>
      </c>
      <c r="E18" s="231">
        <v>-212</v>
      </c>
      <c r="F18" s="232" t="str">
        <f t="shared" si="0"/>
        <v>Traditional OOR</v>
      </c>
      <c r="G18" s="232">
        <f t="shared" si="1"/>
        <v>-212</v>
      </c>
      <c r="H18" s="233">
        <v>0</v>
      </c>
      <c r="I18" s="234">
        <f t="shared" si="2"/>
        <v>-212</v>
      </c>
      <c r="J18" s="232">
        <f t="shared" si="3"/>
        <v>0</v>
      </c>
      <c r="K18" s="232"/>
      <c r="L18" s="247"/>
      <c r="M18" s="236">
        <f t="shared" si="4"/>
        <v>0</v>
      </c>
      <c r="N18" s="232">
        <f t="shared" si="5"/>
        <v>0</v>
      </c>
      <c r="O18" s="239">
        <v>1</v>
      </c>
    </row>
    <row r="19" spans="1:15" x14ac:dyDescent="0.2">
      <c r="A19" s="237" t="s">
        <v>368</v>
      </c>
      <c r="B19" s="229">
        <v>451</v>
      </c>
      <c r="C19" s="238" t="s">
        <v>369</v>
      </c>
      <c r="D19" s="230" t="s">
        <v>370</v>
      </c>
      <c r="E19" s="231">
        <v>-0.65</v>
      </c>
      <c r="F19" s="232" t="str">
        <f>$J$2</f>
        <v>GRSM</v>
      </c>
      <c r="G19" s="232">
        <f t="shared" si="1"/>
        <v>0</v>
      </c>
      <c r="H19" s="233">
        <v>0</v>
      </c>
      <c r="I19" s="234">
        <f t="shared" si="2"/>
        <v>0</v>
      </c>
      <c r="J19" s="232">
        <f t="shared" si="3"/>
        <v>-0.65</v>
      </c>
      <c r="K19" s="259" t="s">
        <v>316</v>
      </c>
      <c r="L19" s="247">
        <v>-2.4194552008599999</v>
      </c>
      <c r="M19" s="236">
        <f>J19-L19</f>
        <v>1.76945520086</v>
      </c>
      <c r="N19" s="232">
        <f t="shared" si="5"/>
        <v>0</v>
      </c>
      <c r="O19" s="239">
        <v>2</v>
      </c>
    </row>
    <row r="20" spans="1:15" x14ac:dyDescent="0.2">
      <c r="A20" s="237" t="s">
        <v>371</v>
      </c>
      <c r="B20" s="229">
        <v>451</v>
      </c>
      <c r="C20" s="238" t="s">
        <v>372</v>
      </c>
      <c r="D20" s="230" t="s">
        <v>373</v>
      </c>
      <c r="E20" s="231">
        <v>217411.48</v>
      </c>
      <c r="F20" s="232" t="str">
        <f>$N$2</f>
        <v>Other Ratemaking</v>
      </c>
      <c r="G20" s="232">
        <f t="shared" si="1"/>
        <v>0</v>
      </c>
      <c r="H20" s="233">
        <v>0</v>
      </c>
      <c r="I20" s="234">
        <f t="shared" si="2"/>
        <v>0</v>
      </c>
      <c r="J20" s="232">
        <f t="shared" si="3"/>
        <v>0</v>
      </c>
      <c r="K20" s="232"/>
      <c r="L20" s="247"/>
      <c r="M20" s="236">
        <f>J20-L20</f>
        <v>0</v>
      </c>
      <c r="N20" s="232">
        <f t="shared" si="5"/>
        <v>217411.48</v>
      </c>
      <c r="O20" s="239">
        <v>6</v>
      </c>
    </row>
    <row r="21" spans="1:15" x14ac:dyDescent="0.2">
      <c r="A21" s="228" t="s">
        <v>374</v>
      </c>
      <c r="B21" s="229">
        <v>451</v>
      </c>
      <c r="C21" s="229">
        <v>4182120</v>
      </c>
      <c r="D21" s="260" t="s">
        <v>375</v>
      </c>
      <c r="E21" s="231">
        <v>9763.33</v>
      </c>
      <c r="F21" s="232" t="s">
        <v>324</v>
      </c>
      <c r="G21" s="232">
        <f t="shared" si="1"/>
        <v>9763.33</v>
      </c>
      <c r="H21" s="233">
        <v>0</v>
      </c>
      <c r="I21" s="234">
        <f t="shared" si="2"/>
        <v>9763.33</v>
      </c>
      <c r="J21" s="232">
        <f t="shared" si="3"/>
        <v>0</v>
      </c>
      <c r="K21" s="232"/>
      <c r="L21" s="247"/>
      <c r="M21" s="234">
        <f t="shared" ref="M21:M28" si="6">J21-L21</f>
        <v>0</v>
      </c>
      <c r="N21" s="232">
        <f t="shared" si="5"/>
        <v>0</v>
      </c>
      <c r="O21" s="233">
        <v>1</v>
      </c>
    </row>
    <row r="22" spans="1:15" x14ac:dyDescent="0.2">
      <c r="A22" s="228" t="s">
        <v>376</v>
      </c>
      <c r="B22" s="229">
        <v>451</v>
      </c>
      <c r="C22" s="229">
        <v>4192152</v>
      </c>
      <c r="D22" s="260" t="s">
        <v>377</v>
      </c>
      <c r="E22" s="231">
        <v>4030</v>
      </c>
      <c r="F22" s="232" t="s">
        <v>326</v>
      </c>
      <c r="G22" s="232">
        <f t="shared" si="1"/>
        <v>0</v>
      </c>
      <c r="H22" s="233">
        <v>0</v>
      </c>
      <c r="I22" s="234">
        <f t="shared" si="2"/>
        <v>0</v>
      </c>
      <c r="J22" s="232">
        <f t="shared" si="3"/>
        <v>0</v>
      </c>
      <c r="K22" s="232"/>
      <c r="L22" s="247"/>
      <c r="M22" s="234">
        <f t="shared" si="6"/>
        <v>0</v>
      </c>
      <c r="N22" s="232">
        <f t="shared" si="5"/>
        <v>4030</v>
      </c>
      <c r="O22" s="233">
        <v>1</v>
      </c>
    </row>
    <row r="23" spans="1:15" x14ac:dyDescent="0.2">
      <c r="A23" s="228" t="s">
        <v>378</v>
      </c>
      <c r="B23" s="229">
        <v>451</v>
      </c>
      <c r="C23" s="229">
        <v>4192155</v>
      </c>
      <c r="D23" s="260" t="s">
        <v>379</v>
      </c>
      <c r="E23" s="231">
        <v>322130</v>
      </c>
      <c r="F23" s="232" t="s">
        <v>326</v>
      </c>
      <c r="G23" s="232">
        <f t="shared" si="1"/>
        <v>0</v>
      </c>
      <c r="H23" s="233">
        <v>0</v>
      </c>
      <c r="I23" s="234">
        <f t="shared" si="2"/>
        <v>0</v>
      </c>
      <c r="J23" s="232">
        <f t="shared" si="3"/>
        <v>0</v>
      </c>
      <c r="K23" s="232"/>
      <c r="L23" s="247"/>
      <c r="M23" s="234">
        <f t="shared" si="6"/>
        <v>0</v>
      </c>
      <c r="N23" s="232">
        <f t="shared" si="5"/>
        <v>322130</v>
      </c>
      <c r="O23" s="233">
        <v>1</v>
      </c>
    </row>
    <row r="24" spans="1:15" x14ac:dyDescent="0.2">
      <c r="A24" s="228" t="s">
        <v>380</v>
      </c>
      <c r="B24" s="229">
        <v>451</v>
      </c>
      <c r="C24" s="229">
        <v>4192158</v>
      </c>
      <c r="D24" s="260" t="s">
        <v>381</v>
      </c>
      <c r="E24" s="231">
        <v>91425</v>
      </c>
      <c r="F24" s="232" t="s">
        <v>326</v>
      </c>
      <c r="G24" s="232">
        <f t="shared" si="1"/>
        <v>0</v>
      </c>
      <c r="H24" s="233">
        <v>0</v>
      </c>
      <c r="I24" s="234">
        <f t="shared" si="2"/>
        <v>0</v>
      </c>
      <c r="J24" s="232">
        <f t="shared" si="3"/>
        <v>0</v>
      </c>
      <c r="K24" s="232"/>
      <c r="L24" s="247"/>
      <c r="M24" s="234">
        <f t="shared" si="6"/>
        <v>0</v>
      </c>
      <c r="N24" s="232">
        <f t="shared" si="5"/>
        <v>91425</v>
      </c>
      <c r="O24" s="233">
        <v>1</v>
      </c>
    </row>
    <row r="25" spans="1:15" x14ac:dyDescent="0.2">
      <c r="A25" s="228" t="s">
        <v>382</v>
      </c>
      <c r="B25" s="229">
        <v>451</v>
      </c>
      <c r="C25" s="229">
        <v>4192160</v>
      </c>
      <c r="D25" s="260" t="s">
        <v>383</v>
      </c>
      <c r="E25" s="231">
        <v>2089545</v>
      </c>
      <c r="F25" s="232" t="s">
        <v>326</v>
      </c>
      <c r="G25" s="232">
        <f t="shared" si="1"/>
        <v>0</v>
      </c>
      <c r="H25" s="233">
        <v>0</v>
      </c>
      <c r="I25" s="234">
        <f t="shared" si="2"/>
        <v>0</v>
      </c>
      <c r="J25" s="232">
        <f t="shared" si="3"/>
        <v>0</v>
      </c>
      <c r="K25" s="232"/>
      <c r="L25" s="247"/>
      <c r="M25" s="234">
        <f t="shared" si="6"/>
        <v>0</v>
      </c>
      <c r="N25" s="232">
        <f t="shared" si="5"/>
        <v>2089545</v>
      </c>
      <c r="O25" s="233">
        <v>1</v>
      </c>
    </row>
    <row r="26" spans="1:15" x14ac:dyDescent="0.2">
      <c r="A26" s="228" t="s">
        <v>815</v>
      </c>
      <c r="B26" s="229">
        <v>451</v>
      </c>
      <c r="C26" s="229">
        <v>4192135</v>
      </c>
      <c r="D26" s="348" t="s">
        <v>816</v>
      </c>
      <c r="E26" s="231">
        <v>6805850.8899999997</v>
      </c>
      <c r="F26" s="232" t="s">
        <v>324</v>
      </c>
      <c r="G26" s="232">
        <f t="shared" si="1"/>
        <v>6805850.8899999997</v>
      </c>
      <c r="H26" s="233">
        <v>0</v>
      </c>
      <c r="I26" s="234">
        <f t="shared" si="2"/>
        <v>6805850.8899999997</v>
      </c>
      <c r="J26" s="232">
        <f t="shared" si="3"/>
        <v>0</v>
      </c>
      <c r="K26" s="232"/>
      <c r="L26" s="247"/>
      <c r="M26" s="234">
        <f t="shared" si="6"/>
        <v>0</v>
      </c>
      <c r="N26" s="232">
        <f t="shared" si="5"/>
        <v>0</v>
      </c>
      <c r="O26" s="233">
        <v>1</v>
      </c>
    </row>
    <row r="27" spans="1:15" x14ac:dyDescent="0.2">
      <c r="A27" s="228" t="s">
        <v>817</v>
      </c>
      <c r="B27" s="229">
        <v>451</v>
      </c>
      <c r="C27" s="229">
        <v>4192145</v>
      </c>
      <c r="D27" s="348" t="s">
        <v>818</v>
      </c>
      <c r="E27" s="231">
        <v>3255983.72</v>
      </c>
      <c r="F27" s="232" t="s">
        <v>324</v>
      </c>
      <c r="G27" s="232">
        <f t="shared" si="1"/>
        <v>3255983.72</v>
      </c>
      <c r="H27" s="233">
        <v>0</v>
      </c>
      <c r="I27" s="234">
        <f t="shared" si="2"/>
        <v>3255983.72</v>
      </c>
      <c r="J27" s="232">
        <f t="shared" si="3"/>
        <v>0</v>
      </c>
      <c r="K27" s="232"/>
      <c r="L27" s="247"/>
      <c r="M27" s="234">
        <f t="shared" si="6"/>
        <v>0</v>
      </c>
      <c r="N27" s="232">
        <f t="shared" si="5"/>
        <v>0</v>
      </c>
      <c r="O27" s="233">
        <v>1</v>
      </c>
    </row>
    <row r="28" spans="1:15" x14ac:dyDescent="0.2">
      <c r="A28" s="228" t="s">
        <v>819</v>
      </c>
      <c r="B28" s="229">
        <v>451</v>
      </c>
      <c r="C28" s="229">
        <v>4192150</v>
      </c>
      <c r="D28" s="348" t="s">
        <v>820</v>
      </c>
      <c r="E28" s="231">
        <v>16003.04</v>
      </c>
      <c r="F28" s="232" t="s">
        <v>324</v>
      </c>
      <c r="G28" s="232">
        <f t="shared" si="1"/>
        <v>16003.04</v>
      </c>
      <c r="H28" s="233">
        <v>0</v>
      </c>
      <c r="I28" s="234">
        <f t="shared" si="2"/>
        <v>16003.04</v>
      </c>
      <c r="J28" s="232">
        <f t="shared" si="3"/>
        <v>0</v>
      </c>
      <c r="K28" s="232"/>
      <c r="L28" s="247"/>
      <c r="M28" s="234">
        <f t="shared" si="6"/>
        <v>0</v>
      </c>
      <c r="N28" s="232">
        <f t="shared" si="5"/>
        <v>0</v>
      </c>
      <c r="O28" s="233">
        <v>1</v>
      </c>
    </row>
    <row r="29" spans="1:15" x14ac:dyDescent="0.2">
      <c r="A29" s="241"/>
      <c r="B29" s="242"/>
      <c r="C29" s="242"/>
      <c r="D29" s="261"/>
      <c r="E29" s="231"/>
      <c r="F29" s="231"/>
      <c r="G29" s="231"/>
      <c r="H29" s="246"/>
      <c r="I29" s="247"/>
      <c r="J29" s="231"/>
      <c r="K29" s="231"/>
      <c r="L29" s="247"/>
      <c r="M29" s="247"/>
      <c r="N29" s="231"/>
      <c r="O29" s="246"/>
    </row>
    <row r="30" spans="1:15" x14ac:dyDescent="0.2">
      <c r="A30" s="241"/>
      <c r="B30" s="242"/>
      <c r="C30" s="243"/>
      <c r="D30" s="261"/>
      <c r="E30" s="231"/>
      <c r="F30" s="231"/>
      <c r="G30" s="248"/>
      <c r="H30" s="246"/>
      <c r="I30" s="247"/>
      <c r="J30" s="231"/>
      <c r="K30" s="231"/>
      <c r="L30" s="247"/>
      <c r="M30" s="247"/>
      <c r="N30" s="231"/>
      <c r="O30" s="246"/>
    </row>
    <row r="31" spans="1:15" x14ac:dyDescent="0.2">
      <c r="A31" s="237">
        <v>5</v>
      </c>
      <c r="B31" s="507" t="s">
        <v>384</v>
      </c>
      <c r="C31" s="508"/>
      <c r="D31" s="509"/>
      <c r="E31" s="249">
        <f>SUM(E12:E30)</f>
        <v>15367008.020000001</v>
      </c>
      <c r="F31" s="250"/>
      <c r="G31" s="249">
        <f>SUM(G12:G30)</f>
        <v>12642467.189999999</v>
      </c>
      <c r="H31" s="214">
        <f>SUM(H12:H30)</f>
        <v>0</v>
      </c>
      <c r="I31" s="251">
        <f>SUM(I12:I30)</f>
        <v>12642467.189999999</v>
      </c>
      <c r="J31" s="249">
        <f>SUM(J12:J30)</f>
        <v>-0.65</v>
      </c>
      <c r="K31" s="250"/>
      <c r="L31" s="249">
        <f>SUM(L12:L30)</f>
        <v>-2.4194552008599999</v>
      </c>
      <c r="M31" s="249">
        <f>SUM(M12:M30)</f>
        <v>1.76945520086</v>
      </c>
      <c r="N31" s="249">
        <f>SUM(N12:N30)</f>
        <v>2724541.48</v>
      </c>
      <c r="O31" s="239"/>
    </row>
    <row r="32" spans="1:15" ht="25.5" customHeight="1" x14ac:dyDescent="0.2">
      <c r="A32" s="237">
        <v>6</v>
      </c>
      <c r="B32" s="501" t="s">
        <v>385</v>
      </c>
      <c r="C32" s="502"/>
      <c r="D32" s="503"/>
      <c r="E32" s="252">
        <v>15367008</v>
      </c>
      <c r="F32" s="253"/>
      <c r="G32" s="254"/>
      <c r="H32" s="262"/>
      <c r="I32" s="262"/>
      <c r="J32" s="254"/>
      <c r="K32" s="253"/>
      <c r="L32" s="254"/>
      <c r="M32" s="254"/>
      <c r="N32" s="254"/>
    </row>
    <row r="33" spans="1:15" x14ac:dyDescent="0.2">
      <c r="A33" s="264"/>
      <c r="B33" s="256"/>
      <c r="C33" s="257"/>
      <c r="D33" s="258"/>
      <c r="E33" s="254"/>
      <c r="F33" s="254"/>
      <c r="G33" s="254"/>
      <c r="H33" s="262"/>
      <c r="I33" s="262"/>
      <c r="J33" s="254"/>
      <c r="K33" s="253"/>
      <c r="L33" s="254"/>
      <c r="M33" s="254"/>
      <c r="N33" s="254"/>
    </row>
    <row r="34" spans="1:15" x14ac:dyDescent="0.2">
      <c r="A34" s="237" t="s">
        <v>386</v>
      </c>
      <c r="B34" s="229">
        <v>453</v>
      </c>
      <c r="C34" s="238" t="s">
        <v>387</v>
      </c>
      <c r="D34" s="230" t="s">
        <v>388</v>
      </c>
      <c r="E34" s="231">
        <v>0</v>
      </c>
      <c r="F34" s="232" t="str">
        <f>$G$2</f>
        <v>Traditional OOR</v>
      </c>
      <c r="G34" s="232">
        <f>IF(F34=$G$2,E34,0)</f>
        <v>0</v>
      </c>
      <c r="H34" s="233">
        <v>0</v>
      </c>
      <c r="I34" s="234">
        <f>G34-H34</f>
        <v>0</v>
      </c>
      <c r="J34" s="232">
        <f>IF(F34=$J$2,E34,0)</f>
        <v>0</v>
      </c>
      <c r="K34" s="232"/>
      <c r="L34" s="247"/>
      <c r="M34" s="236">
        <f>J34-L34</f>
        <v>0</v>
      </c>
      <c r="N34" s="232">
        <f>IF(F34=$N$2,E34,0)</f>
        <v>0</v>
      </c>
      <c r="O34" s="239">
        <v>3</v>
      </c>
    </row>
    <row r="35" spans="1:15" x14ac:dyDescent="0.2">
      <c r="A35" s="237" t="s">
        <v>389</v>
      </c>
      <c r="B35" s="229">
        <v>453</v>
      </c>
      <c r="C35" s="238" t="s">
        <v>390</v>
      </c>
      <c r="D35" s="230" t="s">
        <v>391</v>
      </c>
      <c r="E35" s="231">
        <v>0</v>
      </c>
      <c r="F35" s="232" t="str">
        <f>$G$2</f>
        <v>Traditional OOR</v>
      </c>
      <c r="G35" s="232">
        <f>IF(F35=$G$2,E35,0)</f>
        <v>0</v>
      </c>
      <c r="H35" s="233">
        <v>0</v>
      </c>
      <c r="I35" s="234">
        <f>G35-H35</f>
        <v>0</v>
      </c>
      <c r="J35" s="232">
        <f>IF(F35=$J$2,E35,0)</f>
        <v>0</v>
      </c>
      <c r="K35" s="232"/>
      <c r="L35" s="247"/>
      <c r="M35" s="236">
        <f>J35-L35</f>
        <v>0</v>
      </c>
      <c r="N35" s="232">
        <f>IF(F35=$N$2,E35,0)</f>
        <v>0</v>
      </c>
      <c r="O35" s="239">
        <v>3</v>
      </c>
    </row>
    <row r="36" spans="1:15" x14ac:dyDescent="0.2">
      <c r="A36" s="237" t="s">
        <v>392</v>
      </c>
      <c r="B36" s="229">
        <v>453</v>
      </c>
      <c r="C36" s="237" t="s">
        <v>393</v>
      </c>
      <c r="D36" s="230" t="s">
        <v>394</v>
      </c>
      <c r="E36" s="231">
        <v>0</v>
      </c>
      <c r="F36" s="232" t="str">
        <f>$G$2</f>
        <v>Traditional OOR</v>
      </c>
      <c r="G36" s="232">
        <f>IF(F36=$G$2,E36,0)</f>
        <v>0</v>
      </c>
      <c r="H36" s="233">
        <v>0</v>
      </c>
      <c r="I36" s="234">
        <f>G36-H36</f>
        <v>0</v>
      </c>
      <c r="J36" s="232">
        <f>IF(F36=$J$2,E36,0)</f>
        <v>0</v>
      </c>
      <c r="K36" s="232"/>
      <c r="L36" s="247"/>
      <c r="M36" s="236">
        <f>J36-L36</f>
        <v>0</v>
      </c>
      <c r="N36" s="232">
        <f>IF(F36=$N$2,E36,0)</f>
        <v>0</v>
      </c>
      <c r="O36" s="239">
        <v>3</v>
      </c>
    </row>
    <row r="37" spans="1:15" x14ac:dyDescent="0.2">
      <c r="A37" s="241"/>
      <c r="B37" s="242"/>
      <c r="C37" s="243"/>
      <c r="D37" s="244"/>
      <c r="E37" s="231"/>
      <c r="F37" s="231"/>
      <c r="G37" s="248"/>
      <c r="H37" s="246"/>
      <c r="I37" s="247"/>
      <c r="J37" s="231"/>
      <c r="K37" s="231"/>
      <c r="L37" s="247"/>
      <c r="M37" s="247"/>
      <c r="N37" s="231"/>
      <c r="O37" s="246"/>
    </row>
    <row r="38" spans="1:15" x14ac:dyDescent="0.2">
      <c r="A38" s="241"/>
      <c r="B38" s="242"/>
      <c r="C38" s="243"/>
      <c r="D38" s="244"/>
      <c r="E38" s="231"/>
      <c r="F38" s="231"/>
      <c r="G38" s="248"/>
      <c r="H38" s="246"/>
      <c r="I38" s="247"/>
      <c r="J38" s="231"/>
      <c r="K38" s="231"/>
      <c r="L38" s="247"/>
      <c r="M38" s="247"/>
      <c r="N38" s="231"/>
      <c r="O38" s="246"/>
    </row>
    <row r="39" spans="1:15" x14ac:dyDescent="0.2">
      <c r="A39" s="237">
        <v>8</v>
      </c>
      <c r="B39" s="507" t="s">
        <v>395</v>
      </c>
      <c r="C39" s="508"/>
      <c r="D39" s="509"/>
      <c r="E39" s="251">
        <f>SUM(E34:E38)</f>
        <v>0</v>
      </c>
      <c r="F39" s="250"/>
      <c r="G39" s="251">
        <f>SUM(G34:G38)</f>
        <v>0</v>
      </c>
      <c r="H39" s="214">
        <f>SUM(H34:H38)</f>
        <v>0</v>
      </c>
      <c r="I39" s="251">
        <f>SUM(I34:I38)</f>
        <v>0</v>
      </c>
      <c r="J39" s="251">
        <f>SUM(J34:J38)</f>
        <v>0</v>
      </c>
      <c r="K39" s="250"/>
      <c r="L39" s="251">
        <f>SUM(L34:L38)</f>
        <v>0</v>
      </c>
      <c r="M39" s="251">
        <f>SUM(M34:M38)</f>
        <v>0</v>
      </c>
      <c r="N39" s="251">
        <f>SUM(N34:N38)</f>
        <v>0</v>
      </c>
      <c r="O39" s="214"/>
    </row>
    <row r="40" spans="1:15" ht="25.5" customHeight="1" x14ac:dyDescent="0.2">
      <c r="A40" s="237">
        <v>9</v>
      </c>
      <c r="B40" s="510" t="s">
        <v>396</v>
      </c>
      <c r="C40" s="511"/>
      <c r="D40" s="511"/>
      <c r="E40" s="265">
        <v>0</v>
      </c>
      <c r="F40" s="253"/>
      <c r="G40" s="254"/>
      <c r="H40" s="262"/>
      <c r="I40" s="266"/>
      <c r="J40" s="254"/>
      <c r="K40" s="253"/>
      <c r="L40" s="254"/>
      <c r="M40" s="254"/>
      <c r="N40" s="254"/>
      <c r="O40" s="165"/>
    </row>
    <row r="41" spans="1:15" x14ac:dyDescent="0.2">
      <c r="A41" s="255"/>
      <c r="B41" s="256"/>
      <c r="C41" s="257"/>
      <c r="D41" s="258"/>
      <c r="E41" s="254"/>
      <c r="F41" s="254"/>
      <c r="G41" s="254"/>
      <c r="H41" s="262"/>
      <c r="I41" s="266"/>
      <c r="J41" s="254"/>
      <c r="K41" s="253"/>
      <c r="L41" s="254"/>
      <c r="M41" s="254"/>
      <c r="N41" s="254"/>
      <c r="O41" s="165"/>
    </row>
    <row r="42" spans="1:15" x14ac:dyDescent="0.2">
      <c r="A42" s="237" t="s">
        <v>397</v>
      </c>
      <c r="B42" s="229">
        <v>454</v>
      </c>
      <c r="C42" s="230" t="s">
        <v>398</v>
      </c>
      <c r="D42" s="230" t="s">
        <v>399</v>
      </c>
      <c r="E42" s="231">
        <v>443082.18</v>
      </c>
      <c r="F42" s="232" t="str">
        <f t="shared" ref="F42:F47" si="7">$G$2</f>
        <v>Traditional OOR</v>
      </c>
      <c r="G42" s="232">
        <f>IF(F42=$G$2,E42,0)</f>
        <v>443082.18</v>
      </c>
      <c r="H42" s="234">
        <v>0</v>
      </c>
      <c r="I42" s="234">
        <f t="shared" ref="I42:I52" si="8">G42-H42</f>
        <v>443082.18</v>
      </c>
      <c r="J42" s="232">
        <f t="shared" ref="J42:J67" si="9">IF(F42=$J$2,E42,0)</f>
        <v>0</v>
      </c>
      <c r="K42" s="232"/>
      <c r="L42" s="351"/>
      <c r="M42" s="234">
        <f t="shared" ref="M42:M47" si="10">J42-L42</f>
        <v>0</v>
      </c>
      <c r="N42" s="232">
        <f t="shared" ref="N42:N67" si="11">IF(F42=$N$2,E42,0)</f>
        <v>0</v>
      </c>
      <c r="O42" s="233">
        <v>4</v>
      </c>
    </row>
    <row r="43" spans="1:15" x14ac:dyDescent="0.2">
      <c r="A43" s="237" t="s">
        <v>400</v>
      </c>
      <c r="B43" s="229">
        <v>454</v>
      </c>
      <c r="C43" s="238" t="s">
        <v>401</v>
      </c>
      <c r="D43" s="230" t="s">
        <v>402</v>
      </c>
      <c r="E43" s="231">
        <v>3041756.48</v>
      </c>
      <c r="F43" s="232" t="str">
        <f t="shared" si="7"/>
        <v>Traditional OOR</v>
      </c>
      <c r="G43" s="232">
        <f t="shared" ref="G43:G67" si="12">IF(F43=$G$2,E43,0)</f>
        <v>3041756.48</v>
      </c>
      <c r="H43" s="234">
        <v>0</v>
      </c>
      <c r="I43" s="234">
        <f t="shared" si="8"/>
        <v>3041756.48</v>
      </c>
      <c r="J43" s="232">
        <f t="shared" si="9"/>
        <v>0</v>
      </c>
      <c r="K43" s="232"/>
      <c r="L43" s="351"/>
      <c r="M43" s="236">
        <f t="shared" si="10"/>
        <v>0</v>
      </c>
      <c r="N43" s="232">
        <f t="shared" si="11"/>
        <v>0</v>
      </c>
      <c r="O43" s="239">
        <v>4</v>
      </c>
    </row>
    <row r="44" spans="1:15" x14ac:dyDescent="0.2">
      <c r="A44" s="237" t="s">
        <v>403</v>
      </c>
      <c r="B44" s="229">
        <v>454</v>
      </c>
      <c r="C44" s="238" t="s">
        <v>404</v>
      </c>
      <c r="D44" s="230" t="s">
        <v>405</v>
      </c>
      <c r="E44" s="231">
        <v>550960</v>
      </c>
      <c r="F44" s="232" t="str">
        <f t="shared" si="7"/>
        <v>Traditional OOR</v>
      </c>
      <c r="G44" s="232">
        <f t="shared" si="12"/>
        <v>550960</v>
      </c>
      <c r="H44" s="234">
        <v>0</v>
      </c>
      <c r="I44" s="234">
        <f t="shared" si="8"/>
        <v>550960</v>
      </c>
      <c r="J44" s="232">
        <f t="shared" si="9"/>
        <v>0</v>
      </c>
      <c r="K44" s="232"/>
      <c r="L44" s="351"/>
      <c r="M44" s="236">
        <f t="shared" si="10"/>
        <v>0</v>
      </c>
      <c r="N44" s="232">
        <f t="shared" si="11"/>
        <v>0</v>
      </c>
      <c r="O44" s="239">
        <v>4</v>
      </c>
    </row>
    <row r="45" spans="1:15" x14ac:dyDescent="0.2">
      <c r="A45" s="237" t="s">
        <v>406</v>
      </c>
      <c r="B45" s="229">
        <v>454</v>
      </c>
      <c r="C45" s="238" t="s">
        <v>407</v>
      </c>
      <c r="D45" s="230" t="s">
        <v>408</v>
      </c>
      <c r="E45" s="231">
        <v>3000</v>
      </c>
      <c r="F45" s="232" t="str">
        <f t="shared" si="7"/>
        <v>Traditional OOR</v>
      </c>
      <c r="G45" s="232">
        <f t="shared" si="12"/>
        <v>3000</v>
      </c>
      <c r="H45" s="234">
        <v>0</v>
      </c>
      <c r="I45" s="234">
        <f t="shared" si="8"/>
        <v>3000</v>
      </c>
      <c r="J45" s="232">
        <f t="shared" si="9"/>
        <v>0</v>
      </c>
      <c r="K45" s="232"/>
      <c r="L45" s="351"/>
      <c r="M45" s="236">
        <f t="shared" si="10"/>
        <v>0</v>
      </c>
      <c r="N45" s="232">
        <f t="shared" si="11"/>
        <v>0</v>
      </c>
      <c r="O45" s="239">
        <v>4</v>
      </c>
    </row>
    <row r="46" spans="1:15" x14ac:dyDescent="0.2">
      <c r="A46" s="237" t="s">
        <v>409</v>
      </c>
      <c r="B46" s="229">
        <v>454</v>
      </c>
      <c r="C46" s="238" t="s">
        <v>410</v>
      </c>
      <c r="D46" s="230" t="s">
        <v>411</v>
      </c>
      <c r="E46" s="231">
        <v>0</v>
      </c>
      <c r="F46" s="232" t="str">
        <f t="shared" si="7"/>
        <v>Traditional OOR</v>
      </c>
      <c r="G46" s="232">
        <f t="shared" si="12"/>
        <v>0</v>
      </c>
      <c r="H46" s="234">
        <v>0</v>
      </c>
      <c r="I46" s="234">
        <f t="shared" si="8"/>
        <v>0</v>
      </c>
      <c r="J46" s="232">
        <f t="shared" si="9"/>
        <v>0</v>
      </c>
      <c r="K46" s="232"/>
      <c r="L46" s="351"/>
      <c r="M46" s="236">
        <f t="shared" si="10"/>
        <v>0</v>
      </c>
      <c r="N46" s="232">
        <f t="shared" si="11"/>
        <v>0</v>
      </c>
      <c r="O46" s="239">
        <v>4</v>
      </c>
    </row>
    <row r="47" spans="1:15" x14ac:dyDescent="0.2">
      <c r="A47" s="237" t="s">
        <v>412</v>
      </c>
      <c r="B47" s="229">
        <v>454</v>
      </c>
      <c r="C47" s="267">
        <v>4184120</v>
      </c>
      <c r="D47" s="230" t="s">
        <v>413</v>
      </c>
      <c r="E47" s="231">
        <v>0</v>
      </c>
      <c r="F47" s="232" t="str">
        <f t="shared" si="7"/>
        <v>Traditional OOR</v>
      </c>
      <c r="G47" s="232">
        <f>IF(F47=$G$2,E47,0)</f>
        <v>0</v>
      </c>
      <c r="H47" s="234">
        <v>0</v>
      </c>
      <c r="I47" s="234">
        <f>G47-H47</f>
        <v>0</v>
      </c>
      <c r="J47" s="232">
        <f t="shared" si="9"/>
        <v>0</v>
      </c>
      <c r="K47" s="232"/>
      <c r="L47" s="351"/>
      <c r="M47" s="236">
        <f t="shared" si="10"/>
        <v>0</v>
      </c>
      <c r="N47" s="232">
        <f t="shared" si="11"/>
        <v>0</v>
      </c>
      <c r="O47" s="239">
        <v>4</v>
      </c>
    </row>
    <row r="48" spans="1:15" x14ac:dyDescent="0.2">
      <c r="A48" s="237" t="s">
        <v>414</v>
      </c>
      <c r="B48" s="229">
        <v>454</v>
      </c>
      <c r="C48" s="238" t="s">
        <v>415</v>
      </c>
      <c r="D48" s="230" t="s">
        <v>416</v>
      </c>
      <c r="E48" s="231">
        <v>221497.28</v>
      </c>
      <c r="F48" s="232" t="str">
        <f>$J$2</f>
        <v>GRSM</v>
      </c>
      <c r="G48" s="232">
        <f t="shared" si="12"/>
        <v>0</v>
      </c>
      <c r="H48" s="234">
        <v>0</v>
      </c>
      <c r="I48" s="234">
        <f t="shared" si="8"/>
        <v>0</v>
      </c>
      <c r="J48" s="232">
        <f t="shared" si="9"/>
        <v>221497.28</v>
      </c>
      <c r="K48" s="259" t="s">
        <v>316</v>
      </c>
      <c r="L48" s="352">
        <v>33590.220318126499</v>
      </c>
      <c r="M48" s="236">
        <f>J48-L48</f>
        <v>187907.05968187351</v>
      </c>
      <c r="N48" s="232">
        <f t="shared" si="11"/>
        <v>0</v>
      </c>
      <c r="O48" s="239">
        <v>2</v>
      </c>
    </row>
    <row r="49" spans="1:15" x14ac:dyDescent="0.2">
      <c r="A49" s="237" t="s">
        <v>417</v>
      </c>
      <c r="B49" s="229">
        <v>454</v>
      </c>
      <c r="C49" s="238" t="s">
        <v>418</v>
      </c>
      <c r="D49" s="230" t="s">
        <v>419</v>
      </c>
      <c r="E49" s="231">
        <v>0</v>
      </c>
      <c r="F49" s="232" t="str">
        <f>$J$2</f>
        <v>GRSM</v>
      </c>
      <c r="G49" s="232">
        <f t="shared" si="12"/>
        <v>0</v>
      </c>
      <c r="H49" s="234">
        <v>0</v>
      </c>
      <c r="I49" s="234">
        <f t="shared" si="8"/>
        <v>0</v>
      </c>
      <c r="J49" s="232">
        <f t="shared" si="9"/>
        <v>0</v>
      </c>
      <c r="K49" s="259" t="s">
        <v>316</v>
      </c>
      <c r="L49" s="352">
        <v>0</v>
      </c>
      <c r="M49" s="236">
        <f t="shared" ref="M49:M67" si="13">J49-L49</f>
        <v>0</v>
      </c>
      <c r="N49" s="232">
        <f t="shared" si="11"/>
        <v>0</v>
      </c>
      <c r="O49" s="239">
        <v>2</v>
      </c>
    </row>
    <row r="50" spans="1:15" x14ac:dyDescent="0.2">
      <c r="A50" s="237" t="s">
        <v>420</v>
      </c>
      <c r="B50" s="229">
        <v>454</v>
      </c>
      <c r="C50" s="238" t="s">
        <v>421</v>
      </c>
      <c r="D50" s="230" t="s">
        <v>422</v>
      </c>
      <c r="E50" s="231">
        <v>828</v>
      </c>
      <c r="F50" s="232" t="str">
        <f>$J$2</f>
        <v>GRSM</v>
      </c>
      <c r="G50" s="232">
        <f t="shared" si="12"/>
        <v>0</v>
      </c>
      <c r="H50" s="234">
        <v>0</v>
      </c>
      <c r="I50" s="234">
        <f t="shared" si="8"/>
        <v>0</v>
      </c>
      <c r="J50" s="232">
        <f t="shared" si="9"/>
        <v>828</v>
      </c>
      <c r="K50" s="259" t="s">
        <v>316</v>
      </c>
      <c r="L50" s="352">
        <v>234.18678991550999</v>
      </c>
      <c r="M50" s="236">
        <f t="shared" si="13"/>
        <v>593.81321008449004</v>
      </c>
      <c r="N50" s="232">
        <f t="shared" si="11"/>
        <v>0</v>
      </c>
      <c r="O50" s="239">
        <v>2</v>
      </c>
    </row>
    <row r="51" spans="1:15" x14ac:dyDescent="0.2">
      <c r="A51" s="237" t="s">
        <v>423</v>
      </c>
      <c r="B51" s="229">
        <v>454</v>
      </c>
      <c r="C51" s="267" t="s">
        <v>424</v>
      </c>
      <c r="D51" s="230" t="s">
        <v>425</v>
      </c>
      <c r="E51" s="231">
        <v>39567.71</v>
      </c>
      <c r="F51" s="232" t="str">
        <f>$J$2</f>
        <v>GRSM</v>
      </c>
      <c r="G51" s="232">
        <f t="shared" si="12"/>
        <v>0</v>
      </c>
      <c r="H51" s="234">
        <v>0</v>
      </c>
      <c r="I51" s="234">
        <f t="shared" si="8"/>
        <v>0</v>
      </c>
      <c r="J51" s="232">
        <f t="shared" si="9"/>
        <v>39567.71</v>
      </c>
      <c r="K51" s="259" t="s">
        <v>316</v>
      </c>
      <c r="L51" s="352">
        <v>9351.1102870652994</v>
      </c>
      <c r="M51" s="236">
        <f t="shared" si="13"/>
        <v>30216.599712934702</v>
      </c>
      <c r="N51" s="232">
        <f t="shared" si="11"/>
        <v>0</v>
      </c>
      <c r="O51" s="233">
        <v>2</v>
      </c>
    </row>
    <row r="52" spans="1:15" x14ac:dyDescent="0.2">
      <c r="A52" s="237" t="s">
        <v>426</v>
      </c>
      <c r="B52" s="229">
        <v>454</v>
      </c>
      <c r="C52" s="230" t="s">
        <v>427</v>
      </c>
      <c r="D52" s="230" t="s">
        <v>428</v>
      </c>
      <c r="E52" s="231">
        <v>-192431.78</v>
      </c>
      <c r="F52" s="232" t="str">
        <f>$G$2</f>
        <v>Traditional OOR</v>
      </c>
      <c r="G52" s="232">
        <f t="shared" si="12"/>
        <v>-192431.78</v>
      </c>
      <c r="H52" s="234">
        <v>0</v>
      </c>
      <c r="I52" s="234">
        <f t="shared" si="8"/>
        <v>-192431.78</v>
      </c>
      <c r="J52" s="232">
        <f t="shared" si="9"/>
        <v>0</v>
      </c>
      <c r="K52" s="232"/>
      <c r="L52" s="353"/>
      <c r="M52" s="236">
        <f t="shared" si="13"/>
        <v>0</v>
      </c>
      <c r="N52" s="232">
        <f t="shared" si="11"/>
        <v>0</v>
      </c>
      <c r="O52" s="233">
        <v>4</v>
      </c>
    </row>
    <row r="53" spans="1:15" x14ac:dyDescent="0.2">
      <c r="A53" s="237" t="s">
        <v>429</v>
      </c>
      <c r="B53" s="229">
        <v>454</v>
      </c>
      <c r="C53" s="238" t="s">
        <v>430</v>
      </c>
      <c r="D53" s="230" t="s">
        <v>431</v>
      </c>
      <c r="E53" s="231">
        <v>1519358.41</v>
      </c>
      <c r="F53" s="232" t="str">
        <f>$N$2</f>
        <v>Other Ratemaking</v>
      </c>
      <c r="G53" s="232">
        <f>I53+H53</f>
        <v>65241.250125399994</v>
      </c>
      <c r="H53" s="234">
        <f>E53*$D$239</f>
        <v>65241.250125399994</v>
      </c>
      <c r="I53" s="234">
        <v>0</v>
      </c>
      <c r="J53" s="232">
        <f t="shared" si="9"/>
        <v>0</v>
      </c>
      <c r="K53" s="232"/>
      <c r="L53" s="351"/>
      <c r="M53" s="236">
        <f t="shared" si="13"/>
        <v>0</v>
      </c>
      <c r="N53" s="232">
        <f>IF(F53=$N$2,E53-H53,0)</f>
        <v>1454117.1598745999</v>
      </c>
      <c r="O53" s="239" t="s">
        <v>432</v>
      </c>
    </row>
    <row r="54" spans="1:15" x14ac:dyDescent="0.2">
      <c r="A54" s="237" t="s">
        <v>433</v>
      </c>
      <c r="B54" s="229">
        <v>454</v>
      </c>
      <c r="C54" s="238" t="s">
        <v>434</v>
      </c>
      <c r="D54" s="230" t="s">
        <v>435</v>
      </c>
      <c r="E54" s="231">
        <v>0</v>
      </c>
      <c r="F54" s="232" t="str">
        <f>$G$2</f>
        <v>Traditional OOR</v>
      </c>
      <c r="G54" s="232">
        <f t="shared" si="12"/>
        <v>0</v>
      </c>
      <c r="H54" s="234">
        <f>E54*$D$239</f>
        <v>0</v>
      </c>
      <c r="I54" s="234">
        <f>G54-H54</f>
        <v>0</v>
      </c>
      <c r="J54" s="232">
        <f t="shared" si="9"/>
        <v>0</v>
      </c>
      <c r="K54" s="232"/>
      <c r="L54" s="351"/>
      <c r="M54" s="236">
        <f t="shared" si="13"/>
        <v>0</v>
      </c>
      <c r="N54" s="232">
        <f t="shared" si="11"/>
        <v>0</v>
      </c>
      <c r="O54" s="239">
        <v>7</v>
      </c>
    </row>
    <row r="55" spans="1:15" x14ac:dyDescent="0.2">
      <c r="A55" s="237" t="s">
        <v>436</v>
      </c>
      <c r="B55" s="229">
        <v>454</v>
      </c>
      <c r="C55" s="230" t="s">
        <v>437</v>
      </c>
      <c r="D55" s="230" t="s">
        <v>438</v>
      </c>
      <c r="E55" s="231">
        <v>1212325.1200000001</v>
      </c>
      <c r="F55" s="232" t="str">
        <f>$N$2</f>
        <v>Other Ratemaking</v>
      </c>
      <c r="G55" s="232">
        <f>I55+H55</f>
        <v>52057.240652800007</v>
      </c>
      <c r="H55" s="234">
        <f>E55*$D$239</f>
        <v>52057.240652800007</v>
      </c>
      <c r="I55" s="234">
        <v>0</v>
      </c>
      <c r="J55" s="232">
        <f t="shared" si="9"/>
        <v>0</v>
      </c>
      <c r="K55" s="232"/>
      <c r="L55" s="351"/>
      <c r="M55" s="234">
        <f t="shared" si="13"/>
        <v>0</v>
      </c>
      <c r="N55" s="232">
        <f>IF(F55=$N$2,E55-H55,0)</f>
        <v>1160267.8793472</v>
      </c>
      <c r="O55" s="233" t="s">
        <v>432</v>
      </c>
    </row>
    <row r="56" spans="1:15" x14ac:dyDescent="0.2">
      <c r="A56" s="237" t="s">
        <v>439</v>
      </c>
      <c r="B56" s="229">
        <v>454</v>
      </c>
      <c r="C56" s="238" t="s">
        <v>440</v>
      </c>
      <c r="D56" s="230" t="s">
        <v>441</v>
      </c>
      <c r="E56" s="231">
        <v>0</v>
      </c>
      <c r="F56" s="232" t="str">
        <f t="shared" ref="F56:F61" si="14">$G$2</f>
        <v>Traditional OOR</v>
      </c>
      <c r="G56" s="232">
        <f t="shared" si="12"/>
        <v>0</v>
      </c>
      <c r="H56" s="234">
        <f>E56*$D$233</f>
        <v>0</v>
      </c>
      <c r="I56" s="234">
        <f t="shared" ref="I56:I67" si="15">G56-H56</f>
        <v>0</v>
      </c>
      <c r="J56" s="232">
        <f t="shared" si="9"/>
        <v>0</v>
      </c>
      <c r="K56" s="232"/>
      <c r="L56" s="351"/>
      <c r="M56" s="236">
        <f t="shared" si="13"/>
        <v>0</v>
      </c>
      <c r="N56" s="232">
        <f t="shared" si="11"/>
        <v>0</v>
      </c>
      <c r="O56" s="239">
        <v>7</v>
      </c>
    </row>
    <row r="57" spans="1:15" x14ac:dyDescent="0.2">
      <c r="A57" s="237" t="s">
        <v>442</v>
      </c>
      <c r="B57" s="229">
        <v>454</v>
      </c>
      <c r="C57" s="238" t="s">
        <v>443</v>
      </c>
      <c r="D57" s="230" t="s">
        <v>444</v>
      </c>
      <c r="E57" s="231">
        <v>0</v>
      </c>
      <c r="F57" s="232" t="str">
        <f t="shared" si="14"/>
        <v>Traditional OOR</v>
      </c>
      <c r="G57" s="232">
        <f t="shared" si="12"/>
        <v>0</v>
      </c>
      <c r="H57" s="234">
        <v>0</v>
      </c>
      <c r="I57" s="234">
        <f t="shared" si="15"/>
        <v>0</v>
      </c>
      <c r="J57" s="232">
        <f t="shared" si="9"/>
        <v>0</v>
      </c>
      <c r="K57" s="232"/>
      <c r="L57" s="351"/>
      <c r="M57" s="236">
        <f t="shared" si="13"/>
        <v>0</v>
      </c>
      <c r="N57" s="232">
        <f t="shared" si="11"/>
        <v>0</v>
      </c>
      <c r="O57" s="239">
        <v>1</v>
      </c>
    </row>
    <row r="58" spans="1:15" x14ac:dyDescent="0.2">
      <c r="A58" s="237" t="s">
        <v>445</v>
      </c>
      <c r="B58" s="229">
        <v>454</v>
      </c>
      <c r="C58" s="238" t="s">
        <v>446</v>
      </c>
      <c r="D58" s="230" t="s">
        <v>447</v>
      </c>
      <c r="E58" s="231">
        <v>10847745.6</v>
      </c>
      <c r="F58" s="232" t="str">
        <f t="shared" si="14"/>
        <v>Traditional OOR</v>
      </c>
      <c r="G58" s="232">
        <f t="shared" si="12"/>
        <v>10847745.6</v>
      </c>
      <c r="H58" s="234">
        <v>0</v>
      </c>
      <c r="I58" s="234">
        <f t="shared" si="15"/>
        <v>10847745.6</v>
      </c>
      <c r="J58" s="232">
        <f t="shared" si="9"/>
        <v>0</v>
      </c>
      <c r="K58" s="232"/>
      <c r="L58" s="351"/>
      <c r="M58" s="236">
        <f t="shared" si="13"/>
        <v>0</v>
      </c>
      <c r="N58" s="232">
        <f t="shared" si="11"/>
        <v>0</v>
      </c>
      <c r="O58" s="239">
        <v>4</v>
      </c>
    </row>
    <row r="59" spans="1:15" x14ac:dyDescent="0.2">
      <c r="A59" s="237" t="s">
        <v>448</v>
      </c>
      <c r="B59" s="229">
        <v>454</v>
      </c>
      <c r="C59" s="238" t="s">
        <v>449</v>
      </c>
      <c r="D59" s="230" t="s">
        <v>450</v>
      </c>
      <c r="E59" s="231">
        <v>507134.93</v>
      </c>
      <c r="F59" s="232" t="str">
        <f t="shared" si="14"/>
        <v>Traditional OOR</v>
      </c>
      <c r="G59" s="232">
        <f t="shared" si="12"/>
        <v>507134.93</v>
      </c>
      <c r="H59" s="234">
        <v>0</v>
      </c>
      <c r="I59" s="234">
        <f>G59-H59</f>
        <v>507134.93</v>
      </c>
      <c r="J59" s="232">
        <f t="shared" si="9"/>
        <v>0</v>
      </c>
      <c r="K59" s="232"/>
      <c r="L59" s="351"/>
      <c r="M59" s="236">
        <f t="shared" si="13"/>
        <v>0</v>
      </c>
      <c r="N59" s="232">
        <f t="shared" si="11"/>
        <v>0</v>
      </c>
      <c r="O59" s="239">
        <v>4</v>
      </c>
    </row>
    <row r="60" spans="1:15" ht="13.5" thickBot="1" x14ac:dyDescent="0.25">
      <c r="A60" s="237" t="s">
        <v>451</v>
      </c>
      <c r="B60" s="229">
        <v>454</v>
      </c>
      <c r="C60" s="238" t="s">
        <v>452</v>
      </c>
      <c r="D60" s="230" t="s">
        <v>453</v>
      </c>
      <c r="E60" s="231">
        <v>23087340.27</v>
      </c>
      <c r="F60" s="232" t="str">
        <f t="shared" si="14"/>
        <v>Traditional OOR</v>
      </c>
      <c r="G60" s="232">
        <f t="shared" si="12"/>
        <v>23087340.27</v>
      </c>
      <c r="H60" s="269">
        <v>0</v>
      </c>
      <c r="I60" s="234">
        <f t="shared" si="15"/>
        <v>23087340.27</v>
      </c>
      <c r="J60" s="232">
        <f t="shared" si="9"/>
        <v>0</v>
      </c>
      <c r="K60" s="232"/>
      <c r="L60" s="351"/>
      <c r="M60" s="236">
        <f t="shared" si="13"/>
        <v>0</v>
      </c>
      <c r="N60" s="232">
        <f t="shared" si="11"/>
        <v>0</v>
      </c>
      <c r="O60" s="239">
        <v>4</v>
      </c>
    </row>
    <row r="61" spans="1:15" ht="13.5" thickBot="1" x14ac:dyDescent="0.25">
      <c r="A61" s="237" t="s">
        <v>454</v>
      </c>
      <c r="B61" s="229">
        <v>454</v>
      </c>
      <c r="C61" s="238" t="s">
        <v>455</v>
      </c>
      <c r="D61" s="230" t="s">
        <v>456</v>
      </c>
      <c r="E61" s="231">
        <v>15482177.789999999</v>
      </c>
      <c r="F61" s="232" t="str">
        <f t="shared" si="14"/>
        <v>Traditional OOR</v>
      </c>
      <c r="G61" s="270">
        <f t="shared" si="12"/>
        <v>15482177.789999999</v>
      </c>
      <c r="H61" s="271">
        <v>4087270.68</v>
      </c>
      <c r="I61" s="349">
        <f>G61-H61</f>
        <v>11394907.109999999</v>
      </c>
      <c r="J61" s="232">
        <f t="shared" si="9"/>
        <v>0</v>
      </c>
      <c r="K61" s="232"/>
      <c r="L61" s="351"/>
      <c r="M61" s="236">
        <f t="shared" si="13"/>
        <v>0</v>
      </c>
      <c r="N61" s="232">
        <f t="shared" si="11"/>
        <v>0</v>
      </c>
      <c r="O61" s="239">
        <v>8</v>
      </c>
    </row>
    <row r="62" spans="1:15" x14ac:dyDescent="0.2">
      <c r="A62" s="237" t="s">
        <v>457</v>
      </c>
      <c r="B62" s="229">
        <v>454</v>
      </c>
      <c r="C62" s="230" t="s">
        <v>458</v>
      </c>
      <c r="D62" s="230" t="s">
        <v>459</v>
      </c>
      <c r="E62" s="231">
        <v>19691016.609999999</v>
      </c>
      <c r="F62" s="232" t="str">
        <f>$J$2</f>
        <v>GRSM</v>
      </c>
      <c r="G62" s="232">
        <f t="shared" si="12"/>
        <v>0</v>
      </c>
      <c r="H62" s="273">
        <v>0</v>
      </c>
      <c r="I62" s="234">
        <f t="shared" si="15"/>
        <v>0</v>
      </c>
      <c r="J62" s="232">
        <f t="shared" si="9"/>
        <v>19691016.609999999</v>
      </c>
      <c r="K62" s="259" t="s">
        <v>316</v>
      </c>
      <c r="L62" s="351">
        <v>4003883.4364645602</v>
      </c>
      <c r="M62" s="236">
        <f t="shared" si="13"/>
        <v>15687133.17353544</v>
      </c>
      <c r="N62" s="232">
        <f t="shared" si="11"/>
        <v>0</v>
      </c>
      <c r="O62" s="233">
        <v>2</v>
      </c>
    </row>
    <row r="63" spans="1:15" x14ac:dyDescent="0.2">
      <c r="A63" s="237" t="s">
        <v>460</v>
      </c>
      <c r="B63" s="229">
        <v>454</v>
      </c>
      <c r="C63" s="238" t="s">
        <v>461</v>
      </c>
      <c r="D63" s="230" t="s">
        <v>462</v>
      </c>
      <c r="E63" s="231">
        <v>0</v>
      </c>
      <c r="F63" s="232" t="str">
        <f>$G$2</f>
        <v>Traditional OOR</v>
      </c>
      <c r="G63" s="232">
        <f t="shared" si="12"/>
        <v>0</v>
      </c>
      <c r="H63" s="234">
        <v>0</v>
      </c>
      <c r="I63" s="234">
        <f t="shared" si="15"/>
        <v>0</v>
      </c>
      <c r="J63" s="232">
        <f t="shared" si="9"/>
        <v>0</v>
      </c>
      <c r="K63" s="232"/>
      <c r="L63" s="351"/>
      <c r="M63" s="236">
        <f t="shared" si="13"/>
        <v>0</v>
      </c>
      <c r="N63" s="232">
        <f t="shared" si="11"/>
        <v>0</v>
      </c>
      <c r="O63" s="233">
        <v>4</v>
      </c>
    </row>
    <row r="64" spans="1:15" x14ac:dyDescent="0.2">
      <c r="A64" s="237" t="s">
        <v>463</v>
      </c>
      <c r="B64" s="229">
        <v>454</v>
      </c>
      <c r="C64" s="228" t="s">
        <v>393</v>
      </c>
      <c r="D64" s="230" t="s">
        <v>394</v>
      </c>
      <c r="E64" s="231">
        <v>-231.3</v>
      </c>
      <c r="F64" s="232" t="str">
        <f>$G$2</f>
        <v>Traditional OOR</v>
      </c>
      <c r="G64" s="232">
        <f t="shared" si="12"/>
        <v>-231.3</v>
      </c>
      <c r="H64" s="234">
        <v>0</v>
      </c>
      <c r="I64" s="234">
        <f t="shared" si="15"/>
        <v>-231.3</v>
      </c>
      <c r="J64" s="232">
        <f t="shared" si="9"/>
        <v>0</v>
      </c>
      <c r="K64" s="232"/>
      <c r="L64" s="351"/>
      <c r="M64" s="236">
        <f t="shared" si="13"/>
        <v>0</v>
      </c>
      <c r="N64" s="232">
        <f t="shared" si="11"/>
        <v>0</v>
      </c>
      <c r="O64" s="233">
        <v>1</v>
      </c>
    </row>
    <row r="65" spans="1:15" x14ac:dyDescent="0.2">
      <c r="A65" s="228" t="s">
        <v>464</v>
      </c>
      <c r="B65" s="229">
        <v>454</v>
      </c>
      <c r="C65" s="229">
        <v>4206515</v>
      </c>
      <c r="D65" s="260" t="s">
        <v>465</v>
      </c>
      <c r="E65" s="231">
        <v>695478.54</v>
      </c>
      <c r="F65" s="232" t="s">
        <v>325</v>
      </c>
      <c r="G65" s="232">
        <f t="shared" si="12"/>
        <v>0</v>
      </c>
      <c r="H65" s="234">
        <v>0</v>
      </c>
      <c r="I65" s="234">
        <f t="shared" si="15"/>
        <v>0</v>
      </c>
      <c r="J65" s="232">
        <f t="shared" si="9"/>
        <v>695478.54</v>
      </c>
      <c r="K65" s="232" t="s">
        <v>316</v>
      </c>
      <c r="L65" s="351">
        <v>220582.54559492599</v>
      </c>
      <c r="M65" s="234">
        <f t="shared" si="13"/>
        <v>474895.99440507405</v>
      </c>
      <c r="N65" s="232">
        <f t="shared" si="11"/>
        <v>0</v>
      </c>
      <c r="O65" s="233">
        <v>2</v>
      </c>
    </row>
    <row r="66" spans="1:15" x14ac:dyDescent="0.2">
      <c r="A66" s="228" t="s">
        <v>466</v>
      </c>
      <c r="B66" s="229">
        <v>454</v>
      </c>
      <c r="C66" s="229">
        <v>4184122</v>
      </c>
      <c r="D66" s="260" t="s">
        <v>467</v>
      </c>
      <c r="E66" s="231">
        <v>-40</v>
      </c>
      <c r="F66" s="232" t="s">
        <v>324</v>
      </c>
      <c r="G66" s="232">
        <f t="shared" si="12"/>
        <v>-40</v>
      </c>
      <c r="H66" s="234">
        <v>0</v>
      </c>
      <c r="I66" s="234">
        <f t="shared" si="15"/>
        <v>-40</v>
      </c>
      <c r="J66" s="232">
        <f t="shared" si="9"/>
        <v>0</v>
      </c>
      <c r="K66" s="232"/>
      <c r="L66" s="351"/>
      <c r="M66" s="234">
        <f t="shared" si="13"/>
        <v>0</v>
      </c>
      <c r="N66" s="232">
        <f t="shared" si="11"/>
        <v>0</v>
      </c>
      <c r="O66" s="233">
        <v>4</v>
      </c>
    </row>
    <row r="67" spans="1:15" x14ac:dyDescent="0.2">
      <c r="A67" s="228" t="s">
        <v>468</v>
      </c>
      <c r="B67" s="229">
        <v>454</v>
      </c>
      <c r="C67" s="229">
        <v>4184124</v>
      </c>
      <c r="D67" s="260" t="s">
        <v>469</v>
      </c>
      <c r="E67" s="231">
        <v>11600</v>
      </c>
      <c r="F67" s="232" t="s">
        <v>324</v>
      </c>
      <c r="G67" s="232">
        <f t="shared" si="12"/>
        <v>11600</v>
      </c>
      <c r="H67" s="234">
        <v>0</v>
      </c>
      <c r="I67" s="234">
        <f t="shared" si="15"/>
        <v>11600</v>
      </c>
      <c r="J67" s="232">
        <f t="shared" si="9"/>
        <v>0</v>
      </c>
      <c r="K67" s="232"/>
      <c r="L67" s="351"/>
      <c r="M67" s="234">
        <f t="shared" si="13"/>
        <v>0</v>
      </c>
      <c r="N67" s="232">
        <f t="shared" si="11"/>
        <v>0</v>
      </c>
      <c r="O67" s="233">
        <v>4</v>
      </c>
    </row>
    <row r="68" spans="1:15" x14ac:dyDescent="0.2">
      <c r="A68" s="228"/>
      <c r="B68" s="229"/>
      <c r="C68" s="230"/>
      <c r="D68" s="260"/>
      <c r="E68" s="231"/>
      <c r="F68" s="231"/>
      <c r="G68" s="248"/>
      <c r="H68" s="247"/>
      <c r="I68" s="247"/>
      <c r="J68" s="231"/>
      <c r="K68" s="231"/>
      <c r="L68" s="247"/>
      <c r="M68" s="247"/>
      <c r="N68" s="231"/>
      <c r="O68" s="246"/>
    </row>
    <row r="69" spans="1:15" x14ac:dyDescent="0.2">
      <c r="A69" s="241"/>
      <c r="B69" s="242"/>
      <c r="C69" s="243"/>
      <c r="D69" s="244"/>
      <c r="E69" s="231"/>
      <c r="F69" s="231"/>
      <c r="G69" s="248"/>
      <c r="H69" s="247"/>
      <c r="I69" s="247"/>
      <c r="J69" s="231"/>
      <c r="K69" s="231"/>
      <c r="L69" s="247"/>
      <c r="M69" s="247"/>
      <c r="N69" s="231"/>
      <c r="O69" s="246"/>
    </row>
    <row r="70" spans="1:15" x14ac:dyDescent="0.2">
      <c r="A70" s="237">
        <v>11</v>
      </c>
      <c r="B70" s="507" t="s">
        <v>470</v>
      </c>
      <c r="C70" s="508"/>
      <c r="D70" s="509"/>
      <c r="E70" s="249">
        <f>SUM(E42:E69)</f>
        <v>77162165.840000004</v>
      </c>
      <c r="F70" s="250"/>
      <c r="G70" s="249">
        <f>SUM(G42:G69)</f>
        <v>53899392.660778202</v>
      </c>
      <c r="H70" s="274">
        <f>SUM(H42:H69)</f>
        <v>4204569.1707782</v>
      </c>
      <c r="I70" s="274">
        <f>SUM(I42:I69)</f>
        <v>49694823.490000002</v>
      </c>
      <c r="J70" s="249">
        <f>SUM(J42:J69)</f>
        <v>20648388.139999997</v>
      </c>
      <c r="K70" s="250"/>
      <c r="L70" s="249">
        <f>SUM(L42:L69)</f>
        <v>4267641.4994545933</v>
      </c>
      <c r="M70" s="249">
        <f>SUM(M42:M69)</f>
        <v>16380746.640545407</v>
      </c>
      <c r="N70" s="249">
        <f>SUM(N42:N69)</f>
        <v>2614385.0392217999</v>
      </c>
      <c r="O70" s="213"/>
    </row>
    <row r="71" spans="1:15" ht="24.75" customHeight="1" x14ac:dyDescent="0.2">
      <c r="A71" s="237">
        <v>12</v>
      </c>
      <c r="B71" s="501" t="s">
        <v>471</v>
      </c>
      <c r="C71" s="502"/>
      <c r="D71" s="503"/>
      <c r="E71" s="252">
        <v>77162166</v>
      </c>
      <c r="F71" s="253"/>
      <c r="G71" s="275"/>
      <c r="H71" s="253"/>
      <c r="I71" s="253"/>
      <c r="J71" s="254"/>
      <c r="K71" s="253"/>
      <c r="L71" s="254"/>
      <c r="M71" s="254"/>
      <c r="N71" s="254"/>
      <c r="O71" s="165"/>
    </row>
    <row r="72" spans="1:15" x14ac:dyDescent="0.2">
      <c r="A72" s="255"/>
      <c r="B72" s="256"/>
      <c r="C72" s="257"/>
      <c r="D72" s="258"/>
      <c r="E72" s="254"/>
      <c r="F72" s="254"/>
      <c r="G72" s="254"/>
      <c r="H72" s="253"/>
      <c r="I72" s="253"/>
      <c r="J72" s="254"/>
      <c r="K72" s="253"/>
      <c r="L72" s="254"/>
      <c r="M72" s="254"/>
      <c r="N72" s="254"/>
      <c r="O72" s="165"/>
    </row>
    <row r="73" spans="1:15" x14ac:dyDescent="0.2">
      <c r="A73" s="237" t="s">
        <v>472</v>
      </c>
      <c r="B73" s="229">
        <v>456</v>
      </c>
      <c r="C73" s="238" t="s">
        <v>473</v>
      </c>
      <c r="D73" s="230" t="s">
        <v>474</v>
      </c>
      <c r="E73" s="231">
        <v>3476377.82</v>
      </c>
      <c r="F73" s="232" t="str">
        <f t="shared" ref="F73:F81" si="16">$G$2</f>
        <v>Traditional OOR</v>
      </c>
      <c r="G73" s="232">
        <f t="shared" ref="G73:G130" si="17">IF(F73=$G$2,E73,0)</f>
        <v>3476377.82</v>
      </c>
      <c r="H73" s="234">
        <v>0</v>
      </c>
      <c r="I73" s="234">
        <f t="shared" ref="I73:I130" si="18">G73-H73</f>
        <v>3476377.82</v>
      </c>
      <c r="J73" s="232">
        <f t="shared" ref="J73:J128" si="19">IF(F73=$J$2,E73,0)</f>
        <v>0</v>
      </c>
      <c r="K73" s="232"/>
      <c r="L73" s="247"/>
      <c r="M73" s="236">
        <f>J73-L73</f>
        <v>0</v>
      </c>
      <c r="N73" s="232">
        <f t="shared" ref="N73:N128" si="20">IF(F73=$N$2,E73,0)</f>
        <v>0</v>
      </c>
      <c r="O73" s="239">
        <v>1</v>
      </c>
    </row>
    <row r="74" spans="1:15" x14ac:dyDescent="0.2">
      <c r="A74" s="237" t="s">
        <v>475</v>
      </c>
      <c r="B74" s="229">
        <v>456</v>
      </c>
      <c r="C74" s="238" t="s">
        <v>476</v>
      </c>
      <c r="D74" s="230" t="s">
        <v>477</v>
      </c>
      <c r="E74" s="231">
        <v>3267384.85</v>
      </c>
      <c r="F74" s="232" t="str">
        <f t="shared" si="16"/>
        <v>Traditional OOR</v>
      </c>
      <c r="G74" s="232">
        <f t="shared" si="17"/>
        <v>3267384.85</v>
      </c>
      <c r="H74" s="234">
        <v>0</v>
      </c>
      <c r="I74" s="234">
        <f t="shared" si="18"/>
        <v>3267384.85</v>
      </c>
      <c r="J74" s="232">
        <f t="shared" si="19"/>
        <v>0</v>
      </c>
      <c r="K74" s="232"/>
      <c r="L74" s="247"/>
      <c r="M74" s="236">
        <f t="shared" ref="M74:M124" si="21">J74-L74</f>
        <v>0</v>
      </c>
      <c r="N74" s="232">
        <f t="shared" si="20"/>
        <v>0</v>
      </c>
      <c r="O74" s="239">
        <v>4</v>
      </c>
    </row>
    <row r="75" spans="1:15" x14ac:dyDescent="0.2">
      <c r="A75" s="237" t="s">
        <v>478</v>
      </c>
      <c r="B75" s="229">
        <v>456</v>
      </c>
      <c r="C75" s="238" t="s">
        <v>479</v>
      </c>
      <c r="D75" s="230" t="s">
        <v>480</v>
      </c>
      <c r="E75" s="231">
        <v>332062.93</v>
      </c>
      <c r="F75" s="232" t="str">
        <f t="shared" si="16"/>
        <v>Traditional OOR</v>
      </c>
      <c r="G75" s="232">
        <f t="shared" si="17"/>
        <v>332062.93</v>
      </c>
      <c r="H75" s="234">
        <v>0</v>
      </c>
      <c r="I75" s="234">
        <f t="shared" si="18"/>
        <v>332062.93</v>
      </c>
      <c r="J75" s="232">
        <f t="shared" si="19"/>
        <v>0</v>
      </c>
      <c r="K75" s="232"/>
      <c r="L75" s="247"/>
      <c r="M75" s="236">
        <f t="shared" si="21"/>
        <v>0</v>
      </c>
      <c r="N75" s="232">
        <f t="shared" si="20"/>
        <v>0</v>
      </c>
      <c r="O75" s="239">
        <v>4</v>
      </c>
    </row>
    <row r="76" spans="1:15" x14ac:dyDescent="0.2">
      <c r="A76" s="237" t="s">
        <v>481</v>
      </c>
      <c r="B76" s="229">
        <v>456</v>
      </c>
      <c r="C76" s="238" t="s">
        <v>482</v>
      </c>
      <c r="D76" s="230" t="s">
        <v>483</v>
      </c>
      <c r="E76" s="231">
        <v>0</v>
      </c>
      <c r="F76" s="232" t="str">
        <f t="shared" si="16"/>
        <v>Traditional OOR</v>
      </c>
      <c r="G76" s="232">
        <f t="shared" si="17"/>
        <v>0</v>
      </c>
      <c r="H76" s="234">
        <v>0</v>
      </c>
      <c r="I76" s="234">
        <f t="shared" si="18"/>
        <v>0</v>
      </c>
      <c r="J76" s="232">
        <f t="shared" si="19"/>
        <v>0</v>
      </c>
      <c r="K76" s="232"/>
      <c r="L76" s="247"/>
      <c r="M76" s="236">
        <f t="shared" si="21"/>
        <v>0</v>
      </c>
      <c r="N76" s="232">
        <f t="shared" si="20"/>
        <v>0</v>
      </c>
      <c r="O76" s="239">
        <v>3</v>
      </c>
    </row>
    <row r="77" spans="1:15" x14ac:dyDescent="0.2">
      <c r="A77" s="228" t="s">
        <v>484</v>
      </c>
      <c r="B77" s="229">
        <v>456</v>
      </c>
      <c r="C77" s="230" t="s">
        <v>485</v>
      </c>
      <c r="D77" s="230" t="s">
        <v>486</v>
      </c>
      <c r="E77" s="231">
        <v>0</v>
      </c>
      <c r="F77" s="232" t="str">
        <f t="shared" si="16"/>
        <v>Traditional OOR</v>
      </c>
      <c r="G77" s="232">
        <f t="shared" si="17"/>
        <v>0</v>
      </c>
      <c r="H77" s="234">
        <v>0</v>
      </c>
      <c r="I77" s="234">
        <f t="shared" si="18"/>
        <v>0</v>
      </c>
      <c r="J77" s="232">
        <f t="shared" si="19"/>
        <v>0</v>
      </c>
      <c r="K77" s="232"/>
      <c r="L77" s="247"/>
      <c r="M77" s="236">
        <f t="shared" si="21"/>
        <v>0</v>
      </c>
      <c r="N77" s="232">
        <f t="shared" si="20"/>
        <v>0</v>
      </c>
      <c r="O77" s="239">
        <v>1</v>
      </c>
    </row>
    <row r="78" spans="1:15" x14ac:dyDescent="0.2">
      <c r="A78" s="228" t="s">
        <v>487</v>
      </c>
      <c r="B78" s="229">
        <v>456</v>
      </c>
      <c r="C78" s="230" t="s">
        <v>488</v>
      </c>
      <c r="D78" s="230" t="s">
        <v>489</v>
      </c>
      <c r="E78" s="231">
        <v>15787444.390000001</v>
      </c>
      <c r="F78" s="232" t="str">
        <f t="shared" si="16"/>
        <v>Traditional OOR</v>
      </c>
      <c r="G78" s="232">
        <f t="shared" si="17"/>
        <v>15787444.390000001</v>
      </c>
      <c r="H78" s="234">
        <v>0</v>
      </c>
      <c r="I78" s="234">
        <f t="shared" si="18"/>
        <v>15787444.390000001</v>
      </c>
      <c r="J78" s="232">
        <f t="shared" si="19"/>
        <v>0</v>
      </c>
      <c r="K78" s="232"/>
      <c r="L78" s="247"/>
      <c r="M78" s="236">
        <f t="shared" si="21"/>
        <v>0</v>
      </c>
      <c r="N78" s="232">
        <f t="shared" si="20"/>
        <v>0</v>
      </c>
      <c r="O78" s="239">
        <v>1</v>
      </c>
    </row>
    <row r="79" spans="1:15" x14ac:dyDescent="0.2">
      <c r="A79" s="228" t="s">
        <v>490</v>
      </c>
      <c r="B79" s="229">
        <v>456</v>
      </c>
      <c r="C79" s="230" t="s">
        <v>491</v>
      </c>
      <c r="D79" s="230" t="s">
        <v>492</v>
      </c>
      <c r="E79" s="231">
        <v>0</v>
      </c>
      <c r="F79" s="232" t="str">
        <f t="shared" si="16"/>
        <v>Traditional OOR</v>
      </c>
      <c r="G79" s="232">
        <f t="shared" si="17"/>
        <v>0</v>
      </c>
      <c r="H79" s="234">
        <v>0</v>
      </c>
      <c r="I79" s="234">
        <f t="shared" si="18"/>
        <v>0</v>
      </c>
      <c r="J79" s="232">
        <f t="shared" si="19"/>
        <v>0</v>
      </c>
      <c r="K79" s="232"/>
      <c r="L79" s="247"/>
      <c r="M79" s="236">
        <f t="shared" si="21"/>
        <v>0</v>
      </c>
      <c r="N79" s="232">
        <f t="shared" si="20"/>
        <v>0</v>
      </c>
      <c r="O79" s="239">
        <v>3</v>
      </c>
    </row>
    <row r="80" spans="1:15" x14ac:dyDescent="0.2">
      <c r="A80" s="228" t="s">
        <v>493</v>
      </c>
      <c r="B80" s="229">
        <v>456</v>
      </c>
      <c r="C80" s="229">
        <v>4186142</v>
      </c>
      <c r="D80" s="230" t="s">
        <v>494</v>
      </c>
      <c r="E80" s="231">
        <v>3427.67</v>
      </c>
      <c r="F80" s="232" t="str">
        <f t="shared" si="16"/>
        <v>Traditional OOR</v>
      </c>
      <c r="G80" s="232">
        <f>IF(F80=$G$2,E80,0)</f>
        <v>3427.67</v>
      </c>
      <c r="H80" s="234">
        <v>0</v>
      </c>
      <c r="I80" s="234">
        <f>G80-H80</f>
        <v>3427.67</v>
      </c>
      <c r="J80" s="232">
        <f t="shared" si="19"/>
        <v>0</v>
      </c>
      <c r="K80" s="232"/>
      <c r="L80" s="247"/>
      <c r="M80" s="236">
        <f t="shared" si="21"/>
        <v>0</v>
      </c>
      <c r="N80" s="232">
        <f t="shared" si="20"/>
        <v>0</v>
      </c>
      <c r="O80" s="239">
        <v>4</v>
      </c>
    </row>
    <row r="81" spans="1:15" x14ac:dyDescent="0.2">
      <c r="A81" s="228" t="s">
        <v>495</v>
      </c>
      <c r="B81" s="229">
        <v>456</v>
      </c>
      <c r="C81" s="230" t="s">
        <v>496</v>
      </c>
      <c r="D81" s="230" t="s">
        <v>497</v>
      </c>
      <c r="E81" s="231">
        <v>0</v>
      </c>
      <c r="F81" s="232" t="str">
        <f t="shared" si="16"/>
        <v>Traditional OOR</v>
      </c>
      <c r="G81" s="232">
        <f t="shared" si="17"/>
        <v>0</v>
      </c>
      <c r="H81" s="234">
        <f>E81*$D$233</f>
        <v>0</v>
      </c>
      <c r="I81" s="234">
        <f t="shared" si="18"/>
        <v>0</v>
      </c>
      <c r="J81" s="232">
        <f t="shared" si="19"/>
        <v>0</v>
      </c>
      <c r="K81" s="232"/>
      <c r="L81" s="247"/>
      <c r="M81" s="236">
        <f t="shared" si="21"/>
        <v>0</v>
      </c>
      <c r="N81" s="232">
        <f t="shared" si="20"/>
        <v>0</v>
      </c>
      <c r="O81" s="239">
        <v>7</v>
      </c>
    </row>
    <row r="82" spans="1:15" x14ac:dyDescent="0.2">
      <c r="A82" s="228" t="s">
        <v>498</v>
      </c>
      <c r="B82" s="229">
        <v>456</v>
      </c>
      <c r="C82" s="230" t="s">
        <v>499</v>
      </c>
      <c r="D82" s="230" t="s">
        <v>500</v>
      </c>
      <c r="E82" s="231">
        <v>227140.55</v>
      </c>
      <c r="F82" s="232" t="str">
        <f>$N$2</f>
        <v>Other Ratemaking</v>
      </c>
      <c r="G82" s="232">
        <f>I82+H82</f>
        <v>9753.4152169999998</v>
      </c>
      <c r="H82" s="234">
        <f>E82*$D$239</f>
        <v>9753.4152169999998</v>
      </c>
      <c r="I82" s="234">
        <v>0</v>
      </c>
      <c r="J82" s="232">
        <f t="shared" si="19"/>
        <v>0</v>
      </c>
      <c r="K82" s="232"/>
      <c r="L82" s="247"/>
      <c r="M82" s="236">
        <f t="shared" si="21"/>
        <v>0</v>
      </c>
      <c r="N82" s="232">
        <f>IF(F82=$N$2,E82-H82,0)</f>
        <v>217387.13478299999</v>
      </c>
      <c r="O82" s="239" t="s">
        <v>432</v>
      </c>
    </row>
    <row r="83" spans="1:15" x14ac:dyDescent="0.2">
      <c r="A83" s="228" t="s">
        <v>501</v>
      </c>
      <c r="B83" s="229">
        <v>456</v>
      </c>
      <c r="C83" s="230" t="s">
        <v>502</v>
      </c>
      <c r="D83" s="230" t="s">
        <v>503</v>
      </c>
      <c r="E83" s="231">
        <v>1205.7</v>
      </c>
      <c r="F83" s="232" t="str">
        <f t="shared" ref="F83:F88" si="22">$G$2</f>
        <v>Traditional OOR</v>
      </c>
      <c r="G83" s="232">
        <f t="shared" si="17"/>
        <v>1205.7</v>
      </c>
      <c r="H83" s="234">
        <v>0</v>
      </c>
      <c r="I83" s="234">
        <f t="shared" si="18"/>
        <v>1205.7</v>
      </c>
      <c r="J83" s="232">
        <f t="shared" si="19"/>
        <v>0</v>
      </c>
      <c r="K83" s="232"/>
      <c r="L83" s="247"/>
      <c r="M83" s="236">
        <f t="shared" si="21"/>
        <v>0</v>
      </c>
      <c r="N83" s="232">
        <f t="shared" si="20"/>
        <v>0</v>
      </c>
      <c r="O83" s="239">
        <v>4</v>
      </c>
    </row>
    <row r="84" spans="1:15" x14ac:dyDescent="0.2">
      <c r="A84" s="228" t="s">
        <v>504</v>
      </c>
      <c r="B84" s="229">
        <v>456</v>
      </c>
      <c r="C84" s="230" t="s">
        <v>505</v>
      </c>
      <c r="D84" s="230" t="s">
        <v>506</v>
      </c>
      <c r="E84" s="231">
        <v>12101.6</v>
      </c>
      <c r="F84" s="232" t="str">
        <f t="shared" si="22"/>
        <v>Traditional OOR</v>
      </c>
      <c r="G84" s="232">
        <f t="shared" si="17"/>
        <v>12101.6</v>
      </c>
      <c r="H84" s="234">
        <v>0</v>
      </c>
      <c r="I84" s="234">
        <f t="shared" si="18"/>
        <v>12101.6</v>
      </c>
      <c r="J84" s="232">
        <f t="shared" si="19"/>
        <v>0</v>
      </c>
      <c r="K84" s="232"/>
      <c r="L84" s="247"/>
      <c r="M84" s="236">
        <f t="shared" si="21"/>
        <v>0</v>
      </c>
      <c r="N84" s="232">
        <f t="shared" si="20"/>
        <v>0</v>
      </c>
      <c r="O84" s="239">
        <v>4</v>
      </c>
    </row>
    <row r="85" spans="1:15" x14ac:dyDescent="0.2">
      <c r="A85" s="228" t="s">
        <v>507</v>
      </c>
      <c r="B85" s="229">
        <v>456</v>
      </c>
      <c r="C85" s="230" t="s">
        <v>508</v>
      </c>
      <c r="D85" s="230" t="s">
        <v>509</v>
      </c>
      <c r="E85" s="231">
        <v>3656.6</v>
      </c>
      <c r="F85" s="232" t="str">
        <f t="shared" si="22"/>
        <v>Traditional OOR</v>
      </c>
      <c r="G85" s="232">
        <f t="shared" si="17"/>
        <v>3656.6</v>
      </c>
      <c r="H85" s="234">
        <v>0</v>
      </c>
      <c r="I85" s="234">
        <f t="shared" si="18"/>
        <v>3656.6</v>
      </c>
      <c r="J85" s="232">
        <f t="shared" si="19"/>
        <v>0</v>
      </c>
      <c r="K85" s="232"/>
      <c r="L85" s="247"/>
      <c r="M85" s="236">
        <f t="shared" si="21"/>
        <v>0</v>
      </c>
      <c r="N85" s="232">
        <f t="shared" si="20"/>
        <v>0</v>
      </c>
      <c r="O85" s="239">
        <v>4</v>
      </c>
    </row>
    <row r="86" spans="1:15" x14ac:dyDescent="0.2">
      <c r="A86" s="228" t="s">
        <v>510</v>
      </c>
      <c r="B86" s="229">
        <v>456</v>
      </c>
      <c r="C86" s="230" t="s">
        <v>511</v>
      </c>
      <c r="D86" s="230" t="s">
        <v>512</v>
      </c>
      <c r="E86" s="231">
        <v>827.5</v>
      </c>
      <c r="F86" s="232" t="str">
        <f t="shared" si="22"/>
        <v>Traditional OOR</v>
      </c>
      <c r="G86" s="232">
        <f t="shared" si="17"/>
        <v>827.5</v>
      </c>
      <c r="H86" s="234">
        <v>0</v>
      </c>
      <c r="I86" s="234">
        <f t="shared" si="18"/>
        <v>827.5</v>
      </c>
      <c r="J86" s="232">
        <f t="shared" si="19"/>
        <v>0</v>
      </c>
      <c r="K86" s="232"/>
      <c r="L86" s="247"/>
      <c r="M86" s="236">
        <f t="shared" si="21"/>
        <v>0</v>
      </c>
      <c r="N86" s="232">
        <f t="shared" si="20"/>
        <v>0</v>
      </c>
      <c r="O86" s="239">
        <v>4</v>
      </c>
    </row>
    <row r="87" spans="1:15" x14ac:dyDescent="0.2">
      <c r="A87" s="228" t="s">
        <v>513</v>
      </c>
      <c r="B87" s="229">
        <v>456</v>
      </c>
      <c r="C87" s="230" t="s">
        <v>514</v>
      </c>
      <c r="D87" s="230" t="s">
        <v>515</v>
      </c>
      <c r="E87" s="231">
        <v>704.1</v>
      </c>
      <c r="F87" s="232" t="str">
        <f t="shared" si="22"/>
        <v>Traditional OOR</v>
      </c>
      <c r="G87" s="232">
        <f t="shared" si="17"/>
        <v>704.1</v>
      </c>
      <c r="H87" s="234">
        <v>0</v>
      </c>
      <c r="I87" s="234">
        <f t="shared" si="18"/>
        <v>704.1</v>
      </c>
      <c r="J87" s="232">
        <f t="shared" si="19"/>
        <v>0</v>
      </c>
      <c r="K87" s="232"/>
      <c r="L87" s="247"/>
      <c r="M87" s="236">
        <f t="shared" si="21"/>
        <v>0</v>
      </c>
      <c r="N87" s="232">
        <f t="shared" si="20"/>
        <v>0</v>
      </c>
      <c r="O87" s="239">
        <v>4</v>
      </c>
    </row>
    <row r="88" spans="1:15" x14ac:dyDescent="0.2">
      <c r="A88" s="228" t="s">
        <v>516</v>
      </c>
      <c r="B88" s="229">
        <v>456</v>
      </c>
      <c r="C88" s="230" t="s">
        <v>517</v>
      </c>
      <c r="D88" s="230" t="s">
        <v>518</v>
      </c>
      <c r="E88" s="231">
        <v>191268</v>
      </c>
      <c r="F88" s="232" t="str">
        <f t="shared" si="22"/>
        <v>Traditional OOR</v>
      </c>
      <c r="G88" s="232">
        <f t="shared" si="17"/>
        <v>191268</v>
      </c>
      <c r="H88" s="234">
        <v>0</v>
      </c>
      <c r="I88" s="234">
        <f t="shared" si="18"/>
        <v>191268</v>
      </c>
      <c r="J88" s="232">
        <f t="shared" si="19"/>
        <v>0</v>
      </c>
      <c r="K88" s="232"/>
      <c r="L88" s="247"/>
      <c r="M88" s="236">
        <f t="shared" si="21"/>
        <v>0</v>
      </c>
      <c r="N88" s="232">
        <f t="shared" si="20"/>
        <v>0</v>
      </c>
      <c r="O88" s="239">
        <v>4</v>
      </c>
    </row>
    <row r="89" spans="1:15" x14ac:dyDescent="0.2">
      <c r="A89" s="228" t="s">
        <v>519</v>
      </c>
      <c r="B89" s="229">
        <v>456</v>
      </c>
      <c r="C89" s="230" t="s">
        <v>520</v>
      </c>
      <c r="D89" s="230" t="s">
        <v>521</v>
      </c>
      <c r="E89" s="231">
        <v>1469923.59</v>
      </c>
      <c r="F89" s="232" t="str">
        <f t="shared" ref="F89:F102" si="23">$J$2</f>
        <v>GRSM</v>
      </c>
      <c r="G89" s="232">
        <f t="shared" si="17"/>
        <v>0</v>
      </c>
      <c r="H89" s="234">
        <v>0</v>
      </c>
      <c r="I89" s="234">
        <f t="shared" si="18"/>
        <v>0</v>
      </c>
      <c r="J89" s="232">
        <f t="shared" si="19"/>
        <v>1469923.59</v>
      </c>
      <c r="K89" s="259" t="s">
        <v>316</v>
      </c>
      <c r="L89" s="268">
        <v>261008.08625465399</v>
      </c>
      <c r="M89" s="236">
        <f t="shared" si="21"/>
        <v>1208915.5037453461</v>
      </c>
      <c r="N89" s="232">
        <f t="shared" si="20"/>
        <v>0</v>
      </c>
      <c r="O89" s="239">
        <v>2</v>
      </c>
    </row>
    <row r="90" spans="1:15" x14ac:dyDescent="0.2">
      <c r="A90" s="228" t="s">
        <v>522</v>
      </c>
      <c r="B90" s="229">
        <v>456</v>
      </c>
      <c r="C90" s="230" t="s">
        <v>523</v>
      </c>
      <c r="D90" s="230" t="s">
        <v>524</v>
      </c>
      <c r="E90" s="231">
        <v>132373.41</v>
      </c>
      <c r="F90" s="232" t="str">
        <f t="shared" si="23"/>
        <v>GRSM</v>
      </c>
      <c r="G90" s="232">
        <f t="shared" si="17"/>
        <v>0</v>
      </c>
      <c r="H90" s="234">
        <v>0</v>
      </c>
      <c r="I90" s="234">
        <f t="shared" si="18"/>
        <v>0</v>
      </c>
      <c r="J90" s="232">
        <f t="shared" si="19"/>
        <v>132373.41</v>
      </c>
      <c r="K90" s="259" t="s">
        <v>316</v>
      </c>
      <c r="L90" s="268">
        <v>28291.397111287799</v>
      </c>
      <c r="M90" s="236">
        <f t="shared" si="21"/>
        <v>104082.0128887122</v>
      </c>
      <c r="N90" s="232">
        <f t="shared" si="20"/>
        <v>0</v>
      </c>
      <c r="O90" s="239">
        <v>2</v>
      </c>
    </row>
    <row r="91" spans="1:15" x14ac:dyDescent="0.2">
      <c r="A91" s="228" t="s">
        <v>525</v>
      </c>
      <c r="B91" s="229">
        <v>456</v>
      </c>
      <c r="C91" s="230" t="s">
        <v>526</v>
      </c>
      <c r="D91" s="230" t="s">
        <v>527</v>
      </c>
      <c r="E91" s="231">
        <v>44525</v>
      </c>
      <c r="F91" s="232" t="str">
        <f t="shared" si="23"/>
        <v>GRSM</v>
      </c>
      <c r="G91" s="232">
        <f t="shared" si="17"/>
        <v>0</v>
      </c>
      <c r="H91" s="234">
        <v>0</v>
      </c>
      <c r="I91" s="234">
        <f t="shared" si="18"/>
        <v>0</v>
      </c>
      <c r="J91" s="232">
        <f t="shared" si="19"/>
        <v>44525</v>
      </c>
      <c r="K91" s="259" t="s">
        <v>316</v>
      </c>
      <c r="L91" s="247">
        <v>2814.3511157049602</v>
      </c>
      <c r="M91" s="236">
        <f t="shared" si="21"/>
        <v>41710.648884295042</v>
      </c>
      <c r="N91" s="232">
        <f t="shared" si="20"/>
        <v>0</v>
      </c>
      <c r="O91" s="239">
        <v>2</v>
      </c>
    </row>
    <row r="92" spans="1:15" x14ac:dyDescent="0.2">
      <c r="A92" s="228" t="s">
        <v>528</v>
      </c>
      <c r="B92" s="229">
        <v>456</v>
      </c>
      <c r="C92" s="230" t="s">
        <v>529</v>
      </c>
      <c r="D92" s="230" t="s">
        <v>530</v>
      </c>
      <c r="E92" s="231">
        <v>0</v>
      </c>
      <c r="F92" s="232" t="str">
        <f t="shared" si="23"/>
        <v>GRSM</v>
      </c>
      <c r="G92" s="232">
        <f t="shared" si="17"/>
        <v>0</v>
      </c>
      <c r="H92" s="234">
        <v>0</v>
      </c>
      <c r="I92" s="234">
        <f t="shared" si="18"/>
        <v>0</v>
      </c>
      <c r="J92" s="232">
        <f t="shared" si="19"/>
        <v>0</v>
      </c>
      <c r="K92" s="259" t="s">
        <v>316</v>
      </c>
      <c r="L92" s="247"/>
      <c r="M92" s="236">
        <f t="shared" si="21"/>
        <v>0</v>
      </c>
      <c r="N92" s="232">
        <f t="shared" si="20"/>
        <v>0</v>
      </c>
      <c r="O92" s="233">
        <v>2</v>
      </c>
    </row>
    <row r="93" spans="1:15" x14ac:dyDescent="0.2">
      <c r="A93" s="228" t="s">
        <v>531</v>
      </c>
      <c r="B93" s="229">
        <v>456</v>
      </c>
      <c r="C93" s="230" t="s">
        <v>532</v>
      </c>
      <c r="D93" s="230" t="s">
        <v>533</v>
      </c>
      <c r="E93" s="231">
        <v>1765.73</v>
      </c>
      <c r="F93" s="232" t="str">
        <f t="shared" si="23"/>
        <v>GRSM</v>
      </c>
      <c r="G93" s="232">
        <f t="shared" si="17"/>
        <v>0</v>
      </c>
      <c r="H93" s="234">
        <v>0</v>
      </c>
      <c r="I93" s="234">
        <f t="shared" si="18"/>
        <v>0</v>
      </c>
      <c r="J93" s="232">
        <f t="shared" si="19"/>
        <v>1765.73</v>
      </c>
      <c r="K93" s="259" t="s">
        <v>316</v>
      </c>
      <c r="L93" s="247">
        <v>93.52568930871</v>
      </c>
      <c r="M93" s="236">
        <f t="shared" si="21"/>
        <v>1672.2043106912899</v>
      </c>
      <c r="N93" s="232">
        <f t="shared" si="20"/>
        <v>0</v>
      </c>
      <c r="O93" s="239">
        <v>2</v>
      </c>
    </row>
    <row r="94" spans="1:15" x14ac:dyDescent="0.2">
      <c r="A94" s="228" t="s">
        <v>534</v>
      </c>
      <c r="B94" s="229">
        <v>456</v>
      </c>
      <c r="C94" s="230" t="s">
        <v>535</v>
      </c>
      <c r="D94" s="230" t="s">
        <v>536</v>
      </c>
      <c r="E94" s="231">
        <v>1240</v>
      </c>
      <c r="F94" s="232" t="str">
        <f t="shared" si="23"/>
        <v>GRSM</v>
      </c>
      <c r="G94" s="232">
        <f t="shared" si="17"/>
        <v>0</v>
      </c>
      <c r="H94" s="234">
        <v>0</v>
      </c>
      <c r="I94" s="234">
        <f t="shared" si="18"/>
        <v>0</v>
      </c>
      <c r="J94" s="232">
        <f t="shared" si="19"/>
        <v>1240</v>
      </c>
      <c r="K94" s="259" t="s">
        <v>316</v>
      </c>
      <c r="L94" s="247"/>
      <c r="M94" s="236">
        <f t="shared" si="21"/>
        <v>1240</v>
      </c>
      <c r="N94" s="232">
        <f t="shared" si="20"/>
        <v>0</v>
      </c>
      <c r="O94" s="239">
        <v>2</v>
      </c>
    </row>
    <row r="95" spans="1:15" x14ac:dyDescent="0.2">
      <c r="A95" s="228" t="s">
        <v>537</v>
      </c>
      <c r="B95" s="229">
        <v>456</v>
      </c>
      <c r="C95" s="230" t="s">
        <v>538</v>
      </c>
      <c r="D95" s="230" t="s">
        <v>539</v>
      </c>
      <c r="E95" s="231">
        <v>16180</v>
      </c>
      <c r="F95" s="232" t="str">
        <f t="shared" si="23"/>
        <v>GRSM</v>
      </c>
      <c r="G95" s="232">
        <f t="shared" si="17"/>
        <v>0</v>
      </c>
      <c r="H95" s="234">
        <v>0</v>
      </c>
      <c r="I95" s="234">
        <f t="shared" si="18"/>
        <v>0</v>
      </c>
      <c r="J95" s="232">
        <f t="shared" si="19"/>
        <v>16180</v>
      </c>
      <c r="K95" s="259" t="s">
        <v>316</v>
      </c>
      <c r="L95" s="247">
        <v>2950</v>
      </c>
      <c r="M95" s="236">
        <f t="shared" si="21"/>
        <v>13230</v>
      </c>
      <c r="N95" s="232">
        <f t="shared" si="20"/>
        <v>0</v>
      </c>
      <c r="O95" s="233">
        <v>2</v>
      </c>
    </row>
    <row r="96" spans="1:15" x14ac:dyDescent="0.2">
      <c r="A96" s="228" t="s">
        <v>540</v>
      </c>
      <c r="B96" s="229">
        <v>456</v>
      </c>
      <c r="C96" s="229">
        <v>4186536</v>
      </c>
      <c r="D96" s="260" t="s">
        <v>541</v>
      </c>
      <c r="E96" s="231">
        <v>0</v>
      </c>
      <c r="F96" s="232" t="str">
        <f t="shared" si="23"/>
        <v>GRSM</v>
      </c>
      <c r="G96" s="232">
        <f t="shared" si="17"/>
        <v>0</v>
      </c>
      <c r="H96" s="234">
        <v>0</v>
      </c>
      <c r="I96" s="234">
        <f t="shared" si="18"/>
        <v>0</v>
      </c>
      <c r="J96" s="232">
        <f t="shared" si="19"/>
        <v>0</v>
      </c>
      <c r="K96" s="259" t="s">
        <v>316</v>
      </c>
      <c r="L96" s="247"/>
      <c r="M96" s="236">
        <f t="shared" si="21"/>
        <v>0</v>
      </c>
      <c r="N96" s="232">
        <f t="shared" si="20"/>
        <v>0</v>
      </c>
      <c r="O96" s="233">
        <v>2</v>
      </c>
    </row>
    <row r="97" spans="1:15" x14ac:dyDescent="0.2">
      <c r="A97" s="228" t="s">
        <v>542</v>
      </c>
      <c r="B97" s="229">
        <v>456</v>
      </c>
      <c r="C97" s="229">
        <v>4186538</v>
      </c>
      <c r="D97" s="260" t="s">
        <v>543</v>
      </c>
      <c r="E97" s="231">
        <v>0</v>
      </c>
      <c r="F97" s="232" t="str">
        <f t="shared" si="23"/>
        <v>GRSM</v>
      </c>
      <c r="G97" s="232">
        <f t="shared" si="17"/>
        <v>0</v>
      </c>
      <c r="H97" s="234">
        <v>0</v>
      </c>
      <c r="I97" s="234">
        <f t="shared" si="18"/>
        <v>0</v>
      </c>
      <c r="J97" s="232">
        <f t="shared" si="19"/>
        <v>0</v>
      </c>
      <c r="K97" s="259" t="s">
        <v>316</v>
      </c>
      <c r="L97" s="247"/>
      <c r="M97" s="236">
        <f t="shared" si="21"/>
        <v>0</v>
      </c>
      <c r="N97" s="232">
        <f t="shared" si="20"/>
        <v>0</v>
      </c>
      <c r="O97" s="233">
        <v>2</v>
      </c>
    </row>
    <row r="98" spans="1:15" x14ac:dyDescent="0.2">
      <c r="A98" s="228" t="s">
        <v>544</v>
      </c>
      <c r="B98" s="229">
        <v>456</v>
      </c>
      <c r="C98" s="230" t="s">
        <v>545</v>
      </c>
      <c r="D98" s="230" t="s">
        <v>546</v>
      </c>
      <c r="E98" s="231">
        <v>0</v>
      </c>
      <c r="F98" s="232" t="str">
        <f t="shared" si="23"/>
        <v>GRSM</v>
      </c>
      <c r="G98" s="232">
        <f t="shared" si="17"/>
        <v>0</v>
      </c>
      <c r="H98" s="234">
        <v>0</v>
      </c>
      <c r="I98" s="234">
        <f t="shared" si="18"/>
        <v>0</v>
      </c>
      <c r="J98" s="232">
        <f t="shared" si="19"/>
        <v>0</v>
      </c>
      <c r="K98" s="259" t="s">
        <v>280</v>
      </c>
      <c r="L98" s="247"/>
      <c r="M98" s="236">
        <f t="shared" si="21"/>
        <v>0</v>
      </c>
      <c r="N98" s="232">
        <f t="shared" si="20"/>
        <v>0</v>
      </c>
      <c r="O98" s="233">
        <v>2</v>
      </c>
    </row>
    <row r="99" spans="1:15" x14ac:dyDescent="0.2">
      <c r="A99" s="228" t="s">
        <v>547</v>
      </c>
      <c r="B99" s="229">
        <v>456</v>
      </c>
      <c r="C99" s="230" t="s">
        <v>548</v>
      </c>
      <c r="D99" s="230" t="s">
        <v>549</v>
      </c>
      <c r="E99" s="231">
        <v>0</v>
      </c>
      <c r="F99" s="232" t="str">
        <f t="shared" si="23"/>
        <v>GRSM</v>
      </c>
      <c r="G99" s="232">
        <f t="shared" si="17"/>
        <v>0</v>
      </c>
      <c r="H99" s="234">
        <v>0</v>
      </c>
      <c r="I99" s="234">
        <f t="shared" si="18"/>
        <v>0</v>
      </c>
      <c r="J99" s="232">
        <f t="shared" si="19"/>
        <v>0</v>
      </c>
      <c r="K99" s="259" t="s">
        <v>280</v>
      </c>
      <c r="L99" s="247"/>
      <c r="M99" s="236">
        <f>J99-L99</f>
        <v>0</v>
      </c>
      <c r="N99" s="232">
        <f t="shared" si="20"/>
        <v>0</v>
      </c>
      <c r="O99" s="233">
        <v>2</v>
      </c>
    </row>
    <row r="100" spans="1:15" x14ac:dyDescent="0.2">
      <c r="A100" s="228" t="s">
        <v>550</v>
      </c>
      <c r="B100" s="229">
        <v>456</v>
      </c>
      <c r="C100" s="230" t="s">
        <v>551</v>
      </c>
      <c r="D100" s="230" t="s">
        <v>552</v>
      </c>
      <c r="E100" s="231">
        <v>0</v>
      </c>
      <c r="F100" s="232" t="str">
        <f t="shared" si="23"/>
        <v>GRSM</v>
      </c>
      <c r="G100" s="232">
        <f t="shared" si="17"/>
        <v>0</v>
      </c>
      <c r="H100" s="234">
        <v>0</v>
      </c>
      <c r="I100" s="234">
        <f t="shared" si="18"/>
        <v>0</v>
      </c>
      <c r="J100" s="232">
        <f t="shared" si="19"/>
        <v>0</v>
      </c>
      <c r="K100" s="259" t="s">
        <v>280</v>
      </c>
      <c r="L100" s="247"/>
      <c r="M100" s="236">
        <f t="shared" si="21"/>
        <v>0</v>
      </c>
      <c r="N100" s="232">
        <f t="shared" si="20"/>
        <v>0</v>
      </c>
      <c r="O100" s="233">
        <v>2</v>
      </c>
    </row>
    <row r="101" spans="1:15" x14ac:dyDescent="0.2">
      <c r="A101" s="228" t="s">
        <v>553</v>
      </c>
      <c r="B101" s="229">
        <v>456</v>
      </c>
      <c r="C101" s="230" t="s">
        <v>554</v>
      </c>
      <c r="D101" s="230" t="s">
        <v>555</v>
      </c>
      <c r="E101" s="231">
        <v>0</v>
      </c>
      <c r="F101" s="232" t="str">
        <f t="shared" si="23"/>
        <v>GRSM</v>
      </c>
      <c r="G101" s="232">
        <f t="shared" si="17"/>
        <v>0</v>
      </c>
      <c r="H101" s="234">
        <v>0</v>
      </c>
      <c r="I101" s="234">
        <f t="shared" si="18"/>
        <v>0</v>
      </c>
      <c r="J101" s="232">
        <f>IF(F101=$J$2,E101,0)</f>
        <v>0</v>
      </c>
      <c r="K101" s="259" t="s">
        <v>280</v>
      </c>
      <c r="L101" s="247"/>
      <c r="M101" s="236">
        <f t="shared" si="21"/>
        <v>0</v>
      </c>
      <c r="N101" s="232">
        <f t="shared" si="20"/>
        <v>0</v>
      </c>
      <c r="O101" s="239">
        <v>2</v>
      </c>
    </row>
    <row r="102" spans="1:15" x14ac:dyDescent="0.2">
      <c r="A102" s="228" t="s">
        <v>556</v>
      </c>
      <c r="B102" s="229">
        <v>456</v>
      </c>
      <c r="C102" s="230" t="s">
        <v>557</v>
      </c>
      <c r="D102" s="230" t="s">
        <v>558</v>
      </c>
      <c r="E102" s="231">
        <v>0</v>
      </c>
      <c r="F102" s="232" t="str">
        <f t="shared" si="23"/>
        <v>GRSM</v>
      </c>
      <c r="G102" s="232">
        <f t="shared" si="17"/>
        <v>0</v>
      </c>
      <c r="H102" s="234">
        <v>0</v>
      </c>
      <c r="I102" s="234">
        <f t="shared" si="18"/>
        <v>0</v>
      </c>
      <c r="J102" s="232">
        <f t="shared" si="19"/>
        <v>0</v>
      </c>
      <c r="K102" s="259" t="s">
        <v>280</v>
      </c>
      <c r="L102" s="268"/>
      <c r="M102" s="234">
        <f t="shared" si="21"/>
        <v>0</v>
      </c>
      <c r="N102" s="232">
        <f t="shared" si="20"/>
        <v>0</v>
      </c>
      <c r="O102" s="233">
        <v>2</v>
      </c>
    </row>
    <row r="103" spans="1:15" x14ac:dyDescent="0.2">
      <c r="A103" s="228" t="s">
        <v>559</v>
      </c>
      <c r="B103" s="229">
        <v>456</v>
      </c>
      <c r="C103" s="230" t="s">
        <v>560</v>
      </c>
      <c r="D103" s="230" t="s">
        <v>561</v>
      </c>
      <c r="E103" s="231">
        <v>223794.4</v>
      </c>
      <c r="F103" s="232" t="str">
        <f>$N$2</f>
        <v>Other Ratemaking</v>
      </c>
      <c r="G103" s="232">
        <f t="shared" si="17"/>
        <v>0</v>
      </c>
      <c r="H103" s="234">
        <v>0</v>
      </c>
      <c r="I103" s="234">
        <f t="shared" si="18"/>
        <v>0</v>
      </c>
      <c r="J103" s="232">
        <f t="shared" si="19"/>
        <v>0</v>
      </c>
      <c r="K103" s="232"/>
      <c r="L103" s="247"/>
      <c r="M103" s="236">
        <f t="shared" si="21"/>
        <v>0</v>
      </c>
      <c r="N103" s="232">
        <f t="shared" si="20"/>
        <v>223794.4</v>
      </c>
      <c r="O103" s="239">
        <v>6</v>
      </c>
    </row>
    <row r="104" spans="1:15" x14ac:dyDescent="0.2">
      <c r="A104" s="228" t="s">
        <v>562</v>
      </c>
      <c r="B104" s="229">
        <v>456</v>
      </c>
      <c r="C104" s="230" t="s">
        <v>563</v>
      </c>
      <c r="D104" s="230" t="s">
        <v>564</v>
      </c>
      <c r="E104" s="231">
        <v>26951145.260000002</v>
      </c>
      <c r="F104" s="232" t="str">
        <f>$G$2</f>
        <v>Traditional OOR</v>
      </c>
      <c r="G104" s="232">
        <f t="shared" si="17"/>
        <v>26951145.260000002</v>
      </c>
      <c r="H104" s="234">
        <v>0</v>
      </c>
      <c r="I104" s="234">
        <f t="shared" si="18"/>
        <v>26951145.260000002</v>
      </c>
      <c r="J104" s="232">
        <f t="shared" si="19"/>
        <v>0</v>
      </c>
      <c r="K104" s="232"/>
      <c r="L104" s="247"/>
      <c r="M104" s="236">
        <f t="shared" si="21"/>
        <v>0</v>
      </c>
      <c r="N104" s="232">
        <f t="shared" si="20"/>
        <v>0</v>
      </c>
      <c r="O104" s="239">
        <v>4</v>
      </c>
    </row>
    <row r="105" spans="1:15" x14ac:dyDescent="0.2">
      <c r="A105" s="228" t="s">
        <v>565</v>
      </c>
      <c r="B105" s="229">
        <v>456</v>
      </c>
      <c r="C105" s="230" t="s">
        <v>566</v>
      </c>
      <c r="D105" s="230" t="s">
        <v>567</v>
      </c>
      <c r="E105" s="231">
        <v>300286284.49000001</v>
      </c>
      <c r="F105" s="232" t="str">
        <f t="shared" ref="F105:F110" si="24">$N$2</f>
        <v>Other Ratemaking</v>
      </c>
      <c r="G105" s="232">
        <f t="shared" si="17"/>
        <v>0</v>
      </c>
      <c r="H105" s="234">
        <v>0</v>
      </c>
      <c r="I105" s="234">
        <f t="shared" si="18"/>
        <v>0</v>
      </c>
      <c r="J105" s="232">
        <f t="shared" si="19"/>
        <v>0</v>
      </c>
      <c r="K105" s="232"/>
      <c r="L105" s="247"/>
      <c r="M105" s="236">
        <f t="shared" si="21"/>
        <v>0</v>
      </c>
      <c r="N105" s="232">
        <f t="shared" si="20"/>
        <v>300286284.49000001</v>
      </c>
      <c r="O105" s="239">
        <v>6</v>
      </c>
    </row>
    <row r="106" spans="1:15" x14ac:dyDescent="0.2">
      <c r="A106" s="228" t="s">
        <v>568</v>
      </c>
      <c r="B106" s="229">
        <v>456</v>
      </c>
      <c r="C106" s="230" t="s">
        <v>569</v>
      </c>
      <c r="D106" s="230" t="s">
        <v>570</v>
      </c>
      <c r="E106" s="231">
        <v>-13845903.539999999</v>
      </c>
      <c r="F106" s="232" t="str">
        <f t="shared" si="24"/>
        <v>Other Ratemaking</v>
      </c>
      <c r="G106" s="232">
        <f t="shared" si="17"/>
        <v>0</v>
      </c>
      <c r="H106" s="234">
        <v>0</v>
      </c>
      <c r="I106" s="234">
        <f t="shared" si="18"/>
        <v>0</v>
      </c>
      <c r="J106" s="232">
        <f t="shared" si="19"/>
        <v>0</v>
      </c>
      <c r="K106" s="232"/>
      <c r="L106" s="247"/>
      <c r="M106" s="236">
        <f t="shared" si="21"/>
        <v>0</v>
      </c>
      <c r="N106" s="232">
        <f t="shared" si="20"/>
        <v>-13845903.539999999</v>
      </c>
      <c r="O106" s="239">
        <v>6</v>
      </c>
    </row>
    <row r="107" spans="1:15" x14ac:dyDescent="0.2">
      <c r="A107" s="228" t="s">
        <v>571</v>
      </c>
      <c r="B107" s="229">
        <v>456</v>
      </c>
      <c r="C107" s="230" t="s">
        <v>572</v>
      </c>
      <c r="D107" s="230" t="s">
        <v>573</v>
      </c>
      <c r="E107" s="231">
        <v>-300286254.07999998</v>
      </c>
      <c r="F107" s="232" t="str">
        <f t="shared" si="24"/>
        <v>Other Ratemaking</v>
      </c>
      <c r="G107" s="232">
        <f t="shared" si="17"/>
        <v>0</v>
      </c>
      <c r="H107" s="234">
        <v>0</v>
      </c>
      <c r="I107" s="234">
        <f t="shared" si="18"/>
        <v>0</v>
      </c>
      <c r="J107" s="232">
        <f t="shared" si="19"/>
        <v>0</v>
      </c>
      <c r="K107" s="232"/>
      <c r="L107" s="247"/>
      <c r="M107" s="236">
        <f t="shared" si="21"/>
        <v>0</v>
      </c>
      <c r="N107" s="232">
        <f t="shared" si="20"/>
        <v>-300286254.07999998</v>
      </c>
      <c r="O107" s="239">
        <v>6</v>
      </c>
    </row>
    <row r="108" spans="1:15" x14ac:dyDescent="0.2">
      <c r="A108" s="228" t="s">
        <v>574</v>
      </c>
      <c r="B108" s="229">
        <v>456</v>
      </c>
      <c r="C108" s="230" t="s">
        <v>575</v>
      </c>
      <c r="D108" s="230" t="s">
        <v>576</v>
      </c>
      <c r="E108" s="231">
        <v>13845903.539999999</v>
      </c>
      <c r="F108" s="232" t="str">
        <f t="shared" si="24"/>
        <v>Other Ratemaking</v>
      </c>
      <c r="G108" s="232">
        <f t="shared" si="17"/>
        <v>0</v>
      </c>
      <c r="H108" s="234">
        <v>0</v>
      </c>
      <c r="I108" s="234">
        <f t="shared" si="18"/>
        <v>0</v>
      </c>
      <c r="J108" s="232">
        <f t="shared" si="19"/>
        <v>0</v>
      </c>
      <c r="K108" s="232"/>
      <c r="L108" s="247"/>
      <c r="M108" s="236">
        <f t="shared" si="21"/>
        <v>0</v>
      </c>
      <c r="N108" s="232">
        <f t="shared" si="20"/>
        <v>13845903.539999999</v>
      </c>
      <c r="O108" s="239">
        <v>6</v>
      </c>
    </row>
    <row r="109" spans="1:15" x14ac:dyDescent="0.2">
      <c r="A109" s="228" t="s">
        <v>577</v>
      </c>
      <c r="B109" s="229">
        <v>456</v>
      </c>
      <c r="C109" s="230" t="s">
        <v>578</v>
      </c>
      <c r="D109" s="230" t="s">
        <v>579</v>
      </c>
      <c r="E109" s="231">
        <v>0</v>
      </c>
      <c r="F109" s="232" t="str">
        <f t="shared" si="24"/>
        <v>Other Ratemaking</v>
      </c>
      <c r="G109" s="232">
        <f t="shared" si="17"/>
        <v>0</v>
      </c>
      <c r="H109" s="234">
        <v>0</v>
      </c>
      <c r="I109" s="234">
        <f t="shared" si="18"/>
        <v>0</v>
      </c>
      <c r="J109" s="232">
        <f t="shared" si="19"/>
        <v>0</v>
      </c>
      <c r="K109" s="232"/>
      <c r="L109" s="247"/>
      <c r="M109" s="236">
        <f t="shared" si="21"/>
        <v>0</v>
      </c>
      <c r="N109" s="232">
        <f t="shared" si="20"/>
        <v>0</v>
      </c>
      <c r="O109" s="239">
        <v>6</v>
      </c>
    </row>
    <row r="110" spans="1:15" x14ac:dyDescent="0.2">
      <c r="A110" s="228" t="s">
        <v>580</v>
      </c>
      <c r="B110" s="229">
        <v>456</v>
      </c>
      <c r="C110" s="230" t="s">
        <v>581</v>
      </c>
      <c r="D110" s="230" t="s">
        <v>582</v>
      </c>
      <c r="E110" s="231">
        <v>0</v>
      </c>
      <c r="F110" s="232" t="str">
        <f t="shared" si="24"/>
        <v>Other Ratemaking</v>
      </c>
      <c r="G110" s="232">
        <f t="shared" si="17"/>
        <v>0</v>
      </c>
      <c r="H110" s="234">
        <v>0</v>
      </c>
      <c r="I110" s="234">
        <f t="shared" si="18"/>
        <v>0</v>
      </c>
      <c r="J110" s="232">
        <f t="shared" si="19"/>
        <v>0</v>
      </c>
      <c r="K110" s="232"/>
      <c r="L110" s="247"/>
      <c r="M110" s="236">
        <f t="shared" si="21"/>
        <v>0</v>
      </c>
      <c r="N110" s="232">
        <f t="shared" si="20"/>
        <v>0</v>
      </c>
      <c r="O110" s="239">
        <v>6</v>
      </c>
    </row>
    <row r="111" spans="1:15" x14ac:dyDescent="0.2">
      <c r="A111" s="228" t="s">
        <v>583</v>
      </c>
      <c r="B111" s="229">
        <v>456</v>
      </c>
      <c r="C111" s="230" t="s">
        <v>584</v>
      </c>
      <c r="D111" s="230" t="s">
        <v>585</v>
      </c>
      <c r="E111" s="231">
        <v>0</v>
      </c>
      <c r="F111" s="232" t="str">
        <f>$J$2</f>
        <v>GRSM</v>
      </c>
      <c r="G111" s="232">
        <f t="shared" si="17"/>
        <v>0</v>
      </c>
      <c r="H111" s="234">
        <v>0</v>
      </c>
      <c r="I111" s="234">
        <f t="shared" si="18"/>
        <v>0</v>
      </c>
      <c r="J111" s="232">
        <f t="shared" si="19"/>
        <v>0</v>
      </c>
      <c r="K111" s="259" t="s">
        <v>280</v>
      </c>
      <c r="L111" s="247"/>
      <c r="M111" s="236">
        <f t="shared" si="21"/>
        <v>0</v>
      </c>
      <c r="N111" s="232">
        <f t="shared" si="20"/>
        <v>0</v>
      </c>
      <c r="O111" s="239">
        <v>2</v>
      </c>
    </row>
    <row r="112" spans="1:15" x14ac:dyDescent="0.2">
      <c r="A112" s="228" t="s">
        <v>586</v>
      </c>
      <c r="B112" s="229">
        <v>456</v>
      </c>
      <c r="C112" s="230" t="s">
        <v>587</v>
      </c>
      <c r="D112" s="230" t="s">
        <v>588</v>
      </c>
      <c r="E112" s="268">
        <v>0</v>
      </c>
      <c r="F112" s="232" t="str">
        <f>$J$2</f>
        <v>GRSM</v>
      </c>
      <c r="G112" s="232">
        <f t="shared" si="17"/>
        <v>0</v>
      </c>
      <c r="H112" s="234">
        <v>0</v>
      </c>
      <c r="I112" s="234">
        <f t="shared" si="18"/>
        <v>0</v>
      </c>
      <c r="J112" s="232">
        <f t="shared" si="19"/>
        <v>0</v>
      </c>
      <c r="K112" s="259" t="s">
        <v>280</v>
      </c>
      <c r="L112" s="268"/>
      <c r="M112" s="236">
        <f t="shared" si="21"/>
        <v>0</v>
      </c>
      <c r="N112" s="232">
        <f t="shared" si="20"/>
        <v>0</v>
      </c>
      <c r="O112" s="239">
        <v>2</v>
      </c>
    </row>
    <row r="113" spans="1:15" x14ac:dyDescent="0.2">
      <c r="A113" s="228" t="s">
        <v>589</v>
      </c>
      <c r="B113" s="229">
        <v>456</v>
      </c>
      <c r="C113" s="230" t="s">
        <v>590</v>
      </c>
      <c r="D113" s="230" t="s">
        <v>591</v>
      </c>
      <c r="E113" s="231">
        <v>0</v>
      </c>
      <c r="F113" s="232" t="str">
        <f>$N$2</f>
        <v>Other Ratemaking</v>
      </c>
      <c r="G113" s="232">
        <f t="shared" si="17"/>
        <v>0</v>
      </c>
      <c r="H113" s="234">
        <v>0</v>
      </c>
      <c r="I113" s="234">
        <f t="shared" si="18"/>
        <v>0</v>
      </c>
      <c r="J113" s="232">
        <f t="shared" si="19"/>
        <v>0</v>
      </c>
      <c r="K113" s="232"/>
      <c r="L113" s="247"/>
      <c r="M113" s="236">
        <f t="shared" si="21"/>
        <v>0</v>
      </c>
      <c r="N113" s="232">
        <f t="shared" si="20"/>
        <v>0</v>
      </c>
      <c r="O113" s="239">
        <v>6</v>
      </c>
    </row>
    <row r="114" spans="1:15" x14ac:dyDescent="0.2">
      <c r="A114" s="228" t="s">
        <v>592</v>
      </c>
      <c r="B114" s="229">
        <v>456</v>
      </c>
      <c r="C114" s="230" t="s">
        <v>593</v>
      </c>
      <c r="D114" s="230" t="s">
        <v>594</v>
      </c>
      <c r="E114" s="231">
        <v>283173.15999999997</v>
      </c>
      <c r="F114" s="232" t="str">
        <f t="shared" ref="F114:F124" si="25">$G$2</f>
        <v>Traditional OOR</v>
      </c>
      <c r="G114" s="232">
        <f t="shared" si="17"/>
        <v>283173.15999999997</v>
      </c>
      <c r="H114" s="234">
        <v>0</v>
      </c>
      <c r="I114" s="234">
        <f t="shared" si="18"/>
        <v>283173.15999999997</v>
      </c>
      <c r="J114" s="232">
        <f t="shared" si="19"/>
        <v>0</v>
      </c>
      <c r="K114" s="232"/>
      <c r="L114" s="247"/>
      <c r="M114" s="236">
        <f t="shared" si="21"/>
        <v>0</v>
      </c>
      <c r="N114" s="232">
        <f t="shared" si="20"/>
        <v>0</v>
      </c>
      <c r="O114" s="239">
        <v>1</v>
      </c>
    </row>
    <row r="115" spans="1:15" x14ac:dyDescent="0.2">
      <c r="A115" s="228" t="s">
        <v>595</v>
      </c>
      <c r="B115" s="229">
        <v>456</v>
      </c>
      <c r="C115" s="230" t="s">
        <v>596</v>
      </c>
      <c r="D115" s="230" t="s">
        <v>597</v>
      </c>
      <c r="E115" s="231">
        <v>0</v>
      </c>
      <c r="F115" s="232" t="str">
        <f t="shared" si="25"/>
        <v>Traditional OOR</v>
      </c>
      <c r="G115" s="232">
        <f t="shared" si="17"/>
        <v>0</v>
      </c>
      <c r="H115" s="234">
        <v>0</v>
      </c>
      <c r="I115" s="234">
        <f t="shared" si="18"/>
        <v>0</v>
      </c>
      <c r="J115" s="232">
        <f t="shared" si="19"/>
        <v>0</v>
      </c>
      <c r="K115" s="232"/>
      <c r="L115" s="247"/>
      <c r="M115" s="236">
        <f t="shared" si="21"/>
        <v>0</v>
      </c>
      <c r="N115" s="232">
        <f t="shared" si="20"/>
        <v>0</v>
      </c>
      <c r="O115" s="239">
        <v>1</v>
      </c>
    </row>
    <row r="116" spans="1:15" x14ac:dyDescent="0.2">
      <c r="A116" s="228" t="s">
        <v>598</v>
      </c>
      <c r="B116" s="229">
        <v>456</v>
      </c>
      <c r="C116" s="230" t="s">
        <v>599</v>
      </c>
      <c r="D116" s="230" t="s">
        <v>600</v>
      </c>
      <c r="E116" s="231">
        <v>3368163.12</v>
      </c>
      <c r="F116" s="232" t="str">
        <f t="shared" si="25"/>
        <v>Traditional OOR</v>
      </c>
      <c r="G116" s="232">
        <f t="shared" si="17"/>
        <v>3368163.12</v>
      </c>
      <c r="H116" s="234">
        <v>0</v>
      </c>
      <c r="I116" s="234">
        <f t="shared" si="18"/>
        <v>3368163.12</v>
      </c>
      <c r="J116" s="232">
        <f t="shared" si="19"/>
        <v>0</v>
      </c>
      <c r="K116" s="232"/>
      <c r="L116" s="247"/>
      <c r="M116" s="236">
        <f t="shared" si="21"/>
        <v>0</v>
      </c>
      <c r="N116" s="232">
        <f t="shared" si="20"/>
        <v>0</v>
      </c>
      <c r="O116" s="239">
        <v>4</v>
      </c>
    </row>
    <row r="117" spans="1:15" x14ac:dyDescent="0.2">
      <c r="A117" s="228" t="s">
        <v>601</v>
      </c>
      <c r="B117" s="229">
        <v>456</v>
      </c>
      <c r="C117" s="230" t="s">
        <v>602</v>
      </c>
      <c r="D117" s="230" t="s">
        <v>603</v>
      </c>
      <c r="E117" s="231">
        <v>161574</v>
      </c>
      <c r="F117" s="232" t="str">
        <f t="shared" si="25"/>
        <v>Traditional OOR</v>
      </c>
      <c r="G117" s="232">
        <f t="shared" si="17"/>
        <v>161574</v>
      </c>
      <c r="H117" s="234">
        <v>0</v>
      </c>
      <c r="I117" s="234">
        <f t="shared" si="18"/>
        <v>161574</v>
      </c>
      <c r="J117" s="232">
        <f t="shared" si="19"/>
        <v>0</v>
      </c>
      <c r="K117" s="232"/>
      <c r="L117" s="247"/>
      <c r="M117" s="236">
        <f t="shared" si="21"/>
        <v>0</v>
      </c>
      <c r="N117" s="232">
        <f t="shared" si="20"/>
        <v>0</v>
      </c>
      <c r="O117" s="239">
        <v>4</v>
      </c>
    </row>
    <row r="118" spans="1:15" x14ac:dyDescent="0.2">
      <c r="A118" s="228" t="s">
        <v>604</v>
      </c>
      <c r="B118" s="229">
        <v>456</v>
      </c>
      <c r="C118" s="230" t="s">
        <v>605</v>
      </c>
      <c r="D118" s="230" t="s">
        <v>606</v>
      </c>
      <c r="E118" s="231">
        <v>-166</v>
      </c>
      <c r="F118" s="232" t="str">
        <f t="shared" si="25"/>
        <v>Traditional OOR</v>
      </c>
      <c r="G118" s="232">
        <f t="shared" si="17"/>
        <v>-166</v>
      </c>
      <c r="H118" s="234">
        <v>0</v>
      </c>
      <c r="I118" s="234">
        <f t="shared" si="18"/>
        <v>-166</v>
      </c>
      <c r="J118" s="232">
        <f t="shared" si="19"/>
        <v>0</v>
      </c>
      <c r="K118" s="232"/>
      <c r="L118" s="247"/>
      <c r="M118" s="236">
        <f t="shared" si="21"/>
        <v>0</v>
      </c>
      <c r="N118" s="232">
        <f t="shared" si="20"/>
        <v>0</v>
      </c>
      <c r="O118" s="239">
        <v>4</v>
      </c>
    </row>
    <row r="119" spans="1:15" x14ac:dyDescent="0.2">
      <c r="A119" s="228" t="s">
        <v>607</v>
      </c>
      <c r="B119" s="229">
        <v>456</v>
      </c>
      <c r="C119" s="230" t="s">
        <v>608</v>
      </c>
      <c r="D119" s="230" t="s">
        <v>609</v>
      </c>
      <c r="E119" s="231">
        <v>0</v>
      </c>
      <c r="F119" s="232" t="str">
        <f t="shared" si="25"/>
        <v>Traditional OOR</v>
      </c>
      <c r="G119" s="232">
        <f t="shared" si="17"/>
        <v>0</v>
      </c>
      <c r="H119" s="234">
        <v>0</v>
      </c>
      <c r="I119" s="234">
        <f t="shared" si="18"/>
        <v>0</v>
      </c>
      <c r="J119" s="232">
        <f t="shared" si="19"/>
        <v>0</v>
      </c>
      <c r="K119" s="232"/>
      <c r="L119" s="247"/>
      <c r="M119" s="236">
        <f t="shared" si="21"/>
        <v>0</v>
      </c>
      <c r="N119" s="232">
        <f t="shared" si="20"/>
        <v>0</v>
      </c>
      <c r="O119" s="239">
        <v>1</v>
      </c>
    </row>
    <row r="120" spans="1:15" ht="13.5" thickBot="1" x14ac:dyDescent="0.25">
      <c r="A120" s="228" t="s">
        <v>610</v>
      </c>
      <c r="B120" s="229">
        <v>456</v>
      </c>
      <c r="C120" s="230" t="s">
        <v>611</v>
      </c>
      <c r="D120" s="230" t="s">
        <v>612</v>
      </c>
      <c r="E120" s="231">
        <v>-6973.26</v>
      </c>
      <c r="F120" s="232" t="str">
        <f t="shared" si="25"/>
        <v>Traditional OOR</v>
      </c>
      <c r="G120" s="232">
        <f t="shared" si="17"/>
        <v>-6973.26</v>
      </c>
      <c r="H120" s="269">
        <v>0</v>
      </c>
      <c r="I120" s="234">
        <f t="shared" si="18"/>
        <v>-6973.26</v>
      </c>
      <c r="J120" s="232">
        <f t="shared" si="19"/>
        <v>0</v>
      </c>
      <c r="K120" s="232"/>
      <c r="L120" s="247"/>
      <c r="M120" s="236">
        <f t="shared" si="21"/>
        <v>0</v>
      </c>
      <c r="N120" s="232">
        <f t="shared" si="20"/>
        <v>0</v>
      </c>
      <c r="O120" s="239">
        <v>4</v>
      </c>
    </row>
    <row r="121" spans="1:15" ht="13.5" thickBot="1" x14ac:dyDescent="0.25">
      <c r="A121" s="228" t="s">
        <v>613</v>
      </c>
      <c r="B121" s="229">
        <v>456</v>
      </c>
      <c r="C121" s="230" t="s">
        <v>614</v>
      </c>
      <c r="D121" s="230" t="s">
        <v>615</v>
      </c>
      <c r="E121" s="231">
        <v>2379182.4</v>
      </c>
      <c r="F121" s="232" t="str">
        <f t="shared" si="25"/>
        <v>Traditional OOR</v>
      </c>
      <c r="G121" s="270">
        <f t="shared" si="17"/>
        <v>2379182.4</v>
      </c>
      <c r="H121" s="271">
        <v>88029</v>
      </c>
      <c r="I121" s="272">
        <f t="shared" si="18"/>
        <v>2291153.4</v>
      </c>
      <c r="J121" s="232">
        <f t="shared" si="19"/>
        <v>0</v>
      </c>
      <c r="K121" s="232"/>
      <c r="L121" s="247"/>
      <c r="M121" s="236">
        <f t="shared" si="21"/>
        <v>0</v>
      </c>
      <c r="N121" s="232">
        <f t="shared" si="20"/>
        <v>0</v>
      </c>
      <c r="O121" s="233">
        <v>8</v>
      </c>
    </row>
    <row r="122" spans="1:15" x14ac:dyDescent="0.2">
      <c r="A122" s="228" t="s">
        <v>616</v>
      </c>
      <c r="B122" s="229">
        <v>456</v>
      </c>
      <c r="C122" s="230" t="s">
        <v>617</v>
      </c>
      <c r="D122" s="230" t="s">
        <v>618</v>
      </c>
      <c r="E122" s="231">
        <v>17793676.800000001</v>
      </c>
      <c r="F122" s="232" t="str">
        <f t="shared" si="25"/>
        <v>Traditional OOR</v>
      </c>
      <c r="G122" s="232">
        <f t="shared" si="17"/>
        <v>17793676.800000001</v>
      </c>
      <c r="H122" s="273">
        <v>0</v>
      </c>
      <c r="I122" s="234">
        <f t="shared" si="18"/>
        <v>17793676.800000001</v>
      </c>
      <c r="J122" s="232">
        <f t="shared" si="19"/>
        <v>0</v>
      </c>
      <c r="K122" s="232"/>
      <c r="L122" s="247"/>
      <c r="M122" s="236">
        <f t="shared" si="21"/>
        <v>0</v>
      </c>
      <c r="N122" s="232">
        <f t="shared" si="20"/>
        <v>0</v>
      </c>
      <c r="O122" s="239">
        <v>4</v>
      </c>
    </row>
    <row r="123" spans="1:15" x14ac:dyDescent="0.2">
      <c r="A123" s="228" t="s">
        <v>619</v>
      </c>
      <c r="B123" s="229">
        <v>456</v>
      </c>
      <c r="C123" s="230" t="s">
        <v>620</v>
      </c>
      <c r="D123" s="230" t="s">
        <v>621</v>
      </c>
      <c r="E123" s="231">
        <v>2297.25</v>
      </c>
      <c r="F123" s="232" t="str">
        <f t="shared" si="25"/>
        <v>Traditional OOR</v>
      </c>
      <c r="G123" s="232">
        <f t="shared" si="17"/>
        <v>2297.25</v>
      </c>
      <c r="H123" s="234">
        <v>0</v>
      </c>
      <c r="I123" s="234">
        <f t="shared" si="18"/>
        <v>2297.25</v>
      </c>
      <c r="J123" s="232">
        <f t="shared" si="19"/>
        <v>0</v>
      </c>
      <c r="K123" s="232"/>
      <c r="L123" s="247"/>
      <c r="M123" s="236">
        <f t="shared" si="21"/>
        <v>0</v>
      </c>
      <c r="N123" s="232">
        <f t="shared" si="20"/>
        <v>0</v>
      </c>
      <c r="O123" s="239">
        <v>4</v>
      </c>
    </row>
    <row r="124" spans="1:15" x14ac:dyDescent="0.2">
      <c r="A124" s="228" t="s">
        <v>622</v>
      </c>
      <c r="B124" s="229">
        <v>456</v>
      </c>
      <c r="C124" s="230" t="s">
        <v>623</v>
      </c>
      <c r="D124" s="230" t="s">
        <v>624</v>
      </c>
      <c r="E124" s="231">
        <v>596.82000000000005</v>
      </c>
      <c r="F124" s="232" t="str">
        <f t="shared" si="25"/>
        <v>Traditional OOR</v>
      </c>
      <c r="G124" s="232">
        <f t="shared" si="17"/>
        <v>596.82000000000005</v>
      </c>
      <c r="H124" s="234">
        <v>0</v>
      </c>
      <c r="I124" s="234">
        <f t="shared" si="18"/>
        <v>596.82000000000005</v>
      </c>
      <c r="J124" s="232">
        <f t="shared" si="19"/>
        <v>0</v>
      </c>
      <c r="K124" s="232"/>
      <c r="L124" s="247"/>
      <c r="M124" s="236">
        <f t="shared" si="21"/>
        <v>0</v>
      </c>
      <c r="N124" s="232">
        <f t="shared" si="20"/>
        <v>0</v>
      </c>
      <c r="O124" s="239">
        <v>6</v>
      </c>
    </row>
    <row r="125" spans="1:15" x14ac:dyDescent="0.2">
      <c r="A125" s="228" t="s">
        <v>625</v>
      </c>
      <c r="B125" s="229">
        <v>456</v>
      </c>
      <c r="C125" s="230" t="s">
        <v>626</v>
      </c>
      <c r="D125" s="230" t="s">
        <v>627</v>
      </c>
      <c r="E125" s="231">
        <v>0</v>
      </c>
      <c r="F125" s="232" t="str">
        <f>$J$2</f>
        <v>GRSM</v>
      </c>
      <c r="G125" s="232">
        <f t="shared" si="17"/>
        <v>0</v>
      </c>
      <c r="H125" s="234">
        <v>0</v>
      </c>
      <c r="I125" s="234">
        <f t="shared" si="18"/>
        <v>0</v>
      </c>
      <c r="J125" s="232">
        <f t="shared" si="19"/>
        <v>0</v>
      </c>
      <c r="K125" s="259" t="s">
        <v>316</v>
      </c>
      <c r="L125" s="247"/>
      <c r="M125" s="236">
        <f>J125-L125</f>
        <v>0</v>
      </c>
      <c r="N125" s="232">
        <f t="shared" si="20"/>
        <v>0</v>
      </c>
      <c r="O125" s="239">
        <v>2</v>
      </c>
    </row>
    <row r="126" spans="1:15" x14ac:dyDescent="0.2">
      <c r="A126" s="228" t="s">
        <v>628</v>
      </c>
      <c r="B126" s="229">
        <v>456</v>
      </c>
      <c r="C126" s="228" t="s">
        <v>393</v>
      </c>
      <c r="D126" s="230" t="s">
        <v>394</v>
      </c>
      <c r="E126" s="231">
        <v>-268.02</v>
      </c>
      <c r="F126" s="232" t="str">
        <f>$G$2</f>
        <v>Traditional OOR</v>
      </c>
      <c r="G126" s="232">
        <f t="shared" si="17"/>
        <v>-268.02</v>
      </c>
      <c r="H126" s="234">
        <v>0</v>
      </c>
      <c r="I126" s="234">
        <f t="shared" si="18"/>
        <v>-268.02</v>
      </c>
      <c r="J126" s="232">
        <f t="shared" si="19"/>
        <v>0</v>
      </c>
      <c r="K126" s="232"/>
      <c r="L126" s="247"/>
      <c r="M126" s="236">
        <f>J126-L126</f>
        <v>0</v>
      </c>
      <c r="N126" s="232">
        <f t="shared" si="20"/>
        <v>0</v>
      </c>
      <c r="O126" s="239">
        <v>1</v>
      </c>
    </row>
    <row r="127" spans="1:15" x14ac:dyDescent="0.2">
      <c r="A127" s="228" t="s">
        <v>629</v>
      </c>
      <c r="B127" s="229">
        <v>456</v>
      </c>
      <c r="C127" s="229">
        <v>4186911</v>
      </c>
      <c r="D127" s="260" t="s">
        <v>630</v>
      </c>
      <c r="E127" s="231">
        <v>4483529.2699999996</v>
      </c>
      <c r="F127" s="232" t="s">
        <v>326</v>
      </c>
      <c r="G127" s="232">
        <f t="shared" si="17"/>
        <v>0</v>
      </c>
      <c r="H127" s="234">
        <v>0</v>
      </c>
      <c r="I127" s="234">
        <f t="shared" si="18"/>
        <v>0</v>
      </c>
      <c r="J127" s="232">
        <f t="shared" si="19"/>
        <v>0</v>
      </c>
      <c r="K127" s="232"/>
      <c r="L127" s="247"/>
      <c r="M127" s="234">
        <f t="shared" ref="M127:M128" si="26">J127-L127</f>
        <v>0</v>
      </c>
      <c r="N127" s="232">
        <f t="shared" si="20"/>
        <v>4483529.2699999996</v>
      </c>
      <c r="O127" s="233">
        <v>6</v>
      </c>
    </row>
    <row r="128" spans="1:15" x14ac:dyDescent="0.2">
      <c r="A128" s="228" t="s">
        <v>631</v>
      </c>
      <c r="B128" s="229">
        <v>456</v>
      </c>
      <c r="C128" s="229">
        <v>4186925</v>
      </c>
      <c r="D128" s="260" t="s">
        <v>632</v>
      </c>
      <c r="E128" s="231">
        <v>368730410.66000003</v>
      </c>
      <c r="F128" s="232" t="s">
        <v>326</v>
      </c>
      <c r="G128" s="232">
        <f t="shared" si="17"/>
        <v>0</v>
      </c>
      <c r="H128" s="234">
        <v>0</v>
      </c>
      <c r="I128" s="234">
        <f t="shared" si="18"/>
        <v>0</v>
      </c>
      <c r="J128" s="232">
        <f t="shared" si="19"/>
        <v>0</v>
      </c>
      <c r="K128" s="232"/>
      <c r="L128" s="247"/>
      <c r="M128" s="234">
        <f t="shared" si="26"/>
        <v>0</v>
      </c>
      <c r="N128" s="232">
        <f t="shared" si="20"/>
        <v>368730410.66000003</v>
      </c>
      <c r="O128" s="233">
        <v>6</v>
      </c>
    </row>
    <row r="129" spans="1:15" x14ac:dyDescent="0.2">
      <c r="A129" s="241" t="s">
        <v>825</v>
      </c>
      <c r="B129" s="242">
        <v>456</v>
      </c>
      <c r="C129" s="242">
        <v>4186174</v>
      </c>
      <c r="D129" s="244" t="s">
        <v>826</v>
      </c>
      <c r="E129" s="354">
        <v>103.14</v>
      </c>
      <c r="F129" s="231" t="str">
        <f>$G$2</f>
        <v>Traditional OOR</v>
      </c>
      <c r="G129" s="231">
        <f t="shared" si="17"/>
        <v>103.14</v>
      </c>
      <c r="H129" s="247">
        <v>0</v>
      </c>
      <c r="I129" s="247">
        <f t="shared" si="18"/>
        <v>103.14</v>
      </c>
      <c r="J129" s="231">
        <f>IF(F129=$J$2,E129,0)</f>
        <v>0</v>
      </c>
      <c r="K129" s="231"/>
      <c r="L129" s="355"/>
      <c r="M129" s="247">
        <f>J129-L129</f>
        <v>0</v>
      </c>
      <c r="N129" s="231">
        <f>IF(F129=$N$2,E129,0)</f>
        <v>0</v>
      </c>
      <c r="O129" s="246">
        <v>1</v>
      </c>
    </row>
    <row r="130" spans="1:15" x14ac:dyDescent="0.2">
      <c r="A130" s="241" t="s">
        <v>827</v>
      </c>
      <c r="B130" s="242">
        <v>456</v>
      </c>
      <c r="C130" s="242">
        <v>4186740</v>
      </c>
      <c r="D130" s="244" t="s">
        <v>828</v>
      </c>
      <c r="E130" s="354">
        <v>205722.8</v>
      </c>
      <c r="F130" s="231" t="str">
        <f>$G$2</f>
        <v>Traditional OOR</v>
      </c>
      <c r="G130" s="231">
        <f t="shared" si="17"/>
        <v>205722.8</v>
      </c>
      <c r="H130" s="247">
        <v>0</v>
      </c>
      <c r="I130" s="247">
        <f t="shared" si="18"/>
        <v>205722.8</v>
      </c>
      <c r="J130" s="231">
        <f>IF(F130=$J$2,E130,0)</f>
        <v>0</v>
      </c>
      <c r="K130" s="231"/>
      <c r="L130" s="355"/>
      <c r="M130" s="247">
        <f>J130-L130</f>
        <v>0</v>
      </c>
      <c r="N130" s="231">
        <f>IF(F130=$N$2,E130,0)</f>
        <v>0</v>
      </c>
      <c r="O130" s="246">
        <v>1</v>
      </c>
    </row>
    <row r="131" spans="1:15" x14ac:dyDescent="0.2">
      <c r="A131" s="241"/>
      <c r="B131" s="356"/>
      <c r="C131" s="357"/>
      <c r="D131" s="261"/>
      <c r="E131" s="354"/>
      <c r="F131" s="231"/>
      <c r="G131" s="231"/>
      <c r="H131" s="247"/>
      <c r="I131" s="247"/>
      <c r="J131" s="231"/>
      <c r="K131" s="231"/>
      <c r="L131" s="355"/>
      <c r="M131" s="247"/>
      <c r="N131" s="231"/>
      <c r="O131" s="246"/>
    </row>
    <row r="132" spans="1:15" x14ac:dyDescent="0.2">
      <c r="A132" s="241"/>
      <c r="B132" s="356"/>
      <c r="C132" s="357"/>
      <c r="D132" s="261"/>
      <c r="E132" s="354"/>
      <c r="F132" s="231"/>
      <c r="G132" s="231"/>
      <c r="H132" s="247"/>
      <c r="I132" s="247"/>
      <c r="J132" s="231"/>
      <c r="K132" s="231"/>
      <c r="L132" s="355"/>
      <c r="M132" s="247"/>
      <c r="N132" s="231"/>
      <c r="O132" s="246"/>
    </row>
    <row r="133" spans="1:15" x14ac:dyDescent="0.2">
      <c r="A133" s="237">
        <v>13</v>
      </c>
      <c r="B133" s="507" t="s">
        <v>633</v>
      </c>
      <c r="C133" s="508"/>
      <c r="D133" s="509"/>
      <c r="E133" s="249">
        <f>SUM(E73:E130)</f>
        <v>449545601.65000004</v>
      </c>
      <c r="F133" s="250"/>
      <c r="G133" s="251">
        <f>SUM(G73:G130)</f>
        <v>74224442.045217007</v>
      </c>
      <c r="H133" s="274">
        <f>SUM(H73:H130)</f>
        <v>97782.415217000002</v>
      </c>
      <c r="I133" s="274">
        <f>SUM(I73:I130)</f>
        <v>74126659.629999995</v>
      </c>
      <c r="J133" s="249">
        <f>SUM(J73:J130)</f>
        <v>1666007.73</v>
      </c>
      <c r="K133" s="250"/>
      <c r="L133" s="249">
        <f>SUM(L73:L130)</f>
        <v>295157.36017095548</v>
      </c>
      <c r="M133" s="249">
        <f>SUM(M73:M130)</f>
        <v>1370850.3698290444</v>
      </c>
      <c r="N133" s="251">
        <f>SUM(N73:N130)</f>
        <v>373655151.87478304</v>
      </c>
      <c r="O133" s="213"/>
    </row>
    <row r="134" spans="1:15" ht="25.5" customHeight="1" x14ac:dyDescent="0.2">
      <c r="A134" s="237">
        <v>14</v>
      </c>
      <c r="B134" s="501" t="s">
        <v>634</v>
      </c>
      <c r="C134" s="502"/>
      <c r="D134" s="503"/>
      <c r="E134" s="252">
        <v>449545602</v>
      </c>
      <c r="F134" s="253"/>
      <c r="G134" s="275"/>
      <c r="H134" s="253"/>
      <c r="I134" s="253"/>
      <c r="J134" s="275"/>
      <c r="K134" s="253"/>
      <c r="L134" s="254"/>
      <c r="M134" s="254"/>
      <c r="N134" s="254"/>
      <c r="O134" s="165"/>
    </row>
    <row r="135" spans="1:15" x14ac:dyDescent="0.2">
      <c r="A135" s="255"/>
      <c r="B135" s="256"/>
      <c r="C135" s="257"/>
      <c r="D135" s="258"/>
      <c r="E135" s="254"/>
      <c r="F135" s="254"/>
      <c r="G135" s="254"/>
      <c r="H135" s="253"/>
      <c r="I135" s="253"/>
      <c r="J135" s="254"/>
      <c r="K135" s="253"/>
      <c r="L135" s="254"/>
      <c r="M135" s="254"/>
      <c r="N135" s="254"/>
      <c r="O135" s="165"/>
    </row>
    <row r="136" spans="1:15" x14ac:dyDescent="0.2">
      <c r="A136" s="237" t="s">
        <v>68</v>
      </c>
      <c r="B136" s="229">
        <v>456.1</v>
      </c>
      <c r="C136" s="238" t="s">
        <v>635</v>
      </c>
      <c r="D136" s="230" t="s">
        <v>636</v>
      </c>
      <c r="E136" s="268">
        <v>0</v>
      </c>
      <c r="F136" s="232" t="str">
        <f>$G$2</f>
        <v>Traditional OOR</v>
      </c>
      <c r="G136" s="232">
        <f t="shared" ref="G136:G154" si="27">IF(F136=$G$2,E136,0)</f>
        <v>0</v>
      </c>
      <c r="H136" s="234">
        <f>G136</f>
        <v>0</v>
      </c>
      <c r="I136" s="234">
        <f t="shared" ref="I136:I154" si="28">G136-H136</f>
        <v>0</v>
      </c>
      <c r="J136" s="232">
        <f t="shared" ref="J136:J154" si="29">IF(F136=$J$2,E136,0)</f>
        <v>0</v>
      </c>
      <c r="K136" s="259"/>
      <c r="L136" s="247"/>
      <c r="M136" s="236">
        <f t="shared" ref="M136:M154" si="30">J136-L136</f>
        <v>0</v>
      </c>
      <c r="N136" s="232">
        <f t="shared" ref="N136:N154" si="31">IF(F136=$N$2,E136,0)</f>
        <v>0</v>
      </c>
      <c r="O136" s="239">
        <v>5</v>
      </c>
    </row>
    <row r="137" spans="1:15" x14ac:dyDescent="0.2">
      <c r="A137" s="237" t="s">
        <v>637</v>
      </c>
      <c r="B137" s="229">
        <v>456.1</v>
      </c>
      <c r="C137" s="238" t="s">
        <v>638</v>
      </c>
      <c r="D137" s="230" t="s">
        <v>639</v>
      </c>
      <c r="E137" s="268">
        <v>299738.03999999998</v>
      </c>
      <c r="F137" s="232" t="str">
        <f>$G$2</f>
        <v>Traditional OOR</v>
      </c>
      <c r="G137" s="232">
        <f t="shared" si="27"/>
        <v>299738.03999999998</v>
      </c>
      <c r="H137" s="234">
        <v>0</v>
      </c>
      <c r="I137" s="234">
        <f t="shared" si="28"/>
        <v>299738.03999999998</v>
      </c>
      <c r="J137" s="232">
        <f t="shared" si="29"/>
        <v>0</v>
      </c>
      <c r="K137" s="259"/>
      <c r="L137" s="247"/>
      <c r="M137" s="236">
        <f t="shared" si="30"/>
        <v>0</v>
      </c>
      <c r="N137" s="232">
        <f t="shared" si="31"/>
        <v>0</v>
      </c>
      <c r="O137" s="239">
        <v>4</v>
      </c>
    </row>
    <row r="138" spans="1:15" x14ac:dyDescent="0.2">
      <c r="A138" s="237" t="s">
        <v>640</v>
      </c>
      <c r="B138" s="229">
        <v>456.1</v>
      </c>
      <c r="C138" s="238" t="s">
        <v>641</v>
      </c>
      <c r="D138" s="230" t="s">
        <v>642</v>
      </c>
      <c r="E138" s="268">
        <v>992562.96</v>
      </c>
      <c r="F138" s="232" t="str">
        <f>$G$2</f>
        <v>Traditional OOR</v>
      </c>
      <c r="G138" s="232">
        <f t="shared" si="27"/>
        <v>992562.96</v>
      </c>
      <c r="H138" s="234">
        <v>0</v>
      </c>
      <c r="I138" s="234">
        <f t="shared" si="28"/>
        <v>992562.96</v>
      </c>
      <c r="J138" s="232">
        <f t="shared" si="29"/>
        <v>0</v>
      </c>
      <c r="K138" s="259"/>
      <c r="L138" s="247"/>
      <c r="M138" s="236">
        <f t="shared" si="30"/>
        <v>0</v>
      </c>
      <c r="N138" s="232">
        <f t="shared" si="31"/>
        <v>0</v>
      </c>
      <c r="O138" s="239">
        <v>4</v>
      </c>
    </row>
    <row r="139" spans="1:15" x14ac:dyDescent="0.2">
      <c r="A139" s="237" t="s">
        <v>643</v>
      </c>
      <c r="B139" s="229">
        <v>456.1</v>
      </c>
      <c r="C139" s="238" t="s">
        <v>644</v>
      </c>
      <c r="D139" s="230" t="s">
        <v>645</v>
      </c>
      <c r="E139" s="268">
        <v>126133.03</v>
      </c>
      <c r="F139" s="232" t="str">
        <f>$N$2</f>
        <v>Other Ratemaking</v>
      </c>
      <c r="G139" s="232">
        <f t="shared" si="27"/>
        <v>0</v>
      </c>
      <c r="H139" s="234">
        <v>0</v>
      </c>
      <c r="I139" s="234">
        <f t="shared" si="28"/>
        <v>0</v>
      </c>
      <c r="J139" s="232">
        <f t="shared" si="29"/>
        <v>0</v>
      </c>
      <c r="K139" s="259"/>
      <c r="L139" s="247"/>
      <c r="M139" s="236">
        <f t="shared" si="30"/>
        <v>0</v>
      </c>
      <c r="N139" s="232">
        <f t="shared" si="31"/>
        <v>126133.03</v>
      </c>
      <c r="O139" s="239">
        <v>6</v>
      </c>
    </row>
    <row r="140" spans="1:15" x14ac:dyDescent="0.2">
      <c r="A140" s="237" t="s">
        <v>646</v>
      </c>
      <c r="B140" s="229">
        <v>456.1</v>
      </c>
      <c r="C140" s="238" t="s">
        <v>647</v>
      </c>
      <c r="D140" s="230" t="s">
        <v>648</v>
      </c>
      <c r="E140" s="268">
        <v>16400947.470000001</v>
      </c>
      <c r="F140" s="232" t="str">
        <f>$N$2</f>
        <v>Other Ratemaking</v>
      </c>
      <c r="G140" s="232">
        <f t="shared" si="27"/>
        <v>0</v>
      </c>
      <c r="H140" s="234">
        <v>0</v>
      </c>
      <c r="I140" s="234">
        <f t="shared" si="28"/>
        <v>0</v>
      </c>
      <c r="J140" s="232">
        <f t="shared" si="29"/>
        <v>0</v>
      </c>
      <c r="K140" s="259"/>
      <c r="L140" s="247"/>
      <c r="M140" s="236">
        <f t="shared" si="30"/>
        <v>0</v>
      </c>
      <c r="N140" s="232">
        <f t="shared" si="31"/>
        <v>16400947.470000001</v>
      </c>
      <c r="O140" s="239">
        <v>6</v>
      </c>
    </row>
    <row r="141" spans="1:15" x14ac:dyDescent="0.2">
      <c r="A141" s="237" t="s">
        <v>649</v>
      </c>
      <c r="B141" s="229">
        <v>456.1</v>
      </c>
      <c r="C141" s="238" t="s">
        <v>650</v>
      </c>
      <c r="D141" s="230" t="s">
        <v>651</v>
      </c>
      <c r="E141" s="268">
        <v>0</v>
      </c>
      <c r="F141" s="232" t="str">
        <f>$N$2</f>
        <v>Other Ratemaking</v>
      </c>
      <c r="G141" s="232">
        <f t="shared" si="27"/>
        <v>0</v>
      </c>
      <c r="H141" s="234">
        <v>0</v>
      </c>
      <c r="I141" s="234">
        <f t="shared" si="28"/>
        <v>0</v>
      </c>
      <c r="J141" s="232">
        <f t="shared" si="29"/>
        <v>0</v>
      </c>
      <c r="K141" s="259"/>
      <c r="L141" s="247"/>
      <c r="M141" s="236">
        <f t="shared" si="30"/>
        <v>0</v>
      </c>
      <c r="N141" s="232">
        <f t="shared" si="31"/>
        <v>0</v>
      </c>
      <c r="O141" s="239">
        <v>6</v>
      </c>
    </row>
    <row r="142" spans="1:15" x14ac:dyDescent="0.2">
      <c r="A142" s="237" t="s">
        <v>652</v>
      </c>
      <c r="B142" s="229">
        <v>456.1</v>
      </c>
      <c r="C142" s="238" t="s">
        <v>653</v>
      </c>
      <c r="D142" s="230" t="s">
        <v>654</v>
      </c>
      <c r="E142" s="268">
        <v>39268453.039999999</v>
      </c>
      <c r="F142" s="232" t="str">
        <f>$G$2</f>
        <v>Traditional OOR</v>
      </c>
      <c r="G142" s="232">
        <f t="shared" si="27"/>
        <v>39268453.039999999</v>
      </c>
      <c r="H142" s="234">
        <f>G142</f>
        <v>39268453.039999999</v>
      </c>
      <c r="I142" s="234">
        <f t="shared" si="28"/>
        <v>0</v>
      </c>
      <c r="J142" s="232">
        <f t="shared" si="29"/>
        <v>0</v>
      </c>
      <c r="K142" s="259"/>
      <c r="L142" s="247"/>
      <c r="M142" s="236">
        <f t="shared" si="30"/>
        <v>0</v>
      </c>
      <c r="N142" s="232">
        <f t="shared" si="31"/>
        <v>0</v>
      </c>
      <c r="O142" s="239">
        <v>5</v>
      </c>
    </row>
    <row r="143" spans="1:15" x14ac:dyDescent="0.2">
      <c r="A143" s="237" t="s">
        <v>655</v>
      </c>
      <c r="B143" s="229">
        <v>456.1</v>
      </c>
      <c r="C143" s="238" t="s">
        <v>656</v>
      </c>
      <c r="D143" s="230" t="s">
        <v>657</v>
      </c>
      <c r="E143" s="268">
        <v>5099479.5</v>
      </c>
      <c r="F143" s="232" t="str">
        <f>$G$2</f>
        <v>Traditional OOR</v>
      </c>
      <c r="G143" s="232">
        <f t="shared" si="27"/>
        <v>5099479.5</v>
      </c>
      <c r="H143" s="234">
        <v>0</v>
      </c>
      <c r="I143" s="234">
        <f t="shared" si="28"/>
        <v>5099479.5</v>
      </c>
      <c r="J143" s="232">
        <f t="shared" si="29"/>
        <v>0</v>
      </c>
      <c r="K143" s="259"/>
      <c r="L143" s="247"/>
      <c r="M143" s="236">
        <f t="shared" si="30"/>
        <v>0</v>
      </c>
      <c r="N143" s="232">
        <f t="shared" si="31"/>
        <v>0</v>
      </c>
      <c r="O143" s="239">
        <v>4</v>
      </c>
    </row>
    <row r="144" spans="1:15" x14ac:dyDescent="0.2">
      <c r="A144" s="237" t="s">
        <v>658</v>
      </c>
      <c r="B144" s="229">
        <v>456.1</v>
      </c>
      <c r="C144" s="238" t="s">
        <v>659</v>
      </c>
      <c r="D144" s="230" t="s">
        <v>660</v>
      </c>
      <c r="E144" s="268">
        <v>394622.16</v>
      </c>
      <c r="F144" s="232" t="str">
        <f>$G$2</f>
        <v>Traditional OOR</v>
      </c>
      <c r="G144" s="232">
        <f t="shared" si="27"/>
        <v>394622.16</v>
      </c>
      <c r="H144" s="234">
        <v>0</v>
      </c>
      <c r="I144" s="234">
        <f t="shared" si="28"/>
        <v>394622.16</v>
      </c>
      <c r="J144" s="232">
        <f t="shared" si="29"/>
        <v>0</v>
      </c>
      <c r="K144" s="259"/>
      <c r="L144" s="247"/>
      <c r="M144" s="236">
        <f t="shared" si="30"/>
        <v>0</v>
      </c>
      <c r="N144" s="232">
        <f t="shared" si="31"/>
        <v>0</v>
      </c>
      <c r="O144" s="239">
        <v>4</v>
      </c>
    </row>
    <row r="145" spans="1:15" x14ac:dyDescent="0.2">
      <c r="A145" s="237" t="s">
        <v>661</v>
      </c>
      <c r="B145" s="229">
        <v>456.1</v>
      </c>
      <c r="C145" s="238" t="s">
        <v>662</v>
      </c>
      <c r="D145" s="230" t="s">
        <v>663</v>
      </c>
      <c r="E145" s="268">
        <v>0</v>
      </c>
      <c r="F145" s="232" t="str">
        <f>$N$2</f>
        <v>Other Ratemaking</v>
      </c>
      <c r="G145" s="232">
        <f t="shared" si="27"/>
        <v>0</v>
      </c>
      <c r="H145" s="234">
        <v>0</v>
      </c>
      <c r="I145" s="234">
        <f t="shared" si="28"/>
        <v>0</v>
      </c>
      <c r="J145" s="232">
        <f t="shared" si="29"/>
        <v>0</v>
      </c>
      <c r="K145" s="259"/>
      <c r="L145" s="247"/>
      <c r="M145" s="236">
        <f t="shared" si="30"/>
        <v>0</v>
      </c>
      <c r="N145" s="232">
        <f t="shared" si="31"/>
        <v>0</v>
      </c>
      <c r="O145" s="239">
        <v>6</v>
      </c>
    </row>
    <row r="146" spans="1:15" x14ac:dyDescent="0.2">
      <c r="A146" s="237" t="s">
        <v>664</v>
      </c>
      <c r="B146" s="229">
        <v>456.1</v>
      </c>
      <c r="C146" s="238" t="s">
        <v>665</v>
      </c>
      <c r="D146" s="230" t="s">
        <v>666</v>
      </c>
      <c r="E146" s="268">
        <v>1078528.1599999999</v>
      </c>
      <c r="F146" s="232" t="str">
        <f t="shared" ref="F146:F153" si="32">$G$2</f>
        <v>Traditional OOR</v>
      </c>
      <c r="G146" s="232">
        <f t="shared" si="27"/>
        <v>1078528.1599999999</v>
      </c>
      <c r="H146" s="234">
        <v>0</v>
      </c>
      <c r="I146" s="234">
        <f t="shared" si="28"/>
        <v>1078528.1599999999</v>
      </c>
      <c r="J146" s="232">
        <f t="shared" si="29"/>
        <v>0</v>
      </c>
      <c r="K146" s="259"/>
      <c r="L146" s="247"/>
      <c r="M146" s="236">
        <f t="shared" si="30"/>
        <v>0</v>
      </c>
      <c r="N146" s="232">
        <f t="shared" si="31"/>
        <v>0</v>
      </c>
      <c r="O146" s="239">
        <v>4</v>
      </c>
    </row>
    <row r="147" spans="1:15" x14ac:dyDescent="0.2">
      <c r="A147" s="237" t="s">
        <v>667</v>
      </c>
      <c r="B147" s="229">
        <v>456.1</v>
      </c>
      <c r="C147" s="238" t="s">
        <v>668</v>
      </c>
      <c r="D147" s="230" t="s">
        <v>669</v>
      </c>
      <c r="E147" s="268">
        <v>402147.6</v>
      </c>
      <c r="F147" s="232" t="str">
        <f t="shared" si="32"/>
        <v>Traditional OOR</v>
      </c>
      <c r="G147" s="232">
        <f t="shared" si="27"/>
        <v>402147.6</v>
      </c>
      <c r="H147" s="234">
        <v>0</v>
      </c>
      <c r="I147" s="234">
        <f t="shared" si="28"/>
        <v>402147.6</v>
      </c>
      <c r="J147" s="232">
        <f t="shared" si="29"/>
        <v>0</v>
      </c>
      <c r="K147" s="259"/>
      <c r="L147" s="247"/>
      <c r="M147" s="236">
        <f t="shared" si="30"/>
        <v>0</v>
      </c>
      <c r="N147" s="232">
        <f t="shared" si="31"/>
        <v>0</v>
      </c>
      <c r="O147" s="239">
        <v>4</v>
      </c>
    </row>
    <row r="148" spans="1:15" x14ac:dyDescent="0.2">
      <c r="A148" s="237" t="s">
        <v>670</v>
      </c>
      <c r="B148" s="229">
        <v>456.1</v>
      </c>
      <c r="C148" s="238" t="s">
        <v>671</v>
      </c>
      <c r="D148" s="230" t="s">
        <v>672</v>
      </c>
      <c r="E148" s="268">
        <v>215698.4</v>
      </c>
      <c r="F148" s="232" t="str">
        <f t="shared" si="32"/>
        <v>Traditional OOR</v>
      </c>
      <c r="G148" s="232">
        <f t="shared" si="27"/>
        <v>215698.4</v>
      </c>
      <c r="H148" s="234">
        <v>0</v>
      </c>
      <c r="I148" s="234">
        <f t="shared" si="28"/>
        <v>215698.4</v>
      </c>
      <c r="J148" s="232">
        <f t="shared" si="29"/>
        <v>0</v>
      </c>
      <c r="K148" s="259"/>
      <c r="L148" s="247"/>
      <c r="M148" s="236">
        <f t="shared" si="30"/>
        <v>0</v>
      </c>
      <c r="N148" s="232">
        <f t="shared" si="31"/>
        <v>0</v>
      </c>
      <c r="O148" s="239">
        <v>4</v>
      </c>
    </row>
    <row r="149" spans="1:15" x14ac:dyDescent="0.2">
      <c r="A149" s="237" t="s">
        <v>673</v>
      </c>
      <c r="B149" s="229">
        <v>456.1</v>
      </c>
      <c r="C149" s="238" t="s">
        <v>674</v>
      </c>
      <c r="D149" s="230" t="s">
        <v>675</v>
      </c>
      <c r="E149" s="268">
        <v>551001.72</v>
      </c>
      <c r="F149" s="232" t="str">
        <f t="shared" si="32"/>
        <v>Traditional OOR</v>
      </c>
      <c r="G149" s="232">
        <f t="shared" si="27"/>
        <v>551001.72</v>
      </c>
      <c r="H149" s="234">
        <v>0</v>
      </c>
      <c r="I149" s="234">
        <f t="shared" si="28"/>
        <v>551001.72</v>
      </c>
      <c r="J149" s="232">
        <f t="shared" si="29"/>
        <v>0</v>
      </c>
      <c r="K149" s="259"/>
      <c r="L149" s="247"/>
      <c r="M149" s="236">
        <f t="shared" si="30"/>
        <v>0</v>
      </c>
      <c r="N149" s="232">
        <f t="shared" si="31"/>
        <v>0</v>
      </c>
      <c r="O149" s="239">
        <v>4</v>
      </c>
    </row>
    <row r="150" spans="1:15" x14ac:dyDescent="0.2">
      <c r="A150" s="237" t="s">
        <v>676</v>
      </c>
      <c r="B150" s="229">
        <v>456.1</v>
      </c>
      <c r="C150" s="238" t="s">
        <v>677</v>
      </c>
      <c r="D150" s="230" t="s">
        <v>678</v>
      </c>
      <c r="E150" s="268">
        <v>653297.80000000005</v>
      </c>
      <c r="F150" s="232" t="str">
        <f t="shared" si="32"/>
        <v>Traditional OOR</v>
      </c>
      <c r="G150" s="232">
        <f t="shared" si="27"/>
        <v>653297.80000000005</v>
      </c>
      <c r="H150" s="234">
        <v>0</v>
      </c>
      <c r="I150" s="234">
        <f t="shared" si="28"/>
        <v>653297.80000000005</v>
      </c>
      <c r="J150" s="232">
        <f t="shared" si="29"/>
        <v>0</v>
      </c>
      <c r="K150" s="259"/>
      <c r="L150" s="247"/>
      <c r="M150" s="236">
        <f t="shared" si="30"/>
        <v>0</v>
      </c>
      <c r="N150" s="232">
        <f t="shared" si="31"/>
        <v>0</v>
      </c>
      <c r="O150" s="239">
        <v>4</v>
      </c>
    </row>
    <row r="151" spans="1:15" x14ac:dyDescent="0.2">
      <c r="A151" s="237" t="s">
        <v>679</v>
      </c>
      <c r="B151" s="229">
        <v>456.1</v>
      </c>
      <c r="C151" s="238" t="s">
        <v>680</v>
      </c>
      <c r="D151" s="230" t="s">
        <v>681</v>
      </c>
      <c r="E151" s="268">
        <v>264133.44</v>
      </c>
      <c r="F151" s="232" t="str">
        <f t="shared" si="32"/>
        <v>Traditional OOR</v>
      </c>
      <c r="G151" s="232">
        <f t="shared" si="27"/>
        <v>264133.44</v>
      </c>
      <c r="H151" s="234">
        <v>0</v>
      </c>
      <c r="I151" s="234">
        <f t="shared" si="28"/>
        <v>264133.44</v>
      </c>
      <c r="J151" s="232">
        <f t="shared" si="29"/>
        <v>0</v>
      </c>
      <c r="K151" s="259"/>
      <c r="L151" s="247"/>
      <c r="M151" s="236">
        <f t="shared" si="30"/>
        <v>0</v>
      </c>
      <c r="N151" s="232">
        <f t="shared" si="31"/>
        <v>0</v>
      </c>
      <c r="O151" s="239">
        <v>4</v>
      </c>
    </row>
    <row r="152" spans="1:15" x14ac:dyDescent="0.2">
      <c r="A152" s="237" t="s">
        <v>682</v>
      </c>
      <c r="B152" s="229">
        <v>456.1</v>
      </c>
      <c r="C152" s="238" t="s">
        <v>683</v>
      </c>
      <c r="D152" s="230" t="s">
        <v>684</v>
      </c>
      <c r="E152" s="231">
        <v>0</v>
      </c>
      <c r="F152" s="232" t="str">
        <f t="shared" si="32"/>
        <v>Traditional OOR</v>
      </c>
      <c r="G152" s="232">
        <f t="shared" si="27"/>
        <v>0</v>
      </c>
      <c r="H152" s="234">
        <v>0</v>
      </c>
      <c r="I152" s="234">
        <f t="shared" si="28"/>
        <v>0</v>
      </c>
      <c r="J152" s="232">
        <f t="shared" si="29"/>
        <v>0</v>
      </c>
      <c r="K152" s="232"/>
      <c r="L152" s="247"/>
      <c r="M152" s="236">
        <f t="shared" si="30"/>
        <v>0</v>
      </c>
      <c r="N152" s="232">
        <f t="shared" si="31"/>
        <v>0</v>
      </c>
      <c r="O152" s="239">
        <v>4</v>
      </c>
    </row>
    <row r="153" spans="1:15" x14ac:dyDescent="0.2">
      <c r="A153" s="237" t="s">
        <v>685</v>
      </c>
      <c r="B153" s="229">
        <v>456.1</v>
      </c>
      <c r="C153" s="238" t="s">
        <v>686</v>
      </c>
      <c r="D153" s="230" t="s">
        <v>687</v>
      </c>
      <c r="E153" s="268">
        <v>42492.12</v>
      </c>
      <c r="F153" s="232" t="str">
        <f t="shared" si="32"/>
        <v>Traditional OOR</v>
      </c>
      <c r="G153" s="232">
        <f t="shared" si="27"/>
        <v>42492.12</v>
      </c>
      <c r="H153" s="234">
        <v>0</v>
      </c>
      <c r="I153" s="234">
        <f t="shared" si="28"/>
        <v>42492.12</v>
      </c>
      <c r="J153" s="232">
        <f t="shared" si="29"/>
        <v>0</v>
      </c>
      <c r="K153" s="259"/>
      <c r="L153" s="247"/>
      <c r="M153" s="236">
        <f t="shared" si="30"/>
        <v>0</v>
      </c>
      <c r="N153" s="232">
        <f t="shared" si="31"/>
        <v>0</v>
      </c>
      <c r="O153" s="239">
        <v>4</v>
      </c>
    </row>
    <row r="154" spans="1:15" x14ac:dyDescent="0.2">
      <c r="A154" s="237" t="s">
        <v>688</v>
      </c>
      <c r="B154" s="229">
        <v>456.1</v>
      </c>
      <c r="C154" s="238" t="s">
        <v>689</v>
      </c>
      <c r="D154" s="230" t="s">
        <v>690</v>
      </c>
      <c r="E154" s="268">
        <v>176595.5</v>
      </c>
      <c r="F154" s="232" t="str">
        <f>$N$2</f>
        <v>Other Ratemaking</v>
      </c>
      <c r="G154" s="232">
        <f t="shared" si="27"/>
        <v>0</v>
      </c>
      <c r="H154" s="234">
        <v>0</v>
      </c>
      <c r="I154" s="234">
        <f t="shared" si="28"/>
        <v>0</v>
      </c>
      <c r="J154" s="232">
        <f t="shared" si="29"/>
        <v>0</v>
      </c>
      <c r="K154" s="259"/>
      <c r="L154" s="247"/>
      <c r="M154" s="236">
        <f t="shared" si="30"/>
        <v>0</v>
      </c>
      <c r="N154" s="232">
        <f t="shared" si="31"/>
        <v>176595.5</v>
      </c>
      <c r="O154" s="239">
        <v>6</v>
      </c>
    </row>
    <row r="155" spans="1:15" x14ac:dyDescent="0.2">
      <c r="A155" s="241"/>
      <c r="B155" s="242"/>
      <c r="C155" s="243"/>
      <c r="D155" s="244"/>
      <c r="E155" s="268"/>
      <c r="F155" s="268"/>
      <c r="G155" s="248"/>
      <c r="H155" s="247"/>
      <c r="I155" s="247"/>
      <c r="J155" s="231"/>
      <c r="K155" s="268"/>
      <c r="L155" s="247"/>
      <c r="M155" s="247"/>
      <c r="N155" s="231"/>
      <c r="O155" s="246"/>
    </row>
    <row r="156" spans="1:15" x14ac:dyDescent="0.2">
      <c r="A156" s="241"/>
      <c r="B156" s="242"/>
      <c r="C156" s="243"/>
      <c r="D156" s="244"/>
      <c r="E156" s="268"/>
      <c r="F156" s="268"/>
      <c r="G156" s="248"/>
      <c r="H156" s="247"/>
      <c r="I156" s="247"/>
      <c r="J156" s="231"/>
      <c r="K156" s="268"/>
      <c r="L156" s="247"/>
      <c r="M156" s="247"/>
      <c r="N156" s="231"/>
      <c r="O156" s="246"/>
    </row>
    <row r="157" spans="1:15" x14ac:dyDescent="0.2">
      <c r="A157" s="237">
        <v>16</v>
      </c>
      <c r="B157" s="507" t="s">
        <v>691</v>
      </c>
      <c r="C157" s="508"/>
      <c r="D157" s="509"/>
      <c r="E157" s="249">
        <f>SUM(E136:E156)</f>
        <v>65965830.939999983</v>
      </c>
      <c r="F157" s="250"/>
      <c r="G157" s="249">
        <f>SUM(G136:G156)</f>
        <v>49262154.939999983</v>
      </c>
      <c r="H157" s="251">
        <f>SUM(H136:H156)</f>
        <v>39268453.039999999</v>
      </c>
      <c r="I157" s="251">
        <f>SUM(I136:I156)</f>
        <v>9993701.9000000004</v>
      </c>
      <c r="J157" s="249">
        <f>SUM(J136:J156)</f>
        <v>0</v>
      </c>
      <c r="K157" s="250"/>
      <c r="L157" s="249">
        <f>SUM(L136:L156)</f>
        <v>0</v>
      </c>
      <c r="M157" s="249">
        <f>SUM(M136:M156)</f>
        <v>0</v>
      </c>
      <c r="N157" s="249">
        <f>SUM(N136:N156)</f>
        <v>16703676</v>
      </c>
      <c r="O157" s="213"/>
    </row>
    <row r="158" spans="1:15" ht="25.5" customHeight="1" x14ac:dyDescent="0.2">
      <c r="A158" s="237">
        <v>17</v>
      </c>
      <c r="B158" s="501" t="s">
        <v>692</v>
      </c>
      <c r="C158" s="502"/>
      <c r="D158" s="503"/>
      <c r="E158" s="252">
        <v>65965831</v>
      </c>
      <c r="F158" s="253"/>
      <c r="G158" s="276"/>
      <c r="H158" s="277"/>
      <c r="I158" s="277"/>
      <c r="J158" s="278"/>
      <c r="K158" s="277"/>
      <c r="L158" s="278"/>
      <c r="M158" s="278"/>
      <c r="N158" s="278"/>
      <c r="O158" s="165"/>
    </row>
    <row r="159" spans="1:15" x14ac:dyDescent="0.2">
      <c r="A159" s="255"/>
      <c r="B159" s="256"/>
      <c r="C159" s="257"/>
      <c r="D159" s="258"/>
      <c r="E159" s="278"/>
      <c r="F159" s="278"/>
      <c r="G159" s="278"/>
      <c r="H159" s="277"/>
      <c r="I159" s="277"/>
      <c r="J159" s="278"/>
      <c r="K159" s="277"/>
      <c r="L159" s="278"/>
      <c r="M159" s="278"/>
      <c r="N159" s="278"/>
      <c r="O159" s="165"/>
    </row>
    <row r="160" spans="1:15" x14ac:dyDescent="0.2">
      <c r="A160" s="241" t="s">
        <v>693</v>
      </c>
      <c r="B160" s="279"/>
      <c r="C160" s="280"/>
      <c r="D160" s="280"/>
      <c r="E160" s="281"/>
      <c r="F160" s="281"/>
      <c r="G160" s="281"/>
      <c r="H160" s="281"/>
      <c r="I160" s="281"/>
      <c r="J160" s="281"/>
      <c r="K160" s="281"/>
      <c r="L160" s="281"/>
      <c r="M160" s="281"/>
      <c r="N160" s="281"/>
      <c r="O160" s="246"/>
    </row>
    <row r="161" spans="1:15" x14ac:dyDescent="0.2">
      <c r="A161" s="241"/>
      <c r="B161" s="282"/>
      <c r="C161" s="280"/>
      <c r="D161" s="280"/>
      <c r="E161" s="281"/>
      <c r="F161" s="281"/>
      <c r="G161" s="281"/>
      <c r="H161" s="281"/>
      <c r="I161" s="281"/>
      <c r="J161" s="281"/>
      <c r="K161" s="281"/>
      <c r="L161" s="281"/>
      <c r="M161" s="281"/>
      <c r="N161" s="281"/>
      <c r="O161" s="246"/>
    </row>
    <row r="162" spans="1:15" x14ac:dyDescent="0.2">
      <c r="A162" s="228">
        <v>19</v>
      </c>
      <c r="B162" s="507" t="s">
        <v>694</v>
      </c>
      <c r="C162" s="508"/>
      <c r="D162" s="509"/>
      <c r="E162" s="249">
        <f>SUM(E160:E161)</f>
        <v>0</v>
      </c>
      <c r="F162" s="283"/>
      <c r="G162" s="249">
        <f>SUM(G160:G161)</f>
        <v>0</v>
      </c>
      <c r="H162" s="249">
        <f t="shared" ref="H162:N162" si="33">SUM(H160:H161)</f>
        <v>0</v>
      </c>
      <c r="I162" s="249">
        <f t="shared" si="33"/>
        <v>0</v>
      </c>
      <c r="J162" s="249">
        <f t="shared" si="33"/>
        <v>0</v>
      </c>
      <c r="K162" s="250"/>
      <c r="L162" s="249">
        <f t="shared" si="33"/>
        <v>0</v>
      </c>
      <c r="M162" s="249">
        <f t="shared" si="33"/>
        <v>0</v>
      </c>
      <c r="N162" s="249">
        <f t="shared" si="33"/>
        <v>0</v>
      </c>
      <c r="O162" s="249"/>
    </row>
    <row r="163" spans="1:15" ht="26.25" customHeight="1" x14ac:dyDescent="0.2">
      <c r="A163" s="228">
        <v>20</v>
      </c>
      <c r="B163" s="514" t="s">
        <v>695</v>
      </c>
      <c r="C163" s="515"/>
      <c r="D163" s="516"/>
      <c r="E163" s="252">
        <v>0</v>
      </c>
      <c r="F163" s="278"/>
      <c r="G163" s="254"/>
      <c r="H163" s="253"/>
      <c r="I163" s="253"/>
      <c r="J163" s="254"/>
      <c r="K163" s="253"/>
      <c r="L163" s="254"/>
      <c r="M163" s="254"/>
      <c r="N163" s="254"/>
      <c r="O163" s="284"/>
    </row>
    <row r="164" spans="1:15" x14ac:dyDescent="0.2">
      <c r="A164" s="255"/>
      <c r="B164" s="256"/>
      <c r="C164" s="257"/>
      <c r="D164" s="258"/>
      <c r="E164" s="278"/>
      <c r="F164" s="278"/>
      <c r="G164" s="254"/>
      <c r="H164" s="253"/>
      <c r="I164" s="253"/>
      <c r="J164" s="254"/>
      <c r="K164" s="253"/>
      <c r="L164" s="254"/>
      <c r="M164" s="254"/>
      <c r="N164" s="254"/>
      <c r="O164" s="284"/>
    </row>
    <row r="165" spans="1:15" x14ac:dyDescent="0.2">
      <c r="A165" s="241" t="s">
        <v>696</v>
      </c>
      <c r="B165" s="279"/>
      <c r="C165" s="280"/>
      <c r="D165" s="280"/>
      <c r="E165" s="281"/>
      <c r="F165" s="281"/>
      <c r="G165" s="252"/>
      <c r="H165" s="252"/>
      <c r="I165" s="252"/>
      <c r="J165" s="252"/>
      <c r="K165" s="252"/>
      <c r="L165" s="252"/>
      <c r="M165" s="252"/>
      <c r="N165" s="252"/>
      <c r="O165" s="247"/>
    </row>
    <row r="166" spans="1:15" x14ac:dyDescent="0.2">
      <c r="A166" s="241"/>
      <c r="B166" s="282"/>
      <c r="C166" s="280"/>
      <c r="D166" s="280"/>
      <c r="E166" s="281"/>
      <c r="F166" s="281"/>
      <c r="G166" s="252"/>
      <c r="H166" s="252"/>
      <c r="I166" s="252"/>
      <c r="J166" s="252"/>
      <c r="K166" s="252"/>
      <c r="L166" s="252"/>
      <c r="M166" s="252"/>
      <c r="N166" s="252"/>
      <c r="O166" s="247"/>
    </row>
    <row r="167" spans="1:15" x14ac:dyDescent="0.2">
      <c r="A167" s="228">
        <v>22</v>
      </c>
      <c r="B167" s="507" t="s">
        <v>697</v>
      </c>
      <c r="C167" s="508"/>
      <c r="D167" s="509"/>
      <c r="E167" s="249">
        <f>SUM(E165:E166)</f>
        <v>0</v>
      </c>
      <c r="F167" s="283"/>
      <c r="G167" s="249">
        <f>SUM(G165:G166)</f>
        <v>0</v>
      </c>
      <c r="H167" s="249">
        <f>SUM(H165:H166)</f>
        <v>0</v>
      </c>
      <c r="I167" s="249">
        <f>SUM(I165:I166)</f>
        <v>0</v>
      </c>
      <c r="J167" s="249">
        <f>SUM(J165:J166)</f>
        <v>0</v>
      </c>
      <c r="K167" s="250"/>
      <c r="L167" s="249">
        <f>SUM(L165:L166)</f>
        <v>0</v>
      </c>
      <c r="M167" s="249">
        <f>SUM(M165:M166)</f>
        <v>0</v>
      </c>
      <c r="N167" s="249">
        <f>SUM(N165:N166)</f>
        <v>0</v>
      </c>
      <c r="O167" s="249"/>
    </row>
    <row r="168" spans="1:15" ht="26.25" customHeight="1" x14ac:dyDescent="0.2">
      <c r="A168" s="228">
        <v>23</v>
      </c>
      <c r="B168" s="514" t="s">
        <v>698</v>
      </c>
      <c r="C168" s="515"/>
      <c r="D168" s="516"/>
      <c r="E168" s="252">
        <v>0</v>
      </c>
      <c r="F168" s="278"/>
      <c r="G168" s="278"/>
      <c r="H168" s="277"/>
      <c r="I168" s="277"/>
      <c r="J168" s="278"/>
      <c r="K168" s="277"/>
      <c r="L168" s="278"/>
      <c r="M168" s="278"/>
      <c r="N168" s="278"/>
      <c r="O168" s="165"/>
    </row>
    <row r="169" spans="1:15" x14ac:dyDescent="0.2">
      <c r="A169" s="255"/>
      <c r="B169" s="256"/>
      <c r="C169" s="257"/>
      <c r="D169" s="258"/>
      <c r="E169" s="278"/>
      <c r="F169" s="278"/>
      <c r="G169" s="278"/>
      <c r="H169" s="277"/>
      <c r="I169" s="277"/>
      <c r="J169" s="278"/>
      <c r="K169" s="277"/>
      <c r="L169" s="278"/>
      <c r="M169" s="278"/>
      <c r="N169" s="278"/>
      <c r="O169" s="165"/>
    </row>
    <row r="170" spans="1:15" x14ac:dyDescent="0.2">
      <c r="A170" s="255"/>
      <c r="B170" s="256" t="s">
        <v>699</v>
      </c>
      <c r="C170" s="257"/>
      <c r="D170" s="258"/>
      <c r="E170" s="278"/>
      <c r="F170" s="278"/>
      <c r="G170" s="278"/>
      <c r="H170" s="277"/>
      <c r="I170" s="277"/>
      <c r="J170" s="278"/>
      <c r="K170" s="277"/>
      <c r="L170" s="278"/>
      <c r="M170" s="278"/>
      <c r="N170" s="278"/>
      <c r="O170" s="165"/>
    </row>
    <row r="171" spans="1:15" x14ac:dyDescent="0.2">
      <c r="A171" s="237" t="s">
        <v>700</v>
      </c>
      <c r="B171" s="285">
        <v>417</v>
      </c>
      <c r="C171" s="286">
        <v>4863135</v>
      </c>
      <c r="D171" s="287" t="s">
        <v>701</v>
      </c>
      <c r="E171" s="268">
        <v>0</v>
      </c>
      <c r="F171" s="232" t="str">
        <f t="shared" ref="F171:F185" si="34">$J$2</f>
        <v>GRSM</v>
      </c>
      <c r="G171" s="232">
        <f t="shared" ref="G171:G185" si="35">IF(F171=$G$2,E171,0)</f>
        <v>0</v>
      </c>
      <c r="H171" s="234">
        <v>0</v>
      </c>
      <c r="I171" s="234">
        <f t="shared" ref="I171:I185" si="36">G171-H171</f>
        <v>0</v>
      </c>
      <c r="J171" s="232">
        <f t="shared" ref="J171:J185" si="37">IF(F171=$J$2,E171,0)</f>
        <v>0</v>
      </c>
      <c r="K171" s="233" t="s">
        <v>316</v>
      </c>
      <c r="L171" s="231"/>
      <c r="M171" s="288">
        <f t="shared" ref="M171:M185" si="38">J171-L171</f>
        <v>0</v>
      </c>
      <c r="N171" s="232">
        <f t="shared" ref="N171:N185" si="39">IF(F171=$N$2,E171,0)</f>
        <v>0</v>
      </c>
      <c r="O171" s="239">
        <v>2</v>
      </c>
    </row>
    <row r="172" spans="1:15" x14ac:dyDescent="0.2">
      <c r="A172" s="237" t="s">
        <v>702</v>
      </c>
      <c r="B172" s="285">
        <v>417</v>
      </c>
      <c r="C172" s="286">
        <v>4863130</v>
      </c>
      <c r="D172" s="287" t="s">
        <v>703</v>
      </c>
      <c r="E172" s="268">
        <v>711191.33</v>
      </c>
      <c r="F172" s="232" t="str">
        <f t="shared" si="34"/>
        <v>GRSM</v>
      </c>
      <c r="G172" s="232">
        <f t="shared" si="35"/>
        <v>0</v>
      </c>
      <c r="H172" s="234">
        <v>0</v>
      </c>
      <c r="I172" s="234">
        <f t="shared" si="36"/>
        <v>0</v>
      </c>
      <c r="J172" s="232">
        <f t="shared" si="37"/>
        <v>711191.33</v>
      </c>
      <c r="K172" s="233" t="s">
        <v>316</v>
      </c>
      <c r="L172" s="231">
        <v>130312.863517342</v>
      </c>
      <c r="M172" s="288">
        <f t="shared" si="38"/>
        <v>580878.46648265794</v>
      </c>
      <c r="N172" s="232">
        <f t="shared" si="39"/>
        <v>0</v>
      </c>
      <c r="O172" s="239">
        <v>2</v>
      </c>
    </row>
    <row r="173" spans="1:15" x14ac:dyDescent="0.2">
      <c r="A173" s="237" t="s">
        <v>704</v>
      </c>
      <c r="B173" s="285">
        <v>417</v>
      </c>
      <c r="C173" s="286">
        <v>4862110</v>
      </c>
      <c r="D173" s="287" t="s">
        <v>705</v>
      </c>
      <c r="E173" s="268">
        <v>5850174.2999999998</v>
      </c>
      <c r="F173" s="232" t="str">
        <f t="shared" si="34"/>
        <v>GRSM</v>
      </c>
      <c r="G173" s="232">
        <f t="shared" si="35"/>
        <v>0</v>
      </c>
      <c r="H173" s="234">
        <v>0</v>
      </c>
      <c r="I173" s="234">
        <f t="shared" si="36"/>
        <v>0</v>
      </c>
      <c r="J173" s="232">
        <f t="shared" si="37"/>
        <v>5850174.2999999998</v>
      </c>
      <c r="K173" s="233" t="s">
        <v>280</v>
      </c>
      <c r="L173" s="231">
        <v>1197978.59131992</v>
      </c>
      <c r="M173" s="288">
        <f t="shared" si="38"/>
        <v>4652195.7086800802</v>
      </c>
      <c r="N173" s="232">
        <f t="shared" si="39"/>
        <v>0</v>
      </c>
      <c r="O173" s="239">
        <v>2</v>
      </c>
    </row>
    <row r="174" spans="1:15" x14ac:dyDescent="0.2">
      <c r="A174" s="237" t="s">
        <v>706</v>
      </c>
      <c r="B174" s="285">
        <v>417</v>
      </c>
      <c r="C174" s="286">
        <v>4862115</v>
      </c>
      <c r="D174" s="287" t="s">
        <v>707</v>
      </c>
      <c r="E174" s="268">
        <v>3330985.67</v>
      </c>
      <c r="F174" s="232" t="str">
        <f t="shared" si="34"/>
        <v>GRSM</v>
      </c>
      <c r="G174" s="232">
        <f t="shared" si="35"/>
        <v>0</v>
      </c>
      <c r="H174" s="234">
        <v>0</v>
      </c>
      <c r="I174" s="234">
        <f t="shared" si="36"/>
        <v>0</v>
      </c>
      <c r="J174" s="232">
        <f t="shared" si="37"/>
        <v>3330985.67</v>
      </c>
      <c r="K174" s="233" t="s">
        <v>280</v>
      </c>
      <c r="L174" s="231">
        <v>678666.42826993298</v>
      </c>
      <c r="M174" s="288">
        <f t="shared" si="38"/>
        <v>2652319.2417300669</v>
      </c>
      <c r="N174" s="232">
        <f t="shared" si="39"/>
        <v>0</v>
      </c>
      <c r="O174" s="239">
        <v>2</v>
      </c>
    </row>
    <row r="175" spans="1:15" x14ac:dyDescent="0.2">
      <c r="A175" s="237" t="s">
        <v>708</v>
      </c>
      <c r="B175" s="285">
        <v>417</v>
      </c>
      <c r="C175" s="286">
        <v>4862120</v>
      </c>
      <c r="D175" s="287" t="s">
        <v>709</v>
      </c>
      <c r="E175" s="268">
        <v>695337.26</v>
      </c>
      <c r="F175" s="232" t="str">
        <f t="shared" si="34"/>
        <v>GRSM</v>
      </c>
      <c r="G175" s="232">
        <f t="shared" si="35"/>
        <v>0</v>
      </c>
      <c r="H175" s="234">
        <v>0</v>
      </c>
      <c r="I175" s="234">
        <f t="shared" si="36"/>
        <v>0</v>
      </c>
      <c r="J175" s="232">
        <f t="shared" si="37"/>
        <v>695337.26</v>
      </c>
      <c r="K175" s="233" t="s">
        <v>280</v>
      </c>
      <c r="L175" s="231">
        <v>53180.748131370303</v>
      </c>
      <c r="M175" s="288">
        <f t="shared" si="38"/>
        <v>642156.51186862972</v>
      </c>
      <c r="N175" s="232">
        <f t="shared" si="39"/>
        <v>0</v>
      </c>
      <c r="O175" s="239">
        <v>2</v>
      </c>
    </row>
    <row r="176" spans="1:15" x14ac:dyDescent="0.2">
      <c r="A176" s="237" t="s">
        <v>710</v>
      </c>
      <c r="B176" s="285">
        <v>417</v>
      </c>
      <c r="C176" s="286">
        <v>4862135</v>
      </c>
      <c r="D176" s="287" t="s">
        <v>711</v>
      </c>
      <c r="E176" s="268">
        <v>27617591.399999999</v>
      </c>
      <c r="F176" s="232" t="str">
        <f t="shared" si="34"/>
        <v>GRSM</v>
      </c>
      <c r="G176" s="232">
        <f t="shared" si="35"/>
        <v>0</v>
      </c>
      <c r="H176" s="234">
        <v>0</v>
      </c>
      <c r="I176" s="234">
        <f t="shared" si="36"/>
        <v>0</v>
      </c>
      <c r="J176" s="232">
        <f t="shared" si="37"/>
        <v>27617591.399999999</v>
      </c>
      <c r="K176" s="233" t="s">
        <v>280</v>
      </c>
      <c r="L176" s="231">
        <v>5485841.2644936601</v>
      </c>
      <c r="M176" s="288">
        <f t="shared" si="38"/>
        <v>22131750.135506339</v>
      </c>
      <c r="N176" s="232">
        <f t="shared" si="39"/>
        <v>0</v>
      </c>
      <c r="O176" s="239">
        <v>2</v>
      </c>
    </row>
    <row r="177" spans="1:15" x14ac:dyDescent="0.2">
      <c r="A177" s="237" t="s">
        <v>712</v>
      </c>
      <c r="B177" s="285">
        <v>417</v>
      </c>
      <c r="C177" s="286">
        <v>4864110</v>
      </c>
      <c r="D177" s="287" t="s">
        <v>713</v>
      </c>
      <c r="E177" s="268">
        <v>0</v>
      </c>
      <c r="F177" s="232" t="str">
        <f t="shared" si="34"/>
        <v>GRSM</v>
      </c>
      <c r="G177" s="232">
        <f t="shared" si="35"/>
        <v>0</v>
      </c>
      <c r="H177" s="234">
        <v>0</v>
      </c>
      <c r="I177" s="234">
        <f t="shared" si="36"/>
        <v>0</v>
      </c>
      <c r="J177" s="232">
        <f t="shared" si="37"/>
        <v>0</v>
      </c>
      <c r="K177" s="233" t="s">
        <v>280</v>
      </c>
      <c r="L177" s="231"/>
      <c r="M177" s="288">
        <f t="shared" si="38"/>
        <v>0</v>
      </c>
      <c r="N177" s="232">
        <f t="shared" si="39"/>
        <v>0</v>
      </c>
      <c r="O177" s="239">
        <v>2</v>
      </c>
    </row>
    <row r="178" spans="1:15" x14ac:dyDescent="0.2">
      <c r="A178" s="237" t="s">
        <v>714</v>
      </c>
      <c r="B178" s="285">
        <v>417</v>
      </c>
      <c r="C178" s="286">
        <v>4864115</v>
      </c>
      <c r="D178" s="287" t="s">
        <v>715</v>
      </c>
      <c r="E178" s="268">
        <v>343067.37</v>
      </c>
      <c r="F178" s="232" t="str">
        <f t="shared" si="34"/>
        <v>GRSM</v>
      </c>
      <c r="G178" s="232">
        <f t="shared" si="35"/>
        <v>0</v>
      </c>
      <c r="H178" s="234">
        <v>0</v>
      </c>
      <c r="I178" s="234">
        <f t="shared" si="36"/>
        <v>0</v>
      </c>
      <c r="J178" s="232">
        <f t="shared" si="37"/>
        <v>343067.37</v>
      </c>
      <c r="K178" s="233" t="s">
        <v>280</v>
      </c>
      <c r="L178" s="231">
        <v>71700.6490646819</v>
      </c>
      <c r="M178" s="288">
        <f t="shared" si="38"/>
        <v>271366.7209353181</v>
      </c>
      <c r="N178" s="232">
        <f t="shared" si="39"/>
        <v>0</v>
      </c>
      <c r="O178" s="239">
        <v>2</v>
      </c>
    </row>
    <row r="179" spans="1:15" x14ac:dyDescent="0.2">
      <c r="A179" s="237" t="s">
        <v>716</v>
      </c>
      <c r="B179" s="285">
        <v>417</v>
      </c>
      <c r="C179" s="286">
        <v>4862125</v>
      </c>
      <c r="D179" s="287" t="s">
        <v>717</v>
      </c>
      <c r="E179" s="268">
        <v>13476994.300000001</v>
      </c>
      <c r="F179" s="232" t="str">
        <f t="shared" si="34"/>
        <v>GRSM</v>
      </c>
      <c r="G179" s="232">
        <f t="shared" si="35"/>
        <v>0</v>
      </c>
      <c r="H179" s="234">
        <v>0</v>
      </c>
      <c r="I179" s="234">
        <f t="shared" si="36"/>
        <v>0</v>
      </c>
      <c r="J179" s="232">
        <f t="shared" si="37"/>
        <v>13476994.300000001</v>
      </c>
      <c r="K179" s="233" t="s">
        <v>280</v>
      </c>
      <c r="L179" s="231">
        <v>2794016.6683955598</v>
      </c>
      <c r="M179" s="288">
        <f t="shared" si="38"/>
        <v>10682977.631604441</v>
      </c>
      <c r="N179" s="232">
        <f t="shared" si="39"/>
        <v>0</v>
      </c>
      <c r="O179" s="239">
        <v>2</v>
      </c>
    </row>
    <row r="180" spans="1:15" x14ac:dyDescent="0.2">
      <c r="A180" s="237" t="s">
        <v>718</v>
      </c>
      <c r="B180" s="285">
        <v>417</v>
      </c>
      <c r="C180" s="286">
        <v>4862130</v>
      </c>
      <c r="D180" s="287" t="s">
        <v>719</v>
      </c>
      <c r="E180" s="268">
        <v>3556422.42</v>
      </c>
      <c r="F180" s="232" t="str">
        <f t="shared" si="34"/>
        <v>GRSM</v>
      </c>
      <c r="G180" s="232">
        <f t="shared" si="35"/>
        <v>0</v>
      </c>
      <c r="H180" s="234">
        <v>0</v>
      </c>
      <c r="I180" s="234">
        <f t="shared" si="36"/>
        <v>0</v>
      </c>
      <c r="J180" s="232">
        <f t="shared" si="37"/>
        <v>3556422.42</v>
      </c>
      <c r="K180" s="233" t="s">
        <v>280</v>
      </c>
      <c r="L180" s="231">
        <v>658698.15804734698</v>
      </c>
      <c r="M180" s="288">
        <f t="shared" si="38"/>
        <v>2897724.2619526531</v>
      </c>
      <c r="N180" s="232">
        <f t="shared" si="39"/>
        <v>0</v>
      </c>
      <c r="O180" s="239">
        <v>2</v>
      </c>
    </row>
    <row r="181" spans="1:15" x14ac:dyDescent="0.2">
      <c r="A181" s="237" t="s">
        <v>720</v>
      </c>
      <c r="B181" s="285">
        <v>417</v>
      </c>
      <c r="C181" s="286">
        <v>4863120</v>
      </c>
      <c r="D181" s="287" t="s">
        <v>721</v>
      </c>
      <c r="E181" s="268">
        <v>393560.33</v>
      </c>
      <c r="F181" s="232" t="str">
        <f t="shared" si="34"/>
        <v>GRSM</v>
      </c>
      <c r="G181" s="232">
        <f t="shared" si="35"/>
        <v>0</v>
      </c>
      <c r="H181" s="234">
        <v>0</v>
      </c>
      <c r="I181" s="234">
        <f t="shared" si="36"/>
        <v>0</v>
      </c>
      <c r="J181" s="232">
        <f t="shared" si="37"/>
        <v>393560.33</v>
      </c>
      <c r="K181" s="233" t="s">
        <v>316</v>
      </c>
      <c r="L181" s="231">
        <v>63170.494233584199</v>
      </c>
      <c r="M181" s="288">
        <f t="shared" si="38"/>
        <v>330389.83576641581</v>
      </c>
      <c r="N181" s="232">
        <f t="shared" si="39"/>
        <v>0</v>
      </c>
      <c r="O181" s="239">
        <v>2</v>
      </c>
    </row>
    <row r="182" spans="1:15" x14ac:dyDescent="0.2">
      <c r="A182" s="237" t="s">
        <v>722</v>
      </c>
      <c r="B182" s="285">
        <v>417</v>
      </c>
      <c r="C182" s="286">
        <v>4863110</v>
      </c>
      <c r="D182" s="287" t="s">
        <v>723</v>
      </c>
      <c r="E182" s="268">
        <v>3229904.54</v>
      </c>
      <c r="F182" s="232" t="str">
        <f t="shared" si="34"/>
        <v>GRSM</v>
      </c>
      <c r="G182" s="232">
        <f t="shared" si="35"/>
        <v>0</v>
      </c>
      <c r="H182" s="234">
        <v>0</v>
      </c>
      <c r="I182" s="234">
        <f t="shared" si="36"/>
        <v>0</v>
      </c>
      <c r="J182" s="232">
        <f t="shared" si="37"/>
        <v>3229904.54</v>
      </c>
      <c r="K182" s="233" t="s">
        <v>316</v>
      </c>
      <c r="L182" s="231">
        <v>664770.92229918099</v>
      </c>
      <c r="M182" s="288">
        <f t="shared" si="38"/>
        <v>2565133.6177008189</v>
      </c>
      <c r="N182" s="232">
        <f t="shared" si="39"/>
        <v>0</v>
      </c>
      <c r="O182" s="239">
        <v>2</v>
      </c>
    </row>
    <row r="183" spans="1:15" x14ac:dyDescent="0.2">
      <c r="A183" s="237" t="s">
        <v>724</v>
      </c>
      <c r="B183" s="285">
        <v>417</v>
      </c>
      <c r="C183" s="286">
        <v>4863115</v>
      </c>
      <c r="D183" s="287" t="s">
        <v>725</v>
      </c>
      <c r="E183" s="268">
        <v>421031.31</v>
      </c>
      <c r="F183" s="232" t="str">
        <f t="shared" si="34"/>
        <v>GRSM</v>
      </c>
      <c r="G183" s="232">
        <f t="shared" si="35"/>
        <v>0</v>
      </c>
      <c r="H183" s="234">
        <v>0</v>
      </c>
      <c r="I183" s="234">
        <f t="shared" si="36"/>
        <v>0</v>
      </c>
      <c r="J183" s="232">
        <f t="shared" si="37"/>
        <v>421031.31</v>
      </c>
      <c r="K183" s="233" t="s">
        <v>316</v>
      </c>
      <c r="L183" s="231">
        <v>76652.877427700398</v>
      </c>
      <c r="M183" s="288">
        <f t="shared" si="38"/>
        <v>344378.43257229961</v>
      </c>
      <c r="N183" s="232">
        <f t="shared" si="39"/>
        <v>0</v>
      </c>
      <c r="O183" s="239">
        <v>2</v>
      </c>
    </row>
    <row r="184" spans="1:15" x14ac:dyDescent="0.2">
      <c r="A184" s="237" t="s">
        <v>726</v>
      </c>
      <c r="B184" s="285">
        <v>417</v>
      </c>
      <c r="C184" s="286">
        <v>4863125</v>
      </c>
      <c r="D184" s="287" t="s">
        <v>727</v>
      </c>
      <c r="E184" s="268">
        <v>992568.08</v>
      </c>
      <c r="F184" s="232" t="str">
        <f t="shared" si="34"/>
        <v>GRSM</v>
      </c>
      <c r="G184" s="232">
        <f t="shared" si="35"/>
        <v>0</v>
      </c>
      <c r="H184" s="234">
        <v>0</v>
      </c>
      <c r="I184" s="234">
        <f t="shared" si="36"/>
        <v>0</v>
      </c>
      <c r="J184" s="232">
        <f t="shared" si="37"/>
        <v>992568.08</v>
      </c>
      <c r="K184" s="233" t="s">
        <v>316</v>
      </c>
      <c r="L184" s="231">
        <v>233902.85840432599</v>
      </c>
      <c r="M184" s="288">
        <f t="shared" si="38"/>
        <v>758665.22159567394</v>
      </c>
      <c r="N184" s="232">
        <f t="shared" si="39"/>
        <v>0</v>
      </c>
      <c r="O184" s="239">
        <v>2</v>
      </c>
    </row>
    <row r="185" spans="1:15" x14ac:dyDescent="0.2">
      <c r="A185" s="237" t="s">
        <v>728</v>
      </c>
      <c r="B185" s="285">
        <v>417</v>
      </c>
      <c r="C185" s="286">
        <v>4864120</v>
      </c>
      <c r="D185" s="287" t="s">
        <v>729</v>
      </c>
      <c r="E185" s="268">
        <v>0</v>
      </c>
      <c r="F185" s="232" t="str">
        <f t="shared" si="34"/>
        <v>GRSM</v>
      </c>
      <c r="G185" s="232">
        <f t="shared" si="35"/>
        <v>0</v>
      </c>
      <c r="H185" s="234">
        <v>0</v>
      </c>
      <c r="I185" s="234">
        <f t="shared" si="36"/>
        <v>0</v>
      </c>
      <c r="J185" s="232">
        <f t="shared" si="37"/>
        <v>0</v>
      </c>
      <c r="K185" s="233" t="s">
        <v>280</v>
      </c>
      <c r="L185" s="231"/>
      <c r="M185" s="288">
        <f t="shared" si="38"/>
        <v>0</v>
      </c>
      <c r="N185" s="232">
        <f t="shared" si="39"/>
        <v>0</v>
      </c>
      <c r="O185" s="239">
        <v>2</v>
      </c>
    </row>
    <row r="186" spans="1:15" x14ac:dyDescent="0.2">
      <c r="A186" s="241"/>
      <c r="B186" s="279"/>
      <c r="C186" s="289"/>
      <c r="D186" s="244"/>
      <c r="E186" s="290"/>
      <c r="F186" s="290"/>
      <c r="G186" s="248"/>
      <c r="H186" s="247"/>
      <c r="I186" s="247"/>
      <c r="J186" s="231"/>
      <c r="K186" s="246"/>
      <c r="L186" s="231"/>
      <c r="M186" s="231"/>
      <c r="N186" s="231"/>
      <c r="O186" s="246"/>
    </row>
    <row r="187" spans="1:15" x14ac:dyDescent="0.2">
      <c r="A187" s="241"/>
      <c r="B187" s="279"/>
      <c r="C187" s="289"/>
      <c r="D187" s="244"/>
      <c r="E187" s="290"/>
      <c r="F187" s="290"/>
      <c r="G187" s="248"/>
      <c r="H187" s="247"/>
      <c r="I187" s="247"/>
      <c r="J187" s="231"/>
      <c r="K187" s="246"/>
      <c r="L187" s="231"/>
      <c r="M187" s="231"/>
      <c r="N187" s="231"/>
      <c r="O187" s="246"/>
    </row>
    <row r="188" spans="1:15" x14ac:dyDescent="0.2">
      <c r="A188" s="237">
        <v>25</v>
      </c>
      <c r="B188" s="517" t="s">
        <v>730</v>
      </c>
      <c r="C188" s="508"/>
      <c r="D188" s="509"/>
      <c r="E188" s="249">
        <f>SUM(E171:E187)</f>
        <v>60618828.309999995</v>
      </c>
      <c r="F188" s="250"/>
      <c r="G188" s="249">
        <f>SUM(G171:G187)</f>
        <v>0</v>
      </c>
      <c r="H188" s="251">
        <f>SUM(H171:H187)</f>
        <v>0</v>
      </c>
      <c r="I188" s="251">
        <f>SUM(I171:I187)</f>
        <v>0</v>
      </c>
      <c r="J188" s="249">
        <f>SUM(J171:J187)</f>
        <v>60618828.309999995</v>
      </c>
      <c r="K188" s="250"/>
      <c r="L188" s="249">
        <f>SUM(L171:L187)</f>
        <v>12108892.523604603</v>
      </c>
      <c r="M188" s="249">
        <f>SUM(M171:M187)</f>
        <v>48509935.786395393</v>
      </c>
      <c r="N188" s="249">
        <f>SUM(N171:N187)</f>
        <v>0</v>
      </c>
      <c r="O188" s="213"/>
    </row>
    <row r="189" spans="1:15" x14ac:dyDescent="0.2">
      <c r="A189" s="237">
        <v>26</v>
      </c>
      <c r="B189" s="517" t="s">
        <v>731</v>
      </c>
      <c r="C189" s="508"/>
      <c r="D189" s="509"/>
      <c r="E189" s="252">
        <v>7059057</v>
      </c>
      <c r="F189" s="254"/>
      <c r="G189" s="278"/>
      <c r="H189" s="277"/>
      <c r="I189" s="277"/>
      <c r="J189" s="278"/>
      <c r="K189" s="277"/>
      <c r="L189" s="278"/>
      <c r="M189" s="278"/>
      <c r="N189" s="278"/>
      <c r="O189" s="165"/>
    </row>
    <row r="190" spans="1:15" ht="25.5" customHeight="1" x14ac:dyDescent="0.2">
      <c r="A190" s="237">
        <v>27</v>
      </c>
      <c r="B190" s="501" t="s">
        <v>732</v>
      </c>
      <c r="C190" s="502"/>
      <c r="D190" s="503"/>
      <c r="E190" s="252">
        <v>67677885</v>
      </c>
      <c r="F190" s="291" t="s">
        <v>308</v>
      </c>
    </row>
    <row r="191" spans="1:15" x14ac:dyDescent="0.2">
      <c r="A191" s="263"/>
    </row>
    <row r="192" spans="1:15" x14ac:dyDescent="0.2">
      <c r="B192" s="297" t="s">
        <v>733</v>
      </c>
    </row>
    <row r="193" spans="1:15" x14ac:dyDescent="0.2">
      <c r="A193" s="233" t="s">
        <v>734</v>
      </c>
      <c r="B193" s="512">
        <v>418.1</v>
      </c>
      <c r="C193" s="513"/>
      <c r="D193" s="287" t="s">
        <v>735</v>
      </c>
      <c r="E193" s="268">
        <v>-300</v>
      </c>
      <c r="F193" s="232" t="str">
        <f>$J$2</f>
        <v>GRSM</v>
      </c>
      <c r="G193" s="232">
        <f t="shared" ref="G193:G198" si="40">IF(F193=$G$2,E193,0)</f>
        <v>0</v>
      </c>
      <c r="H193" s="233">
        <v>0</v>
      </c>
      <c r="I193" s="234">
        <f t="shared" ref="I193:I198" si="41">G193-H193</f>
        <v>0</v>
      </c>
      <c r="J193" s="232">
        <f>IF(F193=$J$2,E193,0)</f>
        <v>-300</v>
      </c>
      <c r="K193" s="298" t="s">
        <v>280</v>
      </c>
      <c r="L193" s="231">
        <v>-300</v>
      </c>
      <c r="M193" s="236">
        <f t="shared" ref="M193:M198" si="42">J193-L193</f>
        <v>0</v>
      </c>
      <c r="N193" s="232">
        <f t="shared" ref="N193:N198" si="43">IF(F193=$N$2,E193,0)</f>
        <v>0</v>
      </c>
      <c r="O193" s="239" t="s">
        <v>736</v>
      </c>
    </row>
    <row r="194" spans="1:15" x14ac:dyDescent="0.2">
      <c r="A194" s="233" t="s">
        <v>737</v>
      </c>
      <c r="B194" s="512">
        <v>418.1</v>
      </c>
      <c r="C194" s="513"/>
      <c r="D194" s="287" t="s">
        <v>738</v>
      </c>
      <c r="E194" s="268">
        <v>0</v>
      </c>
      <c r="F194" s="232" t="str">
        <f>$J$2</f>
        <v>GRSM</v>
      </c>
      <c r="G194" s="232">
        <f t="shared" si="40"/>
        <v>0</v>
      </c>
      <c r="H194" s="233">
        <v>0</v>
      </c>
      <c r="I194" s="234">
        <f t="shared" si="41"/>
        <v>0</v>
      </c>
      <c r="J194" s="232">
        <f>IF(F194=$J$2,E194,0)</f>
        <v>0</v>
      </c>
      <c r="K194" s="298" t="s">
        <v>316</v>
      </c>
      <c r="L194" s="231">
        <v>0</v>
      </c>
      <c r="M194" s="236">
        <f t="shared" si="42"/>
        <v>0</v>
      </c>
      <c r="N194" s="232">
        <f t="shared" si="43"/>
        <v>0</v>
      </c>
      <c r="O194" s="239" t="s">
        <v>736</v>
      </c>
    </row>
    <row r="195" spans="1:15" x14ac:dyDescent="0.2">
      <c r="A195" s="233" t="s">
        <v>739</v>
      </c>
      <c r="B195" s="512">
        <v>418.1</v>
      </c>
      <c r="C195" s="513"/>
      <c r="D195" s="287" t="s">
        <v>740</v>
      </c>
      <c r="E195" s="268">
        <v>976</v>
      </c>
      <c r="F195" s="232" t="s">
        <v>325</v>
      </c>
      <c r="G195" s="232">
        <f t="shared" si="40"/>
        <v>0</v>
      </c>
      <c r="H195" s="233">
        <v>0</v>
      </c>
      <c r="I195" s="234">
        <f t="shared" si="41"/>
        <v>0</v>
      </c>
      <c r="J195" s="232">
        <f>IF(F195=$J$2,E195,0)</f>
        <v>976</v>
      </c>
      <c r="K195" s="298" t="s">
        <v>316</v>
      </c>
      <c r="L195" s="231">
        <v>0</v>
      </c>
      <c r="M195" s="236">
        <f t="shared" si="42"/>
        <v>976</v>
      </c>
      <c r="N195" s="232">
        <f t="shared" si="43"/>
        <v>0</v>
      </c>
      <c r="O195" s="239" t="s">
        <v>741</v>
      </c>
    </row>
    <row r="196" spans="1:15" x14ac:dyDescent="0.2">
      <c r="A196" s="233" t="s">
        <v>742</v>
      </c>
      <c r="B196" s="512">
        <v>418.1</v>
      </c>
      <c r="C196" s="513"/>
      <c r="D196" s="287" t="s">
        <v>743</v>
      </c>
      <c r="E196" s="268">
        <v>-1461</v>
      </c>
      <c r="F196" s="232" t="str">
        <f>$G$2</f>
        <v>Traditional OOR</v>
      </c>
      <c r="G196" s="232">
        <f t="shared" si="40"/>
        <v>-1461</v>
      </c>
      <c r="H196" s="234">
        <v>0</v>
      </c>
      <c r="I196" s="234">
        <f t="shared" si="41"/>
        <v>-1461</v>
      </c>
      <c r="J196" s="232">
        <f>IF(F196=$J$2,E196,0)</f>
        <v>0</v>
      </c>
      <c r="K196" s="298"/>
      <c r="L196" s="231"/>
      <c r="M196" s="234">
        <f t="shared" si="42"/>
        <v>0</v>
      </c>
      <c r="N196" s="232">
        <f t="shared" si="43"/>
        <v>0</v>
      </c>
      <c r="O196" s="233">
        <v>13</v>
      </c>
    </row>
    <row r="197" spans="1:15" x14ac:dyDescent="0.2">
      <c r="A197" s="233" t="s">
        <v>744</v>
      </c>
      <c r="B197" s="512">
        <v>418.1</v>
      </c>
      <c r="C197" s="513"/>
      <c r="D197" s="287" t="s">
        <v>745</v>
      </c>
      <c r="E197" s="268">
        <v>1201</v>
      </c>
      <c r="F197" s="232" t="str">
        <f>$G$2</f>
        <v>Traditional OOR</v>
      </c>
      <c r="G197" s="232">
        <f t="shared" si="40"/>
        <v>1201</v>
      </c>
      <c r="H197" s="234">
        <v>0</v>
      </c>
      <c r="I197" s="234">
        <f t="shared" si="41"/>
        <v>1201</v>
      </c>
      <c r="J197" s="232">
        <f>IF(F197=$J$2,E197,0)</f>
        <v>0</v>
      </c>
      <c r="K197" s="298"/>
      <c r="L197" s="231"/>
      <c r="M197" s="234">
        <f t="shared" si="42"/>
        <v>0</v>
      </c>
      <c r="N197" s="232">
        <f t="shared" si="43"/>
        <v>0</v>
      </c>
      <c r="O197" s="233">
        <v>14</v>
      </c>
    </row>
    <row r="198" spans="1:15" x14ac:dyDescent="0.2">
      <c r="A198" s="233" t="s">
        <v>746</v>
      </c>
      <c r="B198" s="299">
        <v>418.1</v>
      </c>
      <c r="C198" s="300"/>
      <c r="D198" s="287" t="s">
        <v>747</v>
      </c>
      <c r="E198" s="268">
        <v>-1458052</v>
      </c>
      <c r="F198" s="232" t="str">
        <f>$G$2</f>
        <v>Traditional OOR</v>
      </c>
      <c r="G198" s="232">
        <f t="shared" si="40"/>
        <v>-1458052</v>
      </c>
      <c r="H198" s="234">
        <f>E198*$D$239</f>
        <v>-62608.75288</v>
      </c>
      <c r="I198" s="234">
        <f t="shared" si="41"/>
        <v>-1395443.24712</v>
      </c>
      <c r="J198" s="232">
        <v>0</v>
      </c>
      <c r="K198" s="298"/>
      <c r="L198" s="231"/>
      <c r="M198" s="234">
        <f t="shared" si="42"/>
        <v>0</v>
      </c>
      <c r="N198" s="232">
        <f t="shared" si="43"/>
        <v>0</v>
      </c>
      <c r="O198" s="233" t="s">
        <v>748</v>
      </c>
    </row>
    <row r="199" spans="1:15" x14ac:dyDescent="0.2">
      <c r="A199" s="246"/>
      <c r="B199" s="301"/>
      <c r="C199" s="302"/>
      <c r="D199" s="303"/>
      <c r="E199" s="268"/>
      <c r="F199" s="231"/>
      <c r="G199" s="248"/>
      <c r="H199" s="246"/>
      <c r="I199" s="247"/>
      <c r="J199" s="231"/>
      <c r="K199" s="304"/>
      <c r="L199" s="231"/>
      <c r="M199" s="305"/>
      <c r="N199" s="231"/>
      <c r="O199" s="246"/>
    </row>
    <row r="200" spans="1:15" x14ac:dyDescent="0.2">
      <c r="A200" s="246"/>
      <c r="B200" s="301"/>
      <c r="C200" s="302"/>
      <c r="D200" s="303"/>
      <c r="E200" s="268"/>
      <c r="F200" s="231"/>
      <c r="G200" s="248"/>
      <c r="H200" s="246"/>
      <c r="I200" s="247"/>
      <c r="J200" s="231"/>
      <c r="K200" s="304"/>
      <c r="L200" s="231"/>
      <c r="M200" s="305"/>
      <c r="N200" s="231"/>
      <c r="O200" s="246"/>
    </row>
    <row r="201" spans="1:15" x14ac:dyDescent="0.2">
      <c r="A201" s="239">
        <v>29</v>
      </c>
      <c r="B201" s="517" t="s">
        <v>749</v>
      </c>
      <c r="C201" s="508"/>
      <c r="D201" s="509"/>
      <c r="E201" s="306">
        <f>SUM(E193:E200)</f>
        <v>-1457636</v>
      </c>
      <c r="F201" s="307"/>
      <c r="G201" s="308">
        <f>SUM(G193:G200)</f>
        <v>-1458312</v>
      </c>
      <c r="H201" s="308">
        <f>SUM(H193:H200)</f>
        <v>-62608.75288</v>
      </c>
      <c r="I201" s="308">
        <f>SUM(I193:I200)</f>
        <v>-1395703.24712</v>
      </c>
      <c r="J201" s="306">
        <f>SUM(J193:J200)</f>
        <v>676</v>
      </c>
      <c r="K201" s="309"/>
      <c r="L201" s="306">
        <f>SUM(L193:L200)</f>
        <v>-300</v>
      </c>
      <c r="M201" s="306">
        <f>SUM(M193:M200)</f>
        <v>976</v>
      </c>
      <c r="N201" s="306">
        <f>SUM(N193:N200)</f>
        <v>0</v>
      </c>
      <c r="O201" s="213"/>
    </row>
    <row r="202" spans="1:15" x14ac:dyDescent="0.2">
      <c r="A202" s="239">
        <v>30</v>
      </c>
      <c r="B202" s="517" t="s">
        <v>750</v>
      </c>
      <c r="C202" s="521"/>
      <c r="D202" s="522"/>
      <c r="E202" s="310">
        <v>1453882</v>
      </c>
      <c r="F202" s="311"/>
      <c r="G202" s="311"/>
      <c r="H202" s="311"/>
      <c r="I202" s="311"/>
      <c r="J202" s="312"/>
      <c r="K202" s="311"/>
      <c r="L202" s="312"/>
      <c r="M202" s="312"/>
      <c r="N202" s="312"/>
      <c r="O202" s="165"/>
    </row>
    <row r="203" spans="1:15" ht="25.5" customHeight="1" x14ac:dyDescent="0.2">
      <c r="A203" s="239">
        <v>31</v>
      </c>
      <c r="B203" s="523" t="s">
        <v>751</v>
      </c>
      <c r="C203" s="511"/>
      <c r="D203" s="511"/>
      <c r="E203" s="310">
        <v>-3754</v>
      </c>
      <c r="F203" s="311"/>
      <c r="G203" s="311"/>
      <c r="H203" s="311"/>
      <c r="I203" s="311"/>
      <c r="J203" s="312"/>
      <c r="K203" s="311"/>
      <c r="L203" s="312"/>
      <c r="M203" s="312"/>
      <c r="N203" s="312"/>
      <c r="O203" s="165"/>
    </row>
    <row r="204" spans="1:15" x14ac:dyDescent="0.2">
      <c r="A204" s="263"/>
    </row>
    <row r="205" spans="1:15" x14ac:dyDescent="0.2">
      <c r="A205" s="239">
        <v>32</v>
      </c>
      <c r="B205" s="313"/>
      <c r="C205" s="314"/>
      <c r="D205" s="315" t="s">
        <v>752</v>
      </c>
      <c r="E205" s="316">
        <f>E9+E31+E39+E70+E133+E157+E162+E167+E188+E201</f>
        <v>684176618.24999988</v>
      </c>
      <c r="F205" s="317"/>
      <c r="G205" s="316">
        <f>G9+G31+G39+G70+G133+G157+G162+G167+G188+G201</f>
        <v>205544964.32599521</v>
      </c>
      <c r="H205" s="318">
        <f>H9+H31+H39+H70+H133+H157+H162+H167+H188+H201</f>
        <v>43508195.873115197</v>
      </c>
      <c r="I205" s="318">
        <f>I9+I31+I39+I70+I133+I157+I162+I167+I188+I201</f>
        <v>162036768.45288002</v>
      </c>
      <c r="J205" s="316">
        <f>J9+J31+J39+J70+J133+J157+J162+J167+J188+J201</f>
        <v>82933899.530000001</v>
      </c>
      <c r="K205" s="317"/>
      <c r="L205" s="316">
        <f>L9+L31+L39+L70+L133+L157+L162+L167+L188+L201</f>
        <v>16671388.963774953</v>
      </c>
      <c r="M205" s="316">
        <f>M9+M31+M39+M70+M133+M157+M162+M167+M188+M201</f>
        <v>66262510.566225044</v>
      </c>
      <c r="N205" s="316">
        <f>N9+N31+N39+N70+N133+N157+N162+N167+N188+N201</f>
        <v>395697754.39400482</v>
      </c>
      <c r="O205" s="213"/>
    </row>
    <row r="206" spans="1:15" x14ac:dyDescent="0.2">
      <c r="A206" s="319"/>
      <c r="B206" s="320"/>
      <c r="C206" s="319"/>
      <c r="E206" s="263"/>
      <c r="F206" s="263"/>
      <c r="G206" s="321"/>
      <c r="J206" s="322"/>
      <c r="K206" s="323"/>
      <c r="N206" s="321"/>
    </row>
    <row r="207" spans="1:15" x14ac:dyDescent="0.2">
      <c r="A207" s="319"/>
      <c r="B207" s="320"/>
      <c r="C207" s="319"/>
      <c r="E207" s="263"/>
      <c r="F207" s="263" t="s">
        <v>40</v>
      </c>
      <c r="J207" s="322"/>
      <c r="K207" s="323"/>
      <c r="N207" s="321"/>
    </row>
    <row r="208" spans="1:15" x14ac:dyDescent="0.2">
      <c r="A208" s="239">
        <v>33</v>
      </c>
      <c r="B208" s="324"/>
      <c r="C208" s="324"/>
      <c r="D208" s="325" t="s">
        <v>753</v>
      </c>
      <c r="E208" s="259">
        <f>L205</f>
        <v>16671388.963774953</v>
      </c>
      <c r="F208" s="326" t="s">
        <v>754</v>
      </c>
      <c r="G208" s="321"/>
      <c r="N208" s="321"/>
    </row>
    <row r="209" spans="1:254" x14ac:dyDescent="0.2">
      <c r="A209" s="233">
        <v>34</v>
      </c>
      <c r="B209" s="324"/>
      <c r="C209" s="324"/>
      <c r="D209" s="325" t="s">
        <v>755</v>
      </c>
      <c r="E209" s="259">
        <f>E208*(5.425/16.671)</f>
        <v>5425126.5747992992</v>
      </c>
      <c r="F209" s="327" t="s">
        <v>756</v>
      </c>
      <c r="G209" s="323"/>
      <c r="N209" s="321"/>
    </row>
    <row r="210" spans="1:254" x14ac:dyDescent="0.2">
      <c r="A210" s="233">
        <v>35</v>
      </c>
      <c r="B210" s="324"/>
      <c r="C210" s="324"/>
      <c r="D210" s="328"/>
      <c r="E210" s="235"/>
      <c r="F210" s="329"/>
      <c r="G210" s="323"/>
      <c r="N210" s="321"/>
    </row>
    <row r="211" spans="1:254" x14ac:dyDescent="0.2">
      <c r="A211" s="233">
        <v>36</v>
      </c>
      <c r="B211" s="324"/>
      <c r="C211" s="324"/>
      <c r="D211" s="325" t="s">
        <v>757</v>
      </c>
      <c r="E211" s="259">
        <f>SUMIF(K4:K194,"=A",M4:M194)</f>
        <v>43930490.212277532</v>
      </c>
      <c r="F211" s="327" t="s">
        <v>758</v>
      </c>
      <c r="G211" s="323"/>
      <c r="N211" s="321"/>
    </row>
    <row r="212" spans="1:254" x14ac:dyDescent="0.2">
      <c r="A212" s="233">
        <v>37</v>
      </c>
      <c r="B212" s="216"/>
      <c r="C212" s="216"/>
      <c r="D212" s="325" t="s">
        <v>759</v>
      </c>
      <c r="E212" s="259">
        <f>0.1*E211</f>
        <v>4393049.0212277537</v>
      </c>
      <c r="F212" s="194" t="str">
        <f>"= Line "&amp;A211&amp;"D * 10%"</f>
        <v>= Line 36D * 10%</v>
      </c>
      <c r="G212" s="119"/>
      <c r="H212" s="330"/>
      <c r="I212" s="331"/>
    </row>
    <row r="213" spans="1:254" x14ac:dyDescent="0.2">
      <c r="A213" s="233">
        <v>38</v>
      </c>
      <c r="B213" s="216"/>
      <c r="C213" s="216"/>
      <c r="D213" s="325" t="s">
        <v>760</v>
      </c>
      <c r="E213" s="259">
        <f>SUMIF(K4:K197,"=P",M4:M197)</f>
        <v>22332020.35394752</v>
      </c>
      <c r="F213" s="332" t="s">
        <v>761</v>
      </c>
      <c r="G213" s="119"/>
      <c r="H213" s="263"/>
      <c r="I213" s="331"/>
    </row>
    <row r="214" spans="1:254" x14ac:dyDescent="0.2">
      <c r="A214" s="233">
        <v>39</v>
      </c>
      <c r="B214" s="216"/>
      <c r="C214" s="216"/>
      <c r="D214" s="325" t="s">
        <v>762</v>
      </c>
      <c r="E214" s="259">
        <f>0.3*E213</f>
        <v>6699606.1061842563</v>
      </c>
      <c r="F214" s="194" t="str">
        <f>"= Line "&amp;A213&amp;"D * 30%"</f>
        <v>= Line 38D * 30%</v>
      </c>
      <c r="G214" s="119"/>
      <c r="H214" s="330"/>
      <c r="I214" s="331"/>
    </row>
    <row r="215" spans="1:254" x14ac:dyDescent="0.2">
      <c r="A215" s="233">
        <v>40</v>
      </c>
      <c r="B215" s="216"/>
      <c r="C215" s="216"/>
      <c r="D215" s="325" t="s">
        <v>763</v>
      </c>
      <c r="E215" s="259">
        <f>E212+E214</f>
        <v>11092655.12741201</v>
      </c>
      <c r="F215" s="194" t="str">
        <f>"= Line "&amp;A212&amp;"D + Line "&amp;A214&amp;"D"</f>
        <v>= Line 37D + Line 39D</v>
      </c>
      <c r="G215" s="294"/>
    </row>
    <row r="216" spans="1:254" x14ac:dyDescent="0.2">
      <c r="A216" s="233">
        <v>41</v>
      </c>
      <c r="B216" s="216"/>
      <c r="C216" s="216"/>
      <c r="D216" s="325" t="s">
        <v>764</v>
      </c>
      <c r="E216" s="333">
        <f>5.425/16.671</f>
        <v>0.32541539199808051</v>
      </c>
      <c r="F216" s="327" t="s">
        <v>765</v>
      </c>
      <c r="G216" s="294"/>
    </row>
    <row r="217" spans="1:254" x14ac:dyDescent="0.2">
      <c r="A217" s="233">
        <v>42</v>
      </c>
      <c r="B217" s="216"/>
      <c r="C217" s="216"/>
      <c r="D217" s="325" t="s">
        <v>766</v>
      </c>
      <c r="E217" s="259">
        <f>E215*E216</f>
        <v>3609720.7165862969</v>
      </c>
      <c r="F217" s="194" t="str">
        <f>"= Line "&amp;A215&amp;"D * Line "&amp;A216&amp;"D"</f>
        <v>= Line 40D * Line 41D</v>
      </c>
      <c r="G217" s="294"/>
    </row>
    <row r="218" spans="1:254" ht="12.75" customHeight="1" x14ac:dyDescent="0.2">
      <c r="A218" s="233">
        <v>43</v>
      </c>
      <c r="B218" s="216"/>
      <c r="C218" s="216"/>
      <c r="D218" s="334" t="s">
        <v>767</v>
      </c>
      <c r="E218" s="308">
        <f>E217+E209</f>
        <v>9034847.2913855966</v>
      </c>
      <c r="F218" s="194" t="str">
        <f>"= Line "&amp;A209&amp;"D + Line "&amp;A217&amp;"D"</f>
        <v>= Line 34D + Line 42D</v>
      </c>
      <c r="G218" s="294"/>
    </row>
    <row r="219" spans="1:254" x14ac:dyDescent="0.2">
      <c r="A219" s="119"/>
      <c r="D219" s="294"/>
      <c r="E219" s="335"/>
      <c r="F219" s="327"/>
      <c r="G219" s="294"/>
    </row>
    <row r="220" spans="1:254" x14ac:dyDescent="0.2">
      <c r="A220" s="119"/>
      <c r="D220" s="336"/>
      <c r="E220" s="337" t="s">
        <v>34</v>
      </c>
      <c r="F220" s="337" t="s">
        <v>40</v>
      </c>
      <c r="G220" s="338"/>
      <c r="I220" s="296"/>
      <c r="J220" s="119"/>
      <c r="K220" s="296"/>
      <c r="L220" s="336"/>
      <c r="M220" s="337"/>
      <c r="N220" s="337"/>
      <c r="O220" s="338"/>
      <c r="P220" s="293"/>
      <c r="Q220" s="296"/>
      <c r="R220" s="336"/>
      <c r="S220" s="337"/>
      <c r="T220" s="337"/>
      <c r="U220" s="338"/>
      <c r="V220" s="293"/>
      <c r="W220" s="296"/>
      <c r="X220" s="119"/>
      <c r="Y220" s="296"/>
      <c r="Z220" s="336"/>
      <c r="AA220" s="337"/>
      <c r="AB220" s="337"/>
      <c r="AC220" s="338"/>
      <c r="AD220" s="293"/>
      <c r="AE220" s="296"/>
      <c r="AF220" s="119"/>
      <c r="AG220" s="296"/>
      <c r="AH220" s="336"/>
      <c r="AI220" s="337"/>
      <c r="AJ220" s="337"/>
      <c r="AK220" s="338"/>
      <c r="AL220" s="293"/>
      <c r="AM220" s="296"/>
      <c r="AN220" s="119"/>
      <c r="AO220" s="296"/>
      <c r="AP220" s="336"/>
      <c r="AQ220" s="337"/>
      <c r="AR220" s="337"/>
      <c r="AS220" s="338"/>
      <c r="AT220" s="293"/>
      <c r="AU220" s="296"/>
      <c r="AV220" s="119"/>
      <c r="AW220" s="296"/>
      <c r="AX220" s="336"/>
      <c r="AY220" s="337"/>
      <c r="AZ220" s="337"/>
      <c r="BA220" s="338"/>
      <c r="BB220" s="293"/>
      <c r="BC220" s="296"/>
      <c r="BD220" s="119"/>
      <c r="BE220" s="296"/>
      <c r="BF220" s="336"/>
      <c r="BG220" s="337"/>
      <c r="BH220" s="337"/>
      <c r="BI220" s="338"/>
      <c r="BJ220" s="293"/>
      <c r="BK220" s="296"/>
      <c r="BL220" s="119"/>
      <c r="BM220" s="296"/>
      <c r="BN220" s="336"/>
      <c r="BO220" s="337"/>
      <c r="BP220" s="337"/>
      <c r="BQ220" s="338"/>
      <c r="BR220" s="293"/>
      <c r="BS220" s="296"/>
      <c r="BT220" s="119"/>
      <c r="BU220" s="296"/>
      <c r="BV220" s="336"/>
      <c r="BW220" s="337"/>
      <c r="BX220" s="337"/>
      <c r="BY220" s="338"/>
      <c r="BZ220" s="293"/>
      <c r="CA220" s="296"/>
      <c r="CB220" s="119"/>
      <c r="CC220" s="296"/>
      <c r="CD220" s="336"/>
      <c r="CE220" s="337"/>
      <c r="CF220" s="337"/>
      <c r="CG220" s="338"/>
      <c r="CH220" s="293"/>
      <c r="CI220" s="296"/>
      <c r="CJ220" s="119"/>
      <c r="CK220" s="296"/>
      <c r="CL220" s="336"/>
      <c r="CM220" s="337"/>
      <c r="CN220" s="337"/>
      <c r="CO220" s="338"/>
      <c r="CP220" s="293"/>
      <c r="CQ220" s="296"/>
      <c r="CR220" s="119"/>
      <c r="CS220" s="296"/>
      <c r="CT220" s="336"/>
      <c r="CU220" s="337"/>
      <c r="CV220" s="337"/>
      <c r="CW220" s="338"/>
      <c r="CX220" s="293"/>
      <c r="CY220" s="296"/>
      <c r="CZ220" s="119"/>
      <c r="DA220" s="296"/>
      <c r="DB220" s="336"/>
      <c r="DC220" s="337"/>
      <c r="DD220" s="337"/>
      <c r="DE220" s="338"/>
      <c r="DF220" s="293"/>
      <c r="DG220" s="296"/>
      <c r="DH220" s="119"/>
      <c r="DI220" s="296"/>
      <c r="DJ220" s="336"/>
      <c r="DK220" s="337"/>
      <c r="DL220" s="337"/>
      <c r="DM220" s="338"/>
      <c r="DN220" s="293"/>
      <c r="DO220" s="296"/>
      <c r="DP220" s="119"/>
      <c r="DQ220" s="296"/>
      <c r="DR220" s="336"/>
      <c r="DS220" s="337"/>
      <c r="DT220" s="337"/>
      <c r="DU220" s="338"/>
      <c r="DV220" s="293"/>
      <c r="DW220" s="296"/>
      <c r="DX220" s="119"/>
      <c r="DY220" s="296"/>
      <c r="DZ220" s="336"/>
      <c r="EA220" s="337"/>
      <c r="EB220" s="337"/>
      <c r="EC220" s="338"/>
      <c r="ED220" s="293"/>
      <c r="EE220" s="296"/>
      <c r="EF220" s="119"/>
      <c r="EG220" s="296"/>
      <c r="EH220" s="336"/>
      <c r="EI220" s="337"/>
      <c r="EJ220" s="337"/>
      <c r="EK220" s="338"/>
      <c r="EL220" s="293"/>
      <c r="EM220" s="296"/>
      <c r="EN220" s="119"/>
      <c r="EO220" s="296"/>
      <c r="EP220" s="336"/>
      <c r="EQ220" s="337"/>
      <c r="ER220" s="337"/>
      <c r="ES220" s="338"/>
      <c r="ET220" s="293"/>
      <c r="EU220" s="296"/>
      <c r="EV220" s="119"/>
      <c r="EW220" s="296"/>
      <c r="EX220" s="336"/>
      <c r="EY220" s="337"/>
      <c r="EZ220" s="337"/>
      <c r="FA220" s="338"/>
      <c r="FB220" s="293"/>
      <c r="FC220" s="296"/>
      <c r="FD220" s="119"/>
      <c r="FE220" s="296"/>
      <c r="FF220" s="336"/>
      <c r="FG220" s="337"/>
      <c r="FH220" s="337"/>
      <c r="FI220" s="338"/>
      <c r="FJ220" s="293"/>
      <c r="FK220" s="296"/>
      <c r="FL220" s="119"/>
      <c r="FM220" s="296"/>
      <c r="FN220" s="336"/>
      <c r="FO220" s="337"/>
      <c r="FP220" s="337"/>
      <c r="FQ220" s="338"/>
      <c r="FR220" s="293"/>
      <c r="FS220" s="296"/>
      <c r="FT220" s="119"/>
      <c r="FU220" s="296"/>
      <c r="FV220" s="336"/>
      <c r="FW220" s="337"/>
      <c r="FX220" s="337"/>
      <c r="FY220" s="338"/>
      <c r="FZ220" s="293"/>
      <c r="GA220" s="296"/>
      <c r="GB220" s="119"/>
      <c r="GC220" s="296"/>
      <c r="GD220" s="336"/>
      <c r="GE220" s="337"/>
      <c r="GF220" s="337"/>
      <c r="GG220" s="338"/>
      <c r="GH220" s="293"/>
      <c r="GI220" s="296"/>
      <c r="GJ220" s="119"/>
      <c r="GK220" s="296"/>
      <c r="GL220" s="336"/>
      <c r="GM220" s="337"/>
      <c r="GN220" s="337"/>
      <c r="GO220" s="338"/>
      <c r="GP220" s="293"/>
      <c r="GQ220" s="296"/>
      <c r="GR220" s="119"/>
      <c r="GS220" s="296"/>
      <c r="GT220" s="336"/>
      <c r="GU220" s="337"/>
      <c r="GV220" s="337"/>
      <c r="GW220" s="338"/>
      <c r="GX220" s="293"/>
      <c r="GY220" s="296"/>
      <c r="GZ220" s="119"/>
      <c r="HA220" s="296"/>
      <c r="HB220" s="336"/>
      <c r="HC220" s="337"/>
      <c r="HD220" s="337"/>
      <c r="HE220" s="338"/>
      <c r="HF220" s="293"/>
      <c r="HG220" s="296"/>
      <c r="HH220" s="119"/>
      <c r="HI220" s="296"/>
      <c r="HJ220" s="336"/>
      <c r="HK220" s="337"/>
      <c r="HL220" s="337"/>
      <c r="HM220" s="338"/>
      <c r="HN220" s="293"/>
      <c r="HO220" s="296"/>
      <c r="HP220" s="119"/>
      <c r="HQ220" s="296"/>
      <c r="HR220" s="336"/>
      <c r="HS220" s="337"/>
      <c r="HT220" s="337"/>
      <c r="HU220" s="338"/>
      <c r="HV220" s="293"/>
      <c r="HW220" s="296"/>
      <c r="HX220" s="119"/>
      <c r="HY220" s="296"/>
      <c r="HZ220" s="336"/>
      <c r="IA220" s="337"/>
      <c r="IB220" s="337"/>
      <c r="IC220" s="338"/>
      <c r="ID220" s="293"/>
      <c r="IE220" s="296"/>
      <c r="IF220" s="119"/>
      <c r="IG220" s="296"/>
      <c r="IH220" s="336"/>
      <c r="II220" s="337"/>
      <c r="IJ220" s="337"/>
      <c r="IK220" s="338"/>
      <c r="IL220" s="293"/>
      <c r="IM220" s="296"/>
      <c r="IN220" s="119"/>
      <c r="IO220" s="296"/>
      <c r="IP220" s="336"/>
      <c r="IQ220" s="337"/>
      <c r="IR220" s="337"/>
      <c r="IS220" s="338"/>
      <c r="IT220" s="293"/>
    </row>
    <row r="221" spans="1:254" x14ac:dyDescent="0.2">
      <c r="A221" s="233">
        <v>44</v>
      </c>
      <c r="B221" s="297" t="s">
        <v>768</v>
      </c>
      <c r="D221" s="336"/>
      <c r="E221" s="339">
        <f>H205+E218</f>
        <v>52543043.164500795</v>
      </c>
      <c r="F221" s="340" t="s">
        <v>769</v>
      </c>
      <c r="G221" s="338"/>
      <c r="J221" s="297"/>
      <c r="K221" s="296"/>
      <c r="L221" s="336"/>
      <c r="M221" s="341"/>
      <c r="N221" s="340"/>
      <c r="O221" s="338"/>
      <c r="P221" s="293"/>
      <c r="Q221" s="296"/>
      <c r="R221" s="336"/>
      <c r="S221" s="341"/>
      <c r="T221" s="340"/>
      <c r="U221" s="338"/>
      <c r="V221" s="293"/>
      <c r="W221" s="263"/>
      <c r="X221" s="297"/>
      <c r="Y221" s="296"/>
      <c r="Z221" s="336"/>
      <c r="AA221" s="341"/>
      <c r="AB221" s="340"/>
      <c r="AC221" s="338"/>
      <c r="AD221" s="293"/>
      <c r="AE221" s="263"/>
      <c r="AF221" s="297"/>
      <c r="AG221" s="296"/>
      <c r="AH221" s="336"/>
      <c r="AI221" s="341"/>
      <c r="AJ221" s="340"/>
      <c r="AK221" s="338"/>
      <c r="AL221" s="293"/>
      <c r="AM221" s="239"/>
      <c r="AN221" s="297"/>
      <c r="AO221" s="296"/>
      <c r="AP221" s="336"/>
      <c r="AQ221" s="341"/>
      <c r="AR221" s="340"/>
      <c r="AS221" s="338"/>
      <c r="AT221" s="293"/>
      <c r="AU221" s="239"/>
      <c r="AV221" s="297"/>
      <c r="AW221" s="296"/>
      <c r="AX221" s="336"/>
      <c r="AY221" s="341"/>
      <c r="AZ221" s="340"/>
      <c r="BA221" s="338"/>
      <c r="BB221" s="293"/>
      <c r="BC221" s="239"/>
      <c r="BD221" s="297"/>
      <c r="BE221" s="296"/>
      <c r="BF221" s="336"/>
      <c r="BG221" s="341"/>
      <c r="BH221" s="340"/>
      <c r="BI221" s="338"/>
      <c r="BJ221" s="293"/>
      <c r="BK221" s="239"/>
      <c r="BL221" s="297"/>
      <c r="BM221" s="296"/>
      <c r="BN221" s="336"/>
      <c r="BO221" s="341"/>
      <c r="BP221" s="340"/>
      <c r="BQ221" s="338"/>
      <c r="BR221" s="293"/>
      <c r="BS221" s="239"/>
      <c r="BT221" s="297"/>
      <c r="BU221" s="296"/>
      <c r="BV221" s="336"/>
      <c r="BW221" s="341"/>
      <c r="BX221" s="340"/>
      <c r="BY221" s="338"/>
      <c r="BZ221" s="293"/>
      <c r="CA221" s="239"/>
      <c r="CB221" s="297"/>
      <c r="CC221" s="296"/>
      <c r="CD221" s="336"/>
      <c r="CE221" s="341"/>
      <c r="CF221" s="340"/>
      <c r="CG221" s="338"/>
      <c r="CH221" s="293"/>
      <c r="CI221" s="239"/>
      <c r="CJ221" s="297"/>
      <c r="CK221" s="296"/>
      <c r="CL221" s="336"/>
      <c r="CM221" s="341"/>
      <c r="CN221" s="340"/>
      <c r="CO221" s="338"/>
      <c r="CP221" s="293"/>
      <c r="CQ221" s="239"/>
      <c r="CR221" s="297"/>
      <c r="CS221" s="296"/>
      <c r="CT221" s="336"/>
      <c r="CU221" s="341"/>
      <c r="CV221" s="340"/>
      <c r="CW221" s="338"/>
      <c r="CX221" s="293"/>
      <c r="CY221" s="239"/>
      <c r="CZ221" s="297"/>
      <c r="DA221" s="296"/>
      <c r="DB221" s="336"/>
      <c r="DC221" s="341"/>
      <c r="DD221" s="340"/>
      <c r="DE221" s="338"/>
      <c r="DF221" s="293"/>
      <c r="DG221" s="239"/>
      <c r="DH221" s="297"/>
      <c r="DI221" s="296"/>
      <c r="DJ221" s="336"/>
      <c r="DK221" s="341"/>
      <c r="DL221" s="340"/>
      <c r="DM221" s="338"/>
      <c r="DN221" s="293"/>
      <c r="DO221" s="239"/>
      <c r="DP221" s="297"/>
      <c r="DQ221" s="296"/>
      <c r="DR221" s="336"/>
      <c r="DS221" s="341"/>
      <c r="DT221" s="340"/>
      <c r="DU221" s="338"/>
      <c r="DV221" s="293"/>
      <c r="DW221" s="239"/>
      <c r="DX221" s="297"/>
      <c r="DY221" s="296"/>
      <c r="DZ221" s="336"/>
      <c r="EA221" s="341"/>
      <c r="EB221" s="340"/>
      <c r="EC221" s="338"/>
      <c r="ED221" s="293"/>
      <c r="EE221" s="239"/>
      <c r="EF221" s="297"/>
      <c r="EG221" s="296"/>
      <c r="EH221" s="336"/>
      <c r="EI221" s="341"/>
      <c r="EJ221" s="340"/>
      <c r="EK221" s="338"/>
      <c r="EL221" s="293"/>
      <c r="EM221" s="239"/>
      <c r="EN221" s="297"/>
      <c r="EO221" s="296"/>
      <c r="EP221" s="336"/>
      <c r="EQ221" s="341"/>
      <c r="ER221" s="340"/>
      <c r="ES221" s="338"/>
      <c r="ET221" s="293"/>
      <c r="EU221" s="239"/>
      <c r="EV221" s="297"/>
      <c r="EW221" s="296"/>
      <c r="EX221" s="336"/>
      <c r="EY221" s="341"/>
      <c r="EZ221" s="340"/>
      <c r="FA221" s="338"/>
      <c r="FB221" s="293"/>
      <c r="FC221" s="239"/>
      <c r="FD221" s="297"/>
      <c r="FE221" s="296"/>
      <c r="FF221" s="336"/>
      <c r="FG221" s="341"/>
      <c r="FH221" s="340"/>
      <c r="FI221" s="338"/>
      <c r="FJ221" s="293"/>
      <c r="FK221" s="239"/>
      <c r="FL221" s="297"/>
      <c r="FM221" s="296"/>
      <c r="FN221" s="336"/>
      <c r="FO221" s="341"/>
      <c r="FP221" s="340"/>
      <c r="FQ221" s="338"/>
      <c r="FR221" s="293"/>
      <c r="FS221" s="239"/>
      <c r="FT221" s="297"/>
      <c r="FU221" s="296"/>
      <c r="FV221" s="336"/>
      <c r="FW221" s="341"/>
      <c r="FX221" s="340"/>
      <c r="FY221" s="338"/>
      <c r="FZ221" s="293"/>
      <c r="GA221" s="239"/>
      <c r="GB221" s="297"/>
      <c r="GC221" s="296"/>
      <c r="GD221" s="336"/>
      <c r="GE221" s="341"/>
      <c r="GF221" s="340"/>
      <c r="GG221" s="338"/>
      <c r="GH221" s="293"/>
      <c r="GI221" s="239"/>
      <c r="GJ221" s="297"/>
      <c r="GK221" s="296"/>
      <c r="GL221" s="336"/>
      <c r="GM221" s="341"/>
      <c r="GN221" s="340"/>
      <c r="GO221" s="338"/>
      <c r="GP221" s="293"/>
      <c r="GQ221" s="239"/>
      <c r="GR221" s="297"/>
      <c r="GS221" s="296"/>
      <c r="GT221" s="336"/>
      <c r="GU221" s="341"/>
      <c r="GV221" s="340"/>
      <c r="GW221" s="338"/>
      <c r="GX221" s="293"/>
      <c r="GY221" s="239"/>
      <c r="GZ221" s="297"/>
      <c r="HA221" s="296"/>
      <c r="HB221" s="336"/>
      <c r="HC221" s="341"/>
      <c r="HD221" s="340"/>
      <c r="HE221" s="338"/>
      <c r="HF221" s="293"/>
      <c r="HG221" s="239"/>
      <c r="HH221" s="297"/>
      <c r="HI221" s="296"/>
      <c r="HJ221" s="336"/>
      <c r="HK221" s="341"/>
      <c r="HL221" s="340"/>
      <c r="HM221" s="338"/>
      <c r="HN221" s="293"/>
      <c r="HO221" s="239"/>
      <c r="HP221" s="297"/>
      <c r="HQ221" s="296"/>
      <c r="HR221" s="336"/>
      <c r="HS221" s="341"/>
      <c r="HT221" s="340"/>
      <c r="HU221" s="338"/>
      <c r="HV221" s="293"/>
      <c r="HW221" s="239"/>
      <c r="HX221" s="297"/>
      <c r="HY221" s="296"/>
      <c r="HZ221" s="336"/>
      <c r="IA221" s="341"/>
      <c r="IB221" s="340"/>
      <c r="IC221" s="338"/>
      <c r="ID221" s="293"/>
      <c r="IE221" s="239"/>
      <c r="IF221" s="297"/>
      <c r="IG221" s="296"/>
      <c r="IH221" s="336"/>
      <c r="II221" s="341"/>
      <c r="IJ221" s="340"/>
      <c r="IK221" s="338"/>
      <c r="IL221" s="293"/>
      <c r="IM221" s="239"/>
      <c r="IN221" s="297"/>
      <c r="IO221" s="296"/>
      <c r="IP221" s="336"/>
      <c r="IQ221" s="341"/>
      <c r="IR221" s="340"/>
      <c r="IS221" s="338"/>
      <c r="IT221" s="293"/>
    </row>
    <row r="222" spans="1:254" x14ac:dyDescent="0.2">
      <c r="D222" s="294"/>
      <c r="E222" s="295"/>
      <c r="F222" s="326"/>
    </row>
    <row r="224" spans="1:254" x14ac:dyDescent="0.2">
      <c r="A224" s="296" t="s">
        <v>293</v>
      </c>
    </row>
    <row r="225" spans="1:8" ht="12.75" customHeight="1" x14ac:dyDescent="0.2">
      <c r="A225" s="342" t="s">
        <v>770</v>
      </c>
      <c r="B225" s="524" t="s">
        <v>771</v>
      </c>
      <c r="C225" s="525"/>
      <c r="D225" s="525"/>
    </row>
    <row r="226" spans="1:8" ht="77.25" customHeight="1" x14ac:dyDescent="0.2">
      <c r="A226" s="342" t="s">
        <v>772</v>
      </c>
      <c r="B226" s="518" t="s">
        <v>773</v>
      </c>
      <c r="C226" s="519"/>
      <c r="D226" s="519"/>
      <c r="E226" s="526"/>
      <c r="F226" s="526"/>
    </row>
    <row r="227" spans="1:8" ht="12.75" customHeight="1" x14ac:dyDescent="0.2">
      <c r="A227" s="342" t="s">
        <v>774</v>
      </c>
      <c r="B227" s="518" t="s">
        <v>775</v>
      </c>
      <c r="C227" s="527"/>
      <c r="D227" s="527"/>
      <c r="E227" s="528"/>
      <c r="F227" s="528"/>
    </row>
    <row r="228" spans="1:8" ht="12.75" customHeight="1" x14ac:dyDescent="0.2">
      <c r="A228" s="343" t="s">
        <v>776</v>
      </c>
      <c r="B228" s="518" t="s">
        <v>777</v>
      </c>
      <c r="C228" s="527"/>
      <c r="D228" s="527"/>
      <c r="E228" s="528"/>
      <c r="F228" s="528"/>
    </row>
    <row r="229" spans="1:8" ht="12.75" customHeight="1" x14ac:dyDescent="0.2">
      <c r="A229" s="342" t="s">
        <v>778</v>
      </c>
      <c r="B229" s="518" t="s">
        <v>779</v>
      </c>
      <c r="C229" s="527"/>
      <c r="D229" s="527"/>
      <c r="E229" s="528"/>
      <c r="F229" s="528"/>
    </row>
    <row r="230" spans="1:8" ht="12.75" customHeight="1" x14ac:dyDescent="0.2">
      <c r="A230" s="343" t="s">
        <v>780</v>
      </c>
      <c r="B230" s="518" t="s">
        <v>781</v>
      </c>
      <c r="C230" s="527"/>
      <c r="D230" s="527"/>
      <c r="E230" s="528"/>
      <c r="F230" s="528"/>
    </row>
    <row r="231" spans="1:8" ht="12.75" customHeight="1" x14ac:dyDescent="0.2">
      <c r="A231" s="343" t="s">
        <v>782</v>
      </c>
      <c r="B231" s="518" t="s">
        <v>783</v>
      </c>
      <c r="C231" s="519"/>
      <c r="D231" s="519"/>
      <c r="E231" s="520"/>
      <c r="F231" s="520"/>
    </row>
    <row r="232" spans="1:8" ht="12.75" customHeight="1" x14ac:dyDescent="0.2">
      <c r="A232" s="343"/>
      <c r="B232" s="520"/>
      <c r="C232" s="520"/>
      <c r="D232" s="520"/>
      <c r="E232" s="520"/>
      <c r="F232" s="520"/>
    </row>
    <row r="233" spans="1:8" ht="12.75" customHeight="1" x14ac:dyDescent="0.2">
      <c r="A233" s="343"/>
      <c r="B233" s="518" t="s">
        <v>784</v>
      </c>
      <c r="C233" s="527"/>
      <c r="D233" s="344">
        <v>4.2939999999999999E-2</v>
      </c>
      <c r="E233" s="345" t="s">
        <v>785</v>
      </c>
      <c r="F233" s="193" t="s">
        <v>786</v>
      </c>
      <c r="G233" s="346"/>
    </row>
    <row r="234" spans="1:8" ht="26.25" customHeight="1" x14ac:dyDescent="0.2">
      <c r="A234" s="343" t="s">
        <v>787</v>
      </c>
      <c r="B234" s="518" t="s">
        <v>788</v>
      </c>
      <c r="C234" s="527"/>
      <c r="D234" s="527"/>
      <c r="E234" s="528"/>
      <c r="F234" s="528"/>
    </row>
    <row r="235" spans="1:8" ht="27.75" customHeight="1" x14ac:dyDescent="0.2">
      <c r="A235" s="343" t="s">
        <v>789</v>
      </c>
      <c r="B235" s="518" t="s">
        <v>790</v>
      </c>
      <c r="C235" s="527"/>
      <c r="D235" s="527"/>
      <c r="E235" s="528"/>
      <c r="F235" s="528"/>
    </row>
    <row r="236" spans="1:8" ht="25.5" customHeight="1" x14ac:dyDescent="0.2">
      <c r="A236" s="342" t="s">
        <v>791</v>
      </c>
      <c r="B236" s="518" t="s">
        <v>792</v>
      </c>
      <c r="C236" s="527"/>
      <c r="D236" s="527"/>
      <c r="E236" s="528"/>
      <c r="F236" s="528"/>
    </row>
    <row r="237" spans="1:8" ht="39.950000000000003" customHeight="1" x14ac:dyDescent="0.2">
      <c r="A237" s="343" t="s">
        <v>793</v>
      </c>
      <c r="B237" s="518" t="s">
        <v>794</v>
      </c>
      <c r="C237" s="519"/>
      <c r="D237" s="519"/>
      <c r="E237" s="526"/>
      <c r="F237" s="526"/>
      <c r="G237" s="294"/>
    </row>
    <row r="238" spans="1:8" ht="26.1" customHeight="1" x14ac:dyDescent="0.2">
      <c r="A238" s="343" t="s">
        <v>795</v>
      </c>
      <c r="B238" s="518" t="s">
        <v>796</v>
      </c>
      <c r="C238" s="519"/>
      <c r="D238" s="519"/>
      <c r="E238" s="520"/>
      <c r="F238" s="520"/>
      <c r="G238" s="520"/>
    </row>
    <row r="239" spans="1:8" ht="12.75" customHeight="1" x14ac:dyDescent="0.2">
      <c r="A239" s="343"/>
      <c r="B239" s="518" t="s">
        <v>784</v>
      </c>
      <c r="C239" s="527"/>
      <c r="D239" s="344">
        <v>4.2939999999999999E-2</v>
      </c>
      <c r="E239" s="345" t="s">
        <v>785</v>
      </c>
      <c r="F239" s="193" t="s">
        <v>786</v>
      </c>
      <c r="G239" s="346"/>
    </row>
    <row r="240" spans="1:8" ht="12.75" customHeight="1" x14ac:dyDescent="0.2">
      <c r="A240" s="343" t="s">
        <v>797</v>
      </c>
      <c r="B240" s="518" t="s">
        <v>798</v>
      </c>
      <c r="C240" s="519"/>
      <c r="D240" s="519"/>
      <c r="E240" s="520"/>
      <c r="F240" s="520"/>
      <c r="G240" s="520"/>
      <c r="H240" s="520"/>
    </row>
    <row r="241" spans="1:7" ht="12.75" customHeight="1" x14ac:dyDescent="0.2">
      <c r="A241" s="343" t="s">
        <v>799</v>
      </c>
      <c r="B241" s="518" t="s">
        <v>800</v>
      </c>
      <c r="C241" s="519"/>
      <c r="D241" s="519"/>
      <c r="E241" s="520"/>
      <c r="F241" s="520"/>
      <c r="G241" s="520"/>
    </row>
    <row r="242" spans="1:7" ht="25.5" customHeight="1" x14ac:dyDescent="0.2">
      <c r="A242" s="343" t="s">
        <v>801</v>
      </c>
      <c r="B242" s="518" t="s">
        <v>802</v>
      </c>
      <c r="C242" s="519"/>
      <c r="D242" s="519"/>
      <c r="E242" s="526"/>
      <c r="F242" s="526"/>
      <c r="G242" s="294"/>
    </row>
    <row r="243" spans="1:7" x14ac:dyDescent="0.2">
      <c r="A243" s="343" t="s">
        <v>803</v>
      </c>
      <c r="B243" s="119" t="s">
        <v>804</v>
      </c>
      <c r="C243" s="119"/>
      <c r="E243" s="119"/>
      <c r="F243" s="119"/>
      <c r="G243" s="294"/>
    </row>
    <row r="244" spans="1:7" x14ac:dyDescent="0.2">
      <c r="A244" s="343" t="s">
        <v>805</v>
      </c>
      <c r="B244" s="119" t="s">
        <v>806</v>
      </c>
      <c r="C244" s="119"/>
      <c r="E244" s="294"/>
      <c r="F244" s="294"/>
      <c r="G244" s="294"/>
    </row>
    <row r="245" spans="1:7" x14ac:dyDescent="0.2">
      <c r="A245" s="119"/>
      <c r="B245" s="119" t="s">
        <v>807</v>
      </c>
      <c r="C245" s="119"/>
      <c r="E245" s="294"/>
      <c r="F245" s="294"/>
      <c r="G245" s="294"/>
    </row>
    <row r="246" spans="1:7" x14ac:dyDescent="0.2">
      <c r="A246" s="119"/>
      <c r="B246" s="119" t="s">
        <v>808</v>
      </c>
      <c r="C246" s="119"/>
      <c r="E246" s="294"/>
      <c r="F246" s="294"/>
      <c r="G246" s="294"/>
    </row>
    <row r="247" spans="1:7" x14ac:dyDescent="0.2">
      <c r="A247" s="119"/>
      <c r="B247" s="119" t="s">
        <v>809</v>
      </c>
      <c r="C247" s="119"/>
      <c r="E247" s="294"/>
      <c r="F247" s="294"/>
      <c r="G247" s="294"/>
    </row>
  </sheetData>
  <autoFilter ref="A1:O243" xr:uid="{00000000-0009-0000-0000-00000A000000}"/>
  <mergeCells count="46">
    <mergeCell ref="B239:C239"/>
    <mergeCell ref="B240:H240"/>
    <mergeCell ref="B241:G241"/>
    <mergeCell ref="B242:F242"/>
    <mergeCell ref="B233:C233"/>
    <mergeCell ref="B234:F234"/>
    <mergeCell ref="B235:F235"/>
    <mergeCell ref="B236:F236"/>
    <mergeCell ref="B237:F237"/>
    <mergeCell ref="B238:G238"/>
    <mergeCell ref="B231:F232"/>
    <mergeCell ref="B196:C196"/>
    <mergeCell ref="B197:C197"/>
    <mergeCell ref="B201:D201"/>
    <mergeCell ref="B202:D202"/>
    <mergeCell ref="B203:D203"/>
    <mergeCell ref="B225:D225"/>
    <mergeCell ref="B226:F226"/>
    <mergeCell ref="B227:F227"/>
    <mergeCell ref="B228:F228"/>
    <mergeCell ref="B229:F229"/>
    <mergeCell ref="B230:F230"/>
    <mergeCell ref="B195:C195"/>
    <mergeCell ref="B157:D157"/>
    <mergeCell ref="B158:D158"/>
    <mergeCell ref="B162:D162"/>
    <mergeCell ref="B163:D163"/>
    <mergeCell ref="B167:D167"/>
    <mergeCell ref="B168:D168"/>
    <mergeCell ref="B188:D188"/>
    <mergeCell ref="B189:D189"/>
    <mergeCell ref="B190:D190"/>
    <mergeCell ref="B193:C193"/>
    <mergeCell ref="B194:C194"/>
    <mergeCell ref="B134:D134"/>
    <mergeCell ref="G2:I2"/>
    <mergeCell ref="J2:M2"/>
    <mergeCell ref="B9:D9"/>
    <mergeCell ref="B10:D10"/>
    <mergeCell ref="B31:D31"/>
    <mergeCell ref="B32:D32"/>
    <mergeCell ref="B39:D39"/>
    <mergeCell ref="B40:D40"/>
    <mergeCell ref="B70:D70"/>
    <mergeCell ref="B71:D71"/>
    <mergeCell ref="B133:D133"/>
  </mergeCells>
  <conditionalFormatting sqref="A229:A230 C164:C166 C135:C156 D76 C2:C8 C159:C161 C244:C65553 A234:A235 C168:C177 A237:A240 C222:C224 C33:C38 C41:C69 C72:C128 C205:C219 A242:A243 C11:C30">
    <cfRule type="cellIs" dxfId="6" priority="7" stopIfTrue="1" operator="between">
      <formula>4990000</formula>
      <formula>4999999</formula>
    </cfRule>
  </conditionalFormatting>
  <conditionalFormatting sqref="A241">
    <cfRule type="cellIs" dxfId="5" priority="6" stopIfTrue="1" operator="between">
      <formula>4990000</formula>
      <formula>4999999</formula>
    </cfRule>
  </conditionalFormatting>
  <conditionalFormatting sqref="A231:A233">
    <cfRule type="cellIs" dxfId="4" priority="5" stopIfTrue="1" operator="between">
      <formula>4990000</formula>
      <formula>4999999</formula>
    </cfRule>
  </conditionalFormatting>
  <conditionalFormatting sqref="K220:K221 Q220:Q221 Y220:Y221 AG220:AG221 AO220:AO221 AW220:AW221 BE220:BE221 BM220:BM221 BU220:BU221 CC220:CC221 CK220:CK221 CS220:CS221 DA220:DA221 DI220:DI221 DQ220:DQ221 DY220:DY221 EG220:EG221 EO220:EO221 EW220:EW221 FE220:FE221 FM220:FM221 FU220:FU221 GC220:GC221 GK220:GK221 GS220:GS221 HA220:HA221 HI220:HI221 HQ220:HQ221 HY220:HY221 IG220:IG221 IO220:IO221">
    <cfRule type="cellIs" dxfId="3" priority="4" stopIfTrue="1" operator="between">
      <formula>4990000</formula>
      <formula>4999999</formula>
    </cfRule>
  </conditionalFormatting>
  <conditionalFormatting sqref="C220:C221">
    <cfRule type="cellIs" dxfId="2" priority="3" stopIfTrue="1" operator="between">
      <formula>4990000</formula>
      <formula>4999999</formula>
    </cfRule>
  </conditionalFormatting>
  <conditionalFormatting sqref="A244">
    <cfRule type="cellIs" dxfId="1" priority="2" stopIfTrue="1" operator="between">
      <formula>4990000</formula>
      <formula>4999999</formula>
    </cfRule>
  </conditionalFormatting>
  <conditionalFormatting sqref="C129:C132">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2014 True Up TRR)&amp;RTO2020 Annual Update
Attachment 4
WP-Schedule 3-One Time Adj Prior Period
Page &amp;P of &amp;N</oddHeader>
    <oddFooter>&amp;R21-RevenueCredits</oddFooter>
  </headerFooter>
  <rowBreaks count="3" manualBreakCount="3">
    <brk id="71" max="16383" man="1"/>
    <brk id="134" max="16383" man="1"/>
    <brk id="190"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5"/>
  <sheetViews>
    <sheetView zoomScaleNormal="100" workbookViewId="0"/>
  </sheetViews>
  <sheetFormatPr defaultColWidth="9.140625" defaultRowHeight="15" x14ac:dyDescent="0.25"/>
  <cols>
    <col min="1" max="2" width="9.140625" style="376"/>
    <col min="3" max="3" width="18.5703125" style="376" customWidth="1"/>
    <col min="4" max="4" width="14.28515625" style="376" bestFit="1" customWidth="1"/>
    <col min="5" max="5" width="12.5703125" style="376" customWidth="1"/>
    <col min="6" max="6" width="12" style="376" customWidth="1"/>
    <col min="7" max="7" width="13.85546875" style="376" customWidth="1"/>
    <col min="8" max="16384" width="9.140625" style="376"/>
  </cols>
  <sheetData>
    <row r="2" spans="1:8" ht="21" customHeight="1" x14ac:dyDescent="0.25"/>
    <row r="3" spans="1:8" ht="15" customHeight="1" x14ac:dyDescent="0.25">
      <c r="A3" s="559" t="s">
        <v>829</v>
      </c>
      <c r="B3" s="559"/>
      <c r="C3" s="559"/>
      <c r="D3" s="559"/>
      <c r="E3" s="559"/>
      <c r="F3" s="559"/>
      <c r="G3" s="559"/>
    </row>
    <row r="4" spans="1:8" ht="15" customHeight="1" x14ac:dyDescent="0.25">
      <c r="A4" s="559"/>
      <c r="B4" s="559"/>
      <c r="C4" s="559"/>
      <c r="D4" s="559"/>
      <c r="E4" s="559"/>
      <c r="F4" s="559"/>
      <c r="G4" s="559"/>
    </row>
    <row r="5" spans="1:8" x14ac:dyDescent="0.25">
      <c r="A5" s="560" t="s">
        <v>33</v>
      </c>
      <c r="B5" s="560"/>
      <c r="C5" s="560"/>
      <c r="D5" s="377" t="s">
        <v>34</v>
      </c>
      <c r="E5" s="561" t="s">
        <v>35</v>
      </c>
      <c r="F5" s="561"/>
      <c r="G5" s="561"/>
      <c r="H5" s="378"/>
    </row>
    <row r="6" spans="1:8" ht="49.5" customHeight="1" x14ac:dyDescent="0.25">
      <c r="A6" s="555" t="s">
        <v>887</v>
      </c>
      <c r="B6" s="556"/>
      <c r="C6" s="557"/>
      <c r="D6" s="379">
        <f>'[15]WP-2016 Sch4-TUTRR'!J71</f>
        <v>1024300614.2093396</v>
      </c>
      <c r="E6" s="558" t="s">
        <v>888</v>
      </c>
      <c r="F6" s="558"/>
      <c r="G6" s="558"/>
    </row>
    <row r="7" spans="1:8" ht="50.25" customHeight="1" x14ac:dyDescent="0.25">
      <c r="A7" s="555" t="s">
        <v>889</v>
      </c>
      <c r="B7" s="556"/>
      <c r="C7" s="557"/>
      <c r="D7" s="380">
        <f>'[15]WP-2016 Sch4-TUTRR'!E73</f>
        <v>1024299495.7222075</v>
      </c>
      <c r="E7" s="575" t="s">
        <v>992</v>
      </c>
      <c r="F7" s="558"/>
      <c r="G7" s="558"/>
    </row>
    <row r="8" spans="1:8" x14ac:dyDescent="0.25">
      <c r="A8" s="551" t="s">
        <v>36</v>
      </c>
      <c r="B8" s="551"/>
      <c r="C8" s="552"/>
      <c r="D8" s="381">
        <f>D7-D6</f>
        <v>-1118.4871320724487</v>
      </c>
      <c r="E8" s="553"/>
      <c r="F8" s="553"/>
      <c r="G8" s="553"/>
    </row>
    <row r="11" spans="1:8" x14ac:dyDescent="0.25">
      <c r="A11" s="376" t="s">
        <v>284</v>
      </c>
    </row>
    <row r="12" spans="1:8" x14ac:dyDescent="0.25">
      <c r="A12" s="554" t="s">
        <v>890</v>
      </c>
      <c r="B12" s="554"/>
      <c r="C12" s="554"/>
      <c r="D12" s="554"/>
      <c r="E12" s="554"/>
      <c r="F12" s="554"/>
      <c r="G12" s="554"/>
      <c r="H12" s="554"/>
    </row>
    <row r="13" spans="1:8" x14ac:dyDescent="0.25">
      <c r="A13" s="554"/>
      <c r="B13" s="554"/>
      <c r="C13" s="554"/>
      <c r="D13" s="554"/>
      <c r="E13" s="554"/>
      <c r="F13" s="554"/>
      <c r="G13" s="554"/>
      <c r="H13" s="554"/>
    </row>
    <row r="15" spans="1:8" x14ac:dyDescent="0.25">
      <c r="A15" s="554"/>
      <c r="B15" s="554"/>
      <c r="C15" s="554"/>
      <c r="D15" s="554"/>
      <c r="E15" s="554"/>
      <c r="F15" s="554"/>
      <c r="G15" s="554"/>
      <c r="H15" s="554"/>
    </row>
  </sheetData>
  <mergeCells count="12">
    <mergeCell ref="A7:C7"/>
    <mergeCell ref="E7:G7"/>
    <mergeCell ref="A3:G4"/>
    <mergeCell ref="A5:C5"/>
    <mergeCell ref="E5:G5"/>
    <mergeCell ref="A6:C6"/>
    <mergeCell ref="E6:G6"/>
    <mergeCell ref="A8:C8"/>
    <mergeCell ref="E8:G8"/>
    <mergeCell ref="A12:H12"/>
    <mergeCell ref="A13:H13"/>
    <mergeCell ref="A15:H15"/>
  </mergeCells>
  <pageMargins left="0.7" right="0.7" top="0.75" bottom="0.75" header="0.3" footer="0.3"/>
  <pageSetup orientation="portrait" r:id="rId1"/>
  <headerFooter>
    <oddHeader>&amp;RTO2020 Annual Update
Attachment 4
WP-Schedule 3-One Time Adj Prior Period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E6356-E573-4FE6-942F-44F077F05690}">
  <dimension ref="A1:L172"/>
  <sheetViews>
    <sheetView zoomScale="120" zoomScaleNormal="12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4.5703125" customWidth="1"/>
  </cols>
  <sheetData>
    <row r="1" spans="1:10" x14ac:dyDescent="0.2">
      <c r="A1" s="90" t="s">
        <v>38</v>
      </c>
    </row>
    <row r="2" spans="1:10" x14ac:dyDescent="0.2">
      <c r="H2" s="91"/>
    </row>
    <row r="3" spans="1:10" x14ac:dyDescent="0.2">
      <c r="B3" s="92" t="s">
        <v>39</v>
      </c>
    </row>
    <row r="4" spans="1:10" x14ac:dyDescent="0.2">
      <c r="B4" s="93"/>
      <c r="F4" s="94" t="s">
        <v>40</v>
      </c>
      <c r="G4" s="94"/>
      <c r="H4" s="94" t="s">
        <v>41</v>
      </c>
    </row>
    <row r="5" spans="1:10" x14ac:dyDescent="0.2">
      <c r="A5" s="95" t="s">
        <v>42</v>
      </c>
      <c r="B5" s="96"/>
      <c r="C5" s="97" t="s">
        <v>43</v>
      </c>
      <c r="F5" s="98" t="s">
        <v>44</v>
      </c>
      <c r="G5" s="98" t="s">
        <v>45</v>
      </c>
      <c r="H5" s="98" t="s">
        <v>46</v>
      </c>
      <c r="J5" s="98" t="s">
        <v>34</v>
      </c>
    </row>
    <row r="6" spans="1:10" x14ac:dyDescent="0.2">
      <c r="A6" s="99">
        <v>1</v>
      </c>
      <c r="B6" s="91"/>
      <c r="C6" s="100" t="s">
        <v>47</v>
      </c>
      <c r="D6" s="91"/>
      <c r="E6" s="91"/>
      <c r="F6" s="91" t="s">
        <v>48</v>
      </c>
      <c r="G6" s="91"/>
      <c r="H6" s="100" t="str">
        <f>"6-PlantInService, Line "&amp;'[16]6-PlantInService'!A42&amp;""</f>
        <v>6-PlantInService, Line 18</v>
      </c>
      <c r="I6" s="91"/>
      <c r="J6" s="101">
        <f>'[16]6-PlantInService'!D42</f>
        <v>7902835352.5954552</v>
      </c>
    </row>
    <row r="7" spans="1:10" x14ac:dyDescent="0.2">
      <c r="A7" s="99">
        <f>A6+1</f>
        <v>2</v>
      </c>
      <c r="B7" s="91"/>
      <c r="C7" s="100" t="s">
        <v>49</v>
      </c>
      <c r="D7" s="91"/>
      <c r="E7" s="91"/>
      <c r="F7" s="91" t="s">
        <v>50</v>
      </c>
      <c r="G7" s="91"/>
      <c r="H7" s="100" t="str">
        <f>"6-PlantInService, Line "&amp;'[16]6-PlantInService'!A58&amp;""</f>
        <v>6-PlantInService, Line 24</v>
      </c>
      <c r="I7" s="91"/>
      <c r="J7" s="101">
        <f>'[16]6-PlantInService'!F58</f>
        <v>256061815.89145824</v>
      </c>
    </row>
    <row r="8" spans="1:10" x14ac:dyDescent="0.2">
      <c r="A8" s="99">
        <f>A7+1</f>
        <v>3</v>
      </c>
      <c r="B8" s="91"/>
      <c r="C8" s="100" t="s">
        <v>51</v>
      </c>
      <c r="D8" s="91"/>
      <c r="E8" s="91"/>
      <c r="F8" s="91" t="s">
        <v>50</v>
      </c>
      <c r="G8" s="91"/>
      <c r="H8" s="91" t="str">
        <f>"11-PHFU, Line "&amp;'[16]11-PHFU'!A41&amp;""</f>
        <v>11-PHFU, Line 9</v>
      </c>
      <c r="I8" s="91"/>
      <c r="J8" s="101">
        <f>'[16]11-PHFU'!D41</f>
        <v>9942155</v>
      </c>
    </row>
    <row r="9" spans="1:10" x14ac:dyDescent="0.2">
      <c r="A9" s="99">
        <f>A8+1</f>
        <v>4</v>
      </c>
      <c r="B9" s="91"/>
      <c r="C9" s="100" t="s">
        <v>52</v>
      </c>
      <c r="D9" s="91"/>
      <c r="E9" s="91"/>
      <c r="F9" s="91" t="s">
        <v>50</v>
      </c>
      <c r="G9" s="91"/>
      <c r="H9" s="102" t="str">
        <f>"12-AbandonedPlant Line "&amp;'[16]12-AbandonedPlant'!A21&amp;""</f>
        <v>12-AbandonedPlant Line 4</v>
      </c>
      <c r="I9" s="91"/>
      <c r="J9" s="101">
        <f>'[16]12-AbandonedPlant'!G21</f>
        <v>18534524.5</v>
      </c>
    </row>
    <row r="10" spans="1:10" x14ac:dyDescent="0.2">
      <c r="A10" s="99"/>
      <c r="B10" s="91"/>
      <c r="C10" s="100"/>
      <c r="D10" s="91"/>
      <c r="E10" s="91"/>
      <c r="F10" s="91"/>
      <c r="G10" s="91"/>
      <c r="H10" s="91"/>
      <c r="I10" s="91"/>
      <c r="J10" s="101"/>
    </row>
    <row r="11" spans="1:10" x14ac:dyDescent="0.2">
      <c r="A11" s="99"/>
      <c r="B11" s="91"/>
      <c r="C11" s="103" t="s">
        <v>53</v>
      </c>
      <c r="D11" s="91"/>
      <c r="E11" s="91"/>
      <c r="F11" s="91"/>
      <c r="G11" s="91"/>
      <c r="H11" s="91"/>
      <c r="I11" s="91"/>
      <c r="J11" s="101"/>
    </row>
    <row r="12" spans="1:10" x14ac:dyDescent="0.2">
      <c r="A12" s="99">
        <f>A9+1</f>
        <v>5</v>
      </c>
      <c r="B12" s="91"/>
      <c r="C12" s="104" t="s">
        <v>54</v>
      </c>
      <c r="D12" s="91"/>
      <c r="E12" s="91"/>
      <c r="F12" s="91" t="s">
        <v>48</v>
      </c>
      <c r="G12" s="91"/>
      <c r="H12" s="100" t="str">
        <f>"13-WorkCap, Line "&amp;'[16]13-WorkCap'!A27&amp;""</f>
        <v>13-WorkCap, Line 17</v>
      </c>
      <c r="I12" s="91"/>
      <c r="J12" s="101">
        <f>'[16]13-WorkCap'!F27</f>
        <v>14352006.969473332</v>
      </c>
    </row>
    <row r="13" spans="1:10" x14ac:dyDescent="0.2">
      <c r="A13" s="99">
        <f>A12+1</f>
        <v>6</v>
      </c>
      <c r="B13" s="91"/>
      <c r="C13" s="105" t="s">
        <v>55</v>
      </c>
      <c r="D13" s="91"/>
      <c r="E13" s="91"/>
      <c r="F13" s="91" t="s">
        <v>48</v>
      </c>
      <c r="G13" s="91"/>
      <c r="H13" s="100" t="str">
        <f>"13-WorkCap, Line "&amp;'[16]13-WorkCap'!A51&amp;""</f>
        <v>13-WorkCap, Line 33</v>
      </c>
      <c r="I13" s="91"/>
      <c r="J13" s="101">
        <f>'[16]13-WorkCap'!F51</f>
        <v>4739146.5968116177</v>
      </c>
    </row>
    <row r="14" spans="1:10" x14ac:dyDescent="0.2">
      <c r="A14" s="99">
        <f>A13+1</f>
        <v>7</v>
      </c>
      <c r="B14" s="91"/>
      <c r="C14" s="104" t="s">
        <v>56</v>
      </c>
      <c r="D14" s="91"/>
      <c r="E14" s="91"/>
      <c r="F14" s="102" t="s">
        <v>57</v>
      </c>
      <c r="G14" s="91"/>
      <c r="H14" s="91" t="str">
        <f>"1-Base TRR Line "&amp;'[16]1-BaseTRR'!A17&amp;""</f>
        <v>1-Base TRR Line 7</v>
      </c>
      <c r="I14" s="91"/>
      <c r="J14" s="106">
        <f>'[16]1-BaseTRR'!K17</f>
        <v>8056054.5974049214</v>
      </c>
    </row>
    <row r="15" spans="1:10" x14ac:dyDescent="0.2">
      <c r="A15" s="99">
        <f>A14+1</f>
        <v>8</v>
      </c>
      <c r="B15" s="91"/>
      <c r="C15" s="104" t="s">
        <v>58</v>
      </c>
      <c r="D15" s="91"/>
      <c r="E15" s="91"/>
      <c r="F15" s="91"/>
      <c r="G15" s="91"/>
      <c r="H15" s="91" t="str">
        <f>"Line "&amp;A12&amp;" + Line "&amp;A13&amp;" + Line "&amp;A14&amp;""</f>
        <v>Line 5 + Line 6 + Line 7</v>
      </c>
      <c r="I15" s="91"/>
      <c r="J15" s="107">
        <f>SUM(J12:J14)</f>
        <v>27147208.163689874</v>
      </c>
    </row>
    <row r="16" spans="1:10" x14ac:dyDescent="0.2">
      <c r="A16" s="99"/>
      <c r="B16" s="91"/>
      <c r="C16" s="104"/>
      <c r="D16" s="91"/>
      <c r="E16" s="91"/>
      <c r="F16" s="91"/>
      <c r="G16" s="91"/>
      <c r="H16" s="91"/>
      <c r="I16" s="91"/>
      <c r="J16" s="101"/>
    </row>
    <row r="17" spans="1:10" x14ac:dyDescent="0.2">
      <c r="A17" s="99"/>
      <c r="B17" s="91"/>
      <c r="C17" s="108" t="s">
        <v>59</v>
      </c>
      <c r="D17" s="91"/>
      <c r="E17" s="91"/>
      <c r="F17" s="91"/>
      <c r="G17" s="91"/>
      <c r="H17" s="91"/>
      <c r="I17" s="91"/>
      <c r="J17" s="101"/>
    </row>
    <row r="18" spans="1:10" x14ac:dyDescent="0.2">
      <c r="A18" s="99">
        <f>A15+1</f>
        <v>9</v>
      </c>
      <c r="B18" s="91"/>
      <c r="C18" s="104" t="s">
        <v>60</v>
      </c>
      <c r="D18" s="91"/>
      <c r="E18" s="91"/>
      <c r="F18" s="91" t="s">
        <v>48</v>
      </c>
      <c r="G18" s="91" t="s">
        <v>61</v>
      </c>
      <c r="H18" s="100" t="str">
        <f>"8-AccDep, Line "&amp;'[16]8-AccDep'!A25&amp;", Col. 12"</f>
        <v>8-AccDep, Line 14, Col. 12</v>
      </c>
      <c r="I18" s="91"/>
      <c r="J18" s="101">
        <f>-'[16]8-AccDep'!N25</f>
        <v>-1388640790.6733401</v>
      </c>
    </row>
    <row r="19" spans="1:10" x14ac:dyDescent="0.2">
      <c r="A19" s="99">
        <f>A18+1</f>
        <v>10</v>
      </c>
      <c r="B19" s="91"/>
      <c r="C19" s="104" t="s">
        <v>62</v>
      </c>
      <c r="D19" s="91"/>
      <c r="E19" s="91"/>
      <c r="F19" s="91" t="s">
        <v>50</v>
      </c>
      <c r="G19" s="91" t="s">
        <v>61</v>
      </c>
      <c r="H19" s="100" t="str">
        <f>"8-AccDep, Line "&amp;'[16]8-AccDep'!A35&amp;", Col. 5"</f>
        <v>8-AccDep, Line 17, Col. 5</v>
      </c>
      <c r="I19" s="91"/>
      <c r="J19" s="101">
        <f>-'[16]8-AccDep'!G35</f>
        <v>0</v>
      </c>
    </row>
    <row r="20" spans="1:10" x14ac:dyDescent="0.2">
      <c r="A20" s="99">
        <f>A19+1</f>
        <v>11</v>
      </c>
      <c r="B20" s="91"/>
      <c r="C20" s="104" t="s">
        <v>63</v>
      </c>
      <c r="D20" s="46"/>
      <c r="E20" s="91"/>
      <c r="F20" s="91" t="s">
        <v>50</v>
      </c>
      <c r="G20" s="91" t="s">
        <v>61</v>
      </c>
      <c r="H20" s="100" t="str">
        <f>"8-AccDep, Line "&amp;'[16]8-AccDep'!A53&amp;""</f>
        <v>8-AccDep, Line 23</v>
      </c>
      <c r="I20" s="91"/>
      <c r="J20" s="109">
        <f>-'[16]8-AccDep'!F53</f>
        <v>-111020981.33803944</v>
      </c>
    </row>
    <row r="21" spans="1:10" x14ac:dyDescent="0.2">
      <c r="A21" s="99">
        <f>A20+1</f>
        <v>12</v>
      </c>
      <c r="B21" s="91"/>
      <c r="C21" s="47" t="s">
        <v>64</v>
      </c>
      <c r="D21" s="46"/>
      <c r="E21" s="91"/>
      <c r="F21" s="91"/>
      <c r="G21" s="91"/>
      <c r="H21" s="91" t="str">
        <f>"Line "&amp;A18&amp;" + Line "&amp;A19&amp;" + Line "&amp;A20&amp;""</f>
        <v>Line 9 + Line 10 + Line 11</v>
      </c>
      <c r="I21" s="91"/>
      <c r="J21" s="101">
        <f>SUM(J18:J20)</f>
        <v>-1499661772.0113795</v>
      </c>
    </row>
    <row r="22" spans="1:10" x14ac:dyDescent="0.2">
      <c r="A22" s="99"/>
      <c r="B22" s="91"/>
      <c r="C22" s="102"/>
      <c r="D22" s="91"/>
      <c r="E22" s="91"/>
      <c r="F22" s="91"/>
      <c r="G22" s="91"/>
      <c r="H22" s="91"/>
      <c r="I22" s="91"/>
      <c r="J22" s="101"/>
    </row>
    <row r="23" spans="1:10" x14ac:dyDescent="0.2">
      <c r="A23" s="99">
        <f>A21+1</f>
        <v>13</v>
      </c>
      <c r="B23" s="91"/>
      <c r="C23" s="110" t="s">
        <v>65</v>
      </c>
      <c r="D23" s="91"/>
      <c r="E23" s="91"/>
      <c r="F23" s="91" t="s">
        <v>50</v>
      </c>
      <c r="G23" s="91"/>
      <c r="H23" s="100" t="str">
        <f>"9-ADIT, Line "&amp;'[16]9-ADIT'!A23&amp;""</f>
        <v>9-ADIT, Line 14</v>
      </c>
      <c r="I23" s="91"/>
      <c r="J23" s="101">
        <f>'[16]9-ADIT'!D23</f>
        <v>-1431150165.2744904</v>
      </c>
    </row>
    <row r="24" spans="1:10" x14ac:dyDescent="0.2">
      <c r="A24" s="99">
        <f>A23+1</f>
        <v>14</v>
      </c>
      <c r="B24" s="91"/>
      <c r="C24" s="100" t="s">
        <v>66</v>
      </c>
      <c r="D24" s="91"/>
      <c r="E24" s="91"/>
      <c r="F24" s="91" t="s">
        <v>48</v>
      </c>
      <c r="G24" s="91"/>
      <c r="H24" s="100" t="str">
        <f>"14-IncentivePlant, L "&amp;'[16]14-IncentivePlant'!A37&amp;", C2"</f>
        <v>14-IncentivePlant, L 12, C2</v>
      </c>
      <c r="I24" s="91"/>
      <c r="J24" s="101">
        <f>'[16]14-IncentivePlant'!F37</f>
        <v>271933898.42538464</v>
      </c>
    </row>
    <row r="25" spans="1:10" x14ac:dyDescent="0.2">
      <c r="A25" s="99">
        <f>A24+1</f>
        <v>15</v>
      </c>
      <c r="B25" s="91"/>
      <c r="C25" s="110" t="s">
        <v>67</v>
      </c>
      <c r="D25" s="91"/>
      <c r="E25" s="91"/>
      <c r="F25" s="91" t="s">
        <v>50</v>
      </c>
      <c r="G25" s="91" t="s">
        <v>61</v>
      </c>
      <c r="H25" s="100" t="str">
        <f>"22-NUCs, Line "&amp;'[16]22-NUCs'!A17&amp;""</f>
        <v>22-NUCs, Line 9</v>
      </c>
      <c r="I25" s="91"/>
      <c r="J25" s="101">
        <f>-'[16]22-NUCs'!E17</f>
        <v>-73457041.180000007</v>
      </c>
    </row>
    <row r="26" spans="1:10" x14ac:dyDescent="0.2">
      <c r="A26" s="99" t="s">
        <v>68</v>
      </c>
      <c r="B26" s="91"/>
      <c r="C26" s="100" t="s">
        <v>69</v>
      </c>
      <c r="D26" s="91"/>
      <c r="E26" s="91"/>
      <c r="F26" s="91"/>
      <c r="G26" s="91"/>
      <c r="H26" s="102" t="str">
        <f>"34-UnfundedReserves, Line "&amp;'[16]34-UnfundedReserves'!A10&amp;""</f>
        <v>34-UnfundedReserves, Line 7</v>
      </c>
      <c r="I26" s="91"/>
      <c r="J26" s="101">
        <f>'[16]34-UnfundedReserves'!K10</f>
        <v>-11536540.975080583</v>
      </c>
    </row>
    <row r="27" spans="1:10" x14ac:dyDescent="0.2">
      <c r="A27" s="99">
        <v>16</v>
      </c>
      <c r="B27" s="91"/>
      <c r="C27" s="110" t="s">
        <v>70</v>
      </c>
      <c r="D27" s="91"/>
      <c r="E27" s="91"/>
      <c r="F27" s="91" t="s">
        <v>50</v>
      </c>
      <c r="G27" s="91"/>
      <c r="H27" s="100" t="str">
        <f>"23-RegAssets, Line "&amp;'[16]23-RegAssets'!A18&amp;""</f>
        <v>23-RegAssets, Line 15</v>
      </c>
      <c r="I27" s="91"/>
      <c r="J27" s="101">
        <f>'[16]23-RegAssets'!E18</f>
        <v>0</v>
      </c>
    </row>
    <row r="28" spans="1:10" x14ac:dyDescent="0.2">
      <c r="A28" s="99"/>
      <c r="B28" s="91"/>
      <c r="C28" s="110"/>
      <c r="D28" s="91"/>
      <c r="E28" s="91"/>
      <c r="F28" s="91"/>
      <c r="G28" s="91"/>
      <c r="H28" s="91"/>
      <c r="I28" s="91"/>
      <c r="J28" s="91"/>
    </row>
    <row r="29" spans="1:10" x14ac:dyDescent="0.2">
      <c r="A29" s="99">
        <v>17</v>
      </c>
      <c r="B29" s="91"/>
      <c r="C29" s="91" t="s">
        <v>71</v>
      </c>
      <c r="D29" s="91"/>
      <c r="E29" s="91"/>
      <c r="F29" s="91"/>
      <c r="G29" s="91"/>
      <c r="H29" s="91" t="str">
        <f>"L"&amp;A6&amp;"+L"&amp;A7&amp;"+L"&amp;A8&amp;"+L"&amp;A9&amp;"+L"&amp;A15&amp;"+L"&amp;A21&amp;"+"</f>
        <v>L1+L2+L3+L4+L8+L12+</v>
      </c>
      <c r="I29" s="91"/>
      <c r="J29" s="107">
        <f>J6+ J7+J8+J9+J15+J21+J23+J24+J25+J26+J27</f>
        <v>5470649435.1350374</v>
      </c>
    </row>
    <row r="30" spans="1:10" x14ac:dyDescent="0.2">
      <c r="A30" s="99"/>
      <c r="B30" s="91"/>
      <c r="C30" s="91"/>
      <c r="D30" s="91"/>
      <c r="E30" s="91"/>
      <c r="F30" s="91"/>
      <c r="G30" s="91"/>
      <c r="H30" s="91" t="str">
        <f>"L"&amp;A23&amp;"+L"&amp;A24&amp;"+L"&amp;A25&amp;"+L"&amp;A26&amp;"+L"&amp;A27&amp;""</f>
        <v>L13+L14+L15+L15a+L16</v>
      </c>
      <c r="I30" s="91"/>
      <c r="J30" s="101"/>
    </row>
    <row r="31" spans="1:10" x14ac:dyDescent="0.2">
      <c r="A31" s="99"/>
      <c r="B31" s="111" t="s">
        <v>72</v>
      </c>
      <c r="D31" s="91"/>
      <c r="E31" s="91"/>
      <c r="F31" s="91"/>
      <c r="G31" s="91"/>
      <c r="H31" s="91"/>
      <c r="I31" s="91"/>
      <c r="J31" s="101"/>
    </row>
    <row r="32" spans="1:10" x14ac:dyDescent="0.2">
      <c r="A32" s="112" t="s">
        <v>42</v>
      </c>
      <c r="B32" s="91"/>
      <c r="C32" s="111"/>
      <c r="D32" s="91"/>
      <c r="E32" s="91"/>
      <c r="F32" s="91"/>
      <c r="G32" s="91"/>
      <c r="H32" s="91"/>
      <c r="I32" s="91"/>
      <c r="J32" s="101"/>
    </row>
    <row r="33" spans="1:10" x14ac:dyDescent="0.2">
      <c r="A33" s="99">
        <f>A29+1</f>
        <v>18</v>
      </c>
      <c r="B33" s="91"/>
      <c r="C33" s="91" t="s">
        <v>73</v>
      </c>
      <c r="D33" s="91"/>
      <c r="E33" s="91"/>
      <c r="F33" s="91"/>
      <c r="G33" s="102" t="s">
        <v>74</v>
      </c>
      <c r="H33" s="102" t="str">
        <f>"Instruction 1, Line "&amp;B98&amp;""</f>
        <v>Instruction 1, Line j</v>
      </c>
      <c r="I33" s="91"/>
      <c r="J33" s="113">
        <f>E98</f>
        <v>7.2549257909103923E-2</v>
      </c>
    </row>
    <row r="34" spans="1:10" x14ac:dyDescent="0.2">
      <c r="A34" s="94">
        <f>A33+1</f>
        <v>19</v>
      </c>
      <c r="C34" s="102" t="s">
        <v>75</v>
      </c>
      <c r="D34" s="102"/>
      <c r="E34" s="102"/>
      <c r="F34" s="102"/>
      <c r="G34" s="102"/>
      <c r="H34" t="str">
        <f>"Line "&amp;A29&amp;" * Line "&amp;A33&amp;""</f>
        <v>Line 17 * Line 18</v>
      </c>
      <c r="J34" s="114">
        <f>J29*J33</f>
        <v>396891556.79990554</v>
      </c>
    </row>
    <row r="35" spans="1:10" x14ac:dyDescent="0.2">
      <c r="A35" s="94"/>
      <c r="B35" s="96"/>
    </row>
    <row r="36" spans="1:10" x14ac:dyDescent="0.2">
      <c r="A36" s="94"/>
      <c r="B36" s="90" t="s">
        <v>76</v>
      </c>
    </row>
    <row r="37" spans="1:10" x14ac:dyDescent="0.2">
      <c r="A37" s="99"/>
      <c r="B37" s="105"/>
      <c r="C37" s="91"/>
      <c r="D37" s="91"/>
      <c r="E37" s="91"/>
      <c r="F37" s="91"/>
      <c r="G37" s="91"/>
      <c r="H37" s="91"/>
      <c r="I37" s="91"/>
      <c r="J37" s="91"/>
    </row>
    <row r="38" spans="1:10" x14ac:dyDescent="0.2">
      <c r="A38" s="99">
        <f>A34+1</f>
        <v>20</v>
      </c>
      <c r="B38" s="91"/>
      <c r="C38" s="102" t="s">
        <v>77</v>
      </c>
      <c r="D38" s="91"/>
      <c r="E38" s="91"/>
      <c r="F38" s="91"/>
      <c r="G38" s="91"/>
      <c r="H38" s="91"/>
      <c r="I38" s="91"/>
      <c r="J38" s="107">
        <f>(((J29*J42) + J45) *(J43/(1-J43)))+(J44/(1-J43))</f>
        <v>203624208.53247005</v>
      </c>
    </row>
    <row r="39" spans="1:10" x14ac:dyDescent="0.2">
      <c r="A39" s="99"/>
      <c r="B39" s="91"/>
      <c r="C39" s="91"/>
      <c r="D39" s="91"/>
      <c r="E39" s="91"/>
      <c r="F39" s="91"/>
      <c r="G39" s="91"/>
      <c r="H39" s="91"/>
      <c r="I39" s="91"/>
      <c r="J39" s="102"/>
    </row>
    <row r="40" spans="1:10" x14ac:dyDescent="0.2">
      <c r="A40" s="99"/>
      <c r="B40" s="91"/>
      <c r="C40" s="91"/>
      <c r="D40" s="91" t="s">
        <v>78</v>
      </c>
      <c r="E40" s="91"/>
      <c r="F40" s="91"/>
      <c r="G40" s="91"/>
      <c r="H40" s="91"/>
      <c r="I40" s="91"/>
      <c r="J40" s="91"/>
    </row>
    <row r="41" spans="1:10" x14ac:dyDescent="0.2">
      <c r="A41" s="99">
        <f>A38+1</f>
        <v>21</v>
      </c>
      <c r="B41" s="91"/>
      <c r="C41" s="91"/>
      <c r="D41" s="105" t="s">
        <v>79</v>
      </c>
      <c r="E41" s="91"/>
      <c r="F41" s="91"/>
      <c r="G41" s="91"/>
      <c r="H41" s="91" t="str">
        <f>"Line "&amp;A29&amp;""</f>
        <v>Line 17</v>
      </c>
      <c r="I41" s="91"/>
      <c r="J41" s="107">
        <f>J29</f>
        <v>5470649435.1350374</v>
      </c>
    </row>
    <row r="42" spans="1:10" x14ac:dyDescent="0.2">
      <c r="A42" s="99">
        <f>A41+1</f>
        <v>22</v>
      </c>
      <c r="B42" s="91"/>
      <c r="C42" s="91"/>
      <c r="D42" s="104" t="s">
        <v>80</v>
      </c>
      <c r="E42" s="91"/>
      <c r="F42" s="91"/>
      <c r="G42" s="102" t="s">
        <v>81</v>
      </c>
      <c r="H42" s="102" t="str">
        <f>"Instruction 1, Line "&amp;B103&amp;""</f>
        <v>Instruction 1, Line k</v>
      </c>
      <c r="I42" s="91"/>
      <c r="J42" s="115">
        <f>E103</f>
        <v>5.2589644181994799E-2</v>
      </c>
    </row>
    <row r="43" spans="1:10" x14ac:dyDescent="0.2">
      <c r="A43" s="99">
        <f>A42+1</f>
        <v>23</v>
      </c>
      <c r="B43" s="91"/>
      <c r="C43" s="91"/>
      <c r="D43" s="105" t="s">
        <v>82</v>
      </c>
      <c r="E43" s="91"/>
      <c r="F43" s="91"/>
      <c r="G43" s="91"/>
      <c r="H43" s="91" t="str">
        <f>"1-Base TRR L "&amp;'[16]1-BaseTRR'!A102&amp;""</f>
        <v>1-Base TRR L 58</v>
      </c>
      <c r="I43" s="91"/>
      <c r="J43" s="115">
        <f>'[16]1-BaseTRR'!K102</f>
        <v>0.40745999999999999</v>
      </c>
    </row>
    <row r="44" spans="1:10" x14ac:dyDescent="0.2">
      <c r="A44" s="99">
        <f>A43+1</f>
        <v>24</v>
      </c>
      <c r="B44" s="91"/>
      <c r="C44" s="91"/>
      <c r="D44" s="105" t="s">
        <v>83</v>
      </c>
      <c r="E44" s="91"/>
      <c r="F44" s="91"/>
      <c r="G44" s="91"/>
      <c r="H44" s="91" t="str">
        <f>"1-Base TRR L "&amp;'[16]1-BaseTRR'!A108&amp;""</f>
        <v>1-Base TRR L 62</v>
      </c>
      <c r="I44" s="91"/>
      <c r="J44" s="101">
        <f>'[16]1-BaseTRR'!K108</f>
        <v>2086200</v>
      </c>
    </row>
    <row r="45" spans="1:10" x14ac:dyDescent="0.2">
      <c r="A45" s="99">
        <f>A44+1</f>
        <v>25</v>
      </c>
      <c r="B45" s="91"/>
      <c r="C45" s="91"/>
      <c r="D45" s="105" t="s">
        <v>84</v>
      </c>
      <c r="E45" s="91"/>
      <c r="F45" s="91"/>
      <c r="G45" s="91"/>
      <c r="H45" s="91" t="str">
        <f>"1-Base TRR L "&amp;'[16]1-BaseTRR'!A112&amp;""</f>
        <v>1-Base TRR L 64</v>
      </c>
      <c r="I45" s="91"/>
      <c r="J45" s="116">
        <f>'[16]1-BaseTRR'!K119</f>
        <v>3296636</v>
      </c>
    </row>
    <row r="46" spans="1:10" x14ac:dyDescent="0.2">
      <c r="A46" s="99"/>
      <c r="B46" s="105"/>
      <c r="C46" s="91"/>
      <c r="D46" s="91"/>
      <c r="E46" s="91"/>
      <c r="F46" s="91"/>
      <c r="G46" s="91"/>
      <c r="H46" s="91"/>
      <c r="I46" s="91"/>
      <c r="J46" s="91"/>
    </row>
    <row r="47" spans="1:10" x14ac:dyDescent="0.2">
      <c r="A47" s="99"/>
      <c r="B47" s="111" t="s">
        <v>85</v>
      </c>
      <c r="D47" s="91"/>
      <c r="E47" s="91"/>
      <c r="F47" s="91"/>
      <c r="G47" s="91"/>
      <c r="H47" s="91"/>
      <c r="I47" s="91"/>
      <c r="J47" s="91"/>
    </row>
    <row r="48" spans="1:10" x14ac:dyDescent="0.2">
      <c r="A48" s="99">
        <f>A45+1</f>
        <v>26</v>
      </c>
      <c r="B48" s="105"/>
      <c r="C48" s="91" t="s">
        <v>86</v>
      </c>
      <c r="D48" s="91"/>
      <c r="E48" s="91"/>
      <c r="F48" s="91"/>
      <c r="G48" s="91"/>
      <c r="H48" s="91" t="str">
        <f>"1-Base TRR L "&amp;'[16]1-BaseTRR'!A124&amp;""</f>
        <v>1-Base TRR L 65</v>
      </c>
      <c r="I48" s="91"/>
      <c r="J48" s="101">
        <f>'[16]1-BaseTRR'!K124</f>
        <v>82055346.087123767</v>
      </c>
    </row>
    <row r="49" spans="1:10" x14ac:dyDescent="0.2">
      <c r="A49" s="99">
        <f t="shared" ref="A49:A60" si="0">A48+1</f>
        <v>27</v>
      </c>
      <c r="B49" s="105"/>
      <c r="C49" s="102" t="s">
        <v>87</v>
      </c>
      <c r="D49" s="91"/>
      <c r="E49" s="91"/>
      <c r="F49" s="91"/>
      <c r="G49" s="91"/>
      <c r="H49" s="91" t="str">
        <f>"1-Base TRR L "&amp;'[16]1-BaseTRR'!A125&amp;""</f>
        <v>1-Base TRR L 66</v>
      </c>
      <c r="I49" s="91"/>
      <c r="J49" s="107">
        <f>'[16]1-BaseTRR'!K125</f>
        <v>46841527.471354976</v>
      </c>
    </row>
    <row r="50" spans="1:10" x14ac:dyDescent="0.2">
      <c r="A50" s="117" t="s">
        <v>159</v>
      </c>
      <c r="B50" s="118"/>
      <c r="C50" s="119" t="s">
        <v>160</v>
      </c>
      <c r="D50" s="120"/>
      <c r="E50" s="120"/>
      <c r="F50" s="120"/>
      <c r="G50" s="120"/>
      <c r="H50" s="120" t="str">
        <f>"35-PBOPs L "&amp;'[16]35-PBOPs'!A38&amp;""</f>
        <v>35-PBOPs L 14</v>
      </c>
      <c r="I50" s="120"/>
      <c r="J50" s="121">
        <f>'[16]35-PBOPs'!G38</f>
        <v>-134118.82469490985</v>
      </c>
    </row>
    <row r="51" spans="1:10" x14ac:dyDescent="0.2">
      <c r="A51" s="99">
        <f>A49+1</f>
        <v>28</v>
      </c>
      <c r="B51" s="105"/>
      <c r="C51" s="91" t="s">
        <v>88</v>
      </c>
      <c r="D51" s="91"/>
      <c r="E51" s="91"/>
      <c r="F51" s="91"/>
      <c r="G51" s="91"/>
      <c r="H51" s="91" t="str">
        <f>"1-Base TRR L "&amp;'[16]1-BaseTRR'!A126&amp;""</f>
        <v>1-Base TRR L 67</v>
      </c>
      <c r="I51" s="91"/>
      <c r="J51" s="101">
        <f>'[16]1-BaseTRR'!K126</f>
        <v>2616282.5299999998</v>
      </c>
    </row>
    <row r="52" spans="1:10" x14ac:dyDescent="0.2">
      <c r="A52" s="99">
        <f t="shared" si="0"/>
        <v>29</v>
      </c>
      <c r="B52" s="105"/>
      <c r="C52" s="102" t="s">
        <v>89</v>
      </c>
      <c r="D52" s="91"/>
      <c r="E52" s="91"/>
      <c r="F52" s="91"/>
      <c r="G52" s="91"/>
      <c r="H52" s="91" t="str">
        <f>"1-Base TRR L "&amp;'[16]1-BaseTRR'!A127&amp;""</f>
        <v>1-Base TRR L 68</v>
      </c>
      <c r="I52" s="91"/>
      <c r="J52" s="101">
        <f>'[16]1-BaseTRR'!K127</f>
        <v>228276528.67688429</v>
      </c>
    </row>
    <row r="53" spans="1:10" x14ac:dyDescent="0.2">
      <c r="A53" s="99">
        <f t="shared" si="0"/>
        <v>30</v>
      </c>
      <c r="B53" s="105"/>
      <c r="C53" s="102" t="s">
        <v>90</v>
      </c>
      <c r="D53" s="91"/>
      <c r="E53" s="91"/>
      <c r="F53" s="91"/>
      <c r="G53" s="91"/>
      <c r="H53" s="91" t="str">
        <f>"1-Base TRR L "&amp;'[16]1-BaseTRR'!A128&amp;""</f>
        <v>1-Base TRR L 69</v>
      </c>
      <c r="I53" s="91"/>
      <c r="J53" s="101">
        <f>'[16]1-BaseTRR'!K128</f>
        <v>37069049</v>
      </c>
    </row>
    <row r="54" spans="1:10" x14ac:dyDescent="0.2">
      <c r="A54" s="99">
        <f t="shared" si="0"/>
        <v>31</v>
      </c>
      <c r="B54" s="105"/>
      <c r="C54" s="102" t="s">
        <v>91</v>
      </c>
      <c r="D54" s="91"/>
      <c r="E54" s="91"/>
      <c r="F54" s="91"/>
      <c r="G54" s="91"/>
      <c r="H54" s="91" t="str">
        <f>"1-Base TRR L "&amp;'[16]1-BaseTRR'!A129&amp;""</f>
        <v>1-Base TRR L 70</v>
      </c>
      <c r="I54" s="91"/>
      <c r="J54" s="101">
        <f>'[16]1-BaseTRR'!K129</f>
        <v>58138922.660697684</v>
      </c>
    </row>
    <row r="55" spans="1:10" x14ac:dyDescent="0.2">
      <c r="A55" s="99">
        <f t="shared" si="0"/>
        <v>32</v>
      </c>
      <c r="B55" s="105"/>
      <c r="C55" s="91" t="s">
        <v>92</v>
      </c>
      <c r="D55" s="91"/>
      <c r="E55" s="91"/>
      <c r="F55" s="91"/>
      <c r="G55" s="102"/>
      <c r="H55" s="91" t="str">
        <f>"1-Base TRR L "&amp;'[16]1-BaseTRR'!A130&amp;""</f>
        <v>1-Base TRR L 71</v>
      </c>
      <c r="I55" s="91"/>
      <c r="J55" s="101">
        <f>'[16]1-BaseTRR'!K130</f>
        <v>-77887588.468262196</v>
      </c>
    </row>
    <row r="56" spans="1:10" x14ac:dyDescent="0.2">
      <c r="A56" s="99">
        <f t="shared" si="0"/>
        <v>33</v>
      </c>
      <c r="B56" s="105"/>
      <c r="C56" s="91" t="s">
        <v>93</v>
      </c>
      <c r="D56" s="91"/>
      <c r="E56" s="91"/>
      <c r="F56" s="91"/>
      <c r="G56" s="91"/>
      <c r="H56" s="91" t="str">
        <f>"Line "&amp;A34&amp;""</f>
        <v>Line 19</v>
      </c>
      <c r="I56" s="91"/>
      <c r="J56" s="107">
        <f>J34</f>
        <v>396891556.79990554</v>
      </c>
    </row>
    <row r="57" spans="1:10" x14ac:dyDescent="0.2">
      <c r="A57" s="99">
        <f t="shared" si="0"/>
        <v>34</v>
      </c>
      <c r="B57" s="105"/>
      <c r="C57" s="91" t="s">
        <v>94</v>
      </c>
      <c r="D57" s="91"/>
      <c r="E57" s="91"/>
      <c r="F57" s="91"/>
      <c r="G57" s="91"/>
      <c r="H57" s="91" t="str">
        <f>"Line "&amp;A38&amp;""</f>
        <v>Line 20</v>
      </c>
      <c r="I57" s="91"/>
      <c r="J57" s="114">
        <f>J38</f>
        <v>203624208.53247005</v>
      </c>
    </row>
    <row r="58" spans="1:10" x14ac:dyDescent="0.2">
      <c r="A58" s="99">
        <f t="shared" si="0"/>
        <v>35</v>
      </c>
      <c r="B58" s="105"/>
      <c r="C58" s="102" t="s">
        <v>95</v>
      </c>
      <c r="D58" s="91"/>
      <c r="E58" s="91"/>
      <c r="F58" s="91"/>
      <c r="G58" s="91"/>
      <c r="H58" s="91" t="str">
        <f>"1-Base TRR L "&amp;'[16]1-BaseTRR'!A133&amp;""</f>
        <v>1-Base TRR L 74</v>
      </c>
      <c r="I58" s="91"/>
      <c r="J58" s="116">
        <f>'[16]1-BaseTRR'!K133</f>
        <v>0</v>
      </c>
    </row>
    <row r="59" spans="1:10" x14ac:dyDescent="0.2">
      <c r="A59" s="99">
        <f t="shared" si="0"/>
        <v>36</v>
      </c>
      <c r="B59" s="105"/>
      <c r="C59" s="48" t="s">
        <v>96</v>
      </c>
      <c r="D59" s="49"/>
      <c r="E59" s="91"/>
      <c r="F59" s="91"/>
      <c r="G59" s="91"/>
      <c r="H59" s="91" t="str">
        <f>"1-Base TRR L "&amp;'[16]1-BaseTRR'!A134&amp;""</f>
        <v>1-Base TRR L 75</v>
      </c>
      <c r="I59" s="91"/>
      <c r="J59" s="109">
        <f>'[16]1-BaseTRR'!K134</f>
        <v>0</v>
      </c>
    </row>
    <row r="60" spans="1:10" x14ac:dyDescent="0.2">
      <c r="A60" s="99">
        <f t="shared" si="0"/>
        <v>37</v>
      </c>
      <c r="B60" s="105"/>
      <c r="C60" s="102" t="s">
        <v>97</v>
      </c>
      <c r="D60" s="91"/>
      <c r="E60" s="91"/>
      <c r="F60" s="91"/>
      <c r="G60" s="91"/>
      <c r="H60" s="91" t="str">
        <f>"Sum Line "&amp;A48&amp;" to Line "&amp;A59&amp;""</f>
        <v>Sum Line 26 to Line 36</v>
      </c>
      <c r="I60" s="91"/>
      <c r="J60" s="122">
        <f>SUM(J48:J59)</f>
        <v>977491714.46547914</v>
      </c>
    </row>
    <row r="61" spans="1:10" x14ac:dyDescent="0.2">
      <c r="A61" s="99"/>
      <c r="B61" s="105"/>
      <c r="C61" s="91"/>
      <c r="D61" s="91"/>
      <c r="E61" s="91"/>
      <c r="F61" s="91"/>
      <c r="G61" s="91"/>
      <c r="H61" s="91"/>
      <c r="I61" s="91"/>
      <c r="J61" s="101"/>
    </row>
    <row r="62" spans="1:10" ht="12.75" customHeight="1" x14ac:dyDescent="0.2">
      <c r="A62" s="99">
        <f>A60+1</f>
        <v>38</v>
      </c>
      <c r="B62" s="105"/>
      <c r="C62" s="102" t="s">
        <v>98</v>
      </c>
      <c r="D62" s="91"/>
      <c r="E62" s="91"/>
      <c r="F62" s="91"/>
      <c r="G62" s="91"/>
      <c r="H62" s="91" t="str">
        <f>"15-IncentiveAdder L "&amp;'[16]15-IncentiveAdder'!A59&amp;""</f>
        <v>15-IncentiveAdder L 20</v>
      </c>
      <c r="I62" s="91"/>
      <c r="J62" s="101">
        <f>'[16]15-IncentiveAdder'!G59</f>
        <v>35016998.566422842</v>
      </c>
    </row>
    <row r="63" spans="1:10" x14ac:dyDescent="0.2">
      <c r="A63" s="99"/>
      <c r="B63" s="105"/>
      <c r="C63" s="102"/>
      <c r="D63" s="91"/>
      <c r="E63" s="91"/>
      <c r="F63" s="91"/>
      <c r="G63" s="91"/>
      <c r="H63" s="91"/>
      <c r="I63" s="91"/>
      <c r="J63" s="101"/>
    </row>
    <row r="64" spans="1:10" x14ac:dyDescent="0.2">
      <c r="A64" s="99">
        <f>A62+1</f>
        <v>39</v>
      </c>
      <c r="B64" s="105"/>
      <c r="C64" s="102" t="s">
        <v>99</v>
      </c>
      <c r="D64" s="91"/>
      <c r="E64" s="91"/>
      <c r="F64" s="91"/>
      <c r="G64" s="91"/>
      <c r="H64" s="91" t="str">
        <f>"Line "&amp;A60&amp;" + Line "&amp;A62&amp;""</f>
        <v>Line 37 + Line 38</v>
      </c>
      <c r="I64" s="91"/>
      <c r="J64" s="107">
        <f>J60+J62</f>
        <v>1012508713.031902</v>
      </c>
    </row>
    <row r="65" spans="1:10" x14ac:dyDescent="0.2">
      <c r="A65" s="99"/>
      <c r="B65" s="105"/>
      <c r="C65" s="102"/>
      <c r="D65" s="91"/>
      <c r="E65" s="91"/>
      <c r="F65" s="91"/>
      <c r="G65" s="91"/>
      <c r="H65" s="91"/>
      <c r="I65" s="91"/>
      <c r="J65" s="101"/>
    </row>
    <row r="66" spans="1:10" x14ac:dyDescent="0.2">
      <c r="A66" s="99"/>
      <c r="B66" s="123" t="s">
        <v>100</v>
      </c>
      <c r="C66" s="102"/>
      <c r="D66" s="91"/>
      <c r="E66" s="91"/>
      <c r="F66" s="91"/>
      <c r="G66" s="91"/>
      <c r="H66" s="91"/>
      <c r="I66" s="91"/>
      <c r="J66" s="101"/>
    </row>
    <row r="67" spans="1:10" ht="13.5" thickBot="1" x14ac:dyDescent="0.25">
      <c r="A67" s="95" t="s">
        <v>42</v>
      </c>
      <c r="B67" s="124"/>
      <c r="G67" s="97" t="s">
        <v>101</v>
      </c>
    </row>
    <row r="68" spans="1:10" x14ac:dyDescent="0.2">
      <c r="A68" s="99">
        <f>A64+1</f>
        <v>40</v>
      </c>
      <c r="B68" s="110"/>
      <c r="C68" s="91"/>
      <c r="D68" s="125" t="s">
        <v>102</v>
      </c>
      <c r="E68" s="107">
        <f>J64</f>
        <v>1012508713.031902</v>
      </c>
      <c r="F68" s="91"/>
      <c r="G68" s="91" t="str">
        <f>"Line "&amp;A64&amp;""</f>
        <v>Line 39</v>
      </c>
      <c r="H68" s="91"/>
      <c r="I68" s="91"/>
      <c r="J68" s="382" t="s">
        <v>103</v>
      </c>
    </row>
    <row r="69" spans="1:10" x14ac:dyDescent="0.2">
      <c r="A69" s="99">
        <f>A68+1</f>
        <v>41</v>
      </c>
      <c r="B69" s="110"/>
      <c r="C69" s="91"/>
      <c r="D69" s="125" t="s">
        <v>104</v>
      </c>
      <c r="E69" s="127">
        <f>'[16]28-FFU'!D22</f>
        <v>9.2309210958904115E-3</v>
      </c>
      <c r="F69" s="91"/>
      <c r="G69" s="91" t="str">
        <f>"28-FFU, L "&amp;'[16]28-FFU'!A22&amp;""</f>
        <v>28-FFU, L 5</v>
      </c>
      <c r="H69" s="91"/>
      <c r="I69" s="91"/>
      <c r="J69" s="383" t="s">
        <v>830</v>
      </c>
    </row>
    <row r="70" spans="1:10" x14ac:dyDescent="0.2">
      <c r="A70" s="99">
        <f>A69+1</f>
        <v>42</v>
      </c>
      <c r="B70" s="110"/>
      <c r="C70" s="91"/>
      <c r="D70" s="130" t="s">
        <v>105</v>
      </c>
      <c r="E70" s="107">
        <f>E68*'[16]28-FFU'!D22</f>
        <v>9346388.0388990343</v>
      </c>
      <c r="F70" s="91"/>
      <c r="G70" s="91" t="str">
        <f>"Line "&amp;A68&amp;" * Line "&amp;A69&amp;""</f>
        <v>Line 40 * Line 41</v>
      </c>
      <c r="H70" s="91"/>
      <c r="I70" s="91"/>
      <c r="J70" s="384">
        <f>E73</f>
        <v>1024299495.7222075</v>
      </c>
    </row>
    <row r="71" spans="1:10" x14ac:dyDescent="0.2">
      <c r="A71" s="99">
        <f>A70+1</f>
        <v>43</v>
      </c>
      <c r="B71" s="110"/>
      <c r="C71" s="91"/>
      <c r="D71" s="125" t="s">
        <v>106</v>
      </c>
      <c r="E71" s="127">
        <f>'[16]28-FFU'!E22</f>
        <v>2.4141961643835618E-3</v>
      </c>
      <c r="F71" s="91"/>
      <c r="G71" s="91" t="str">
        <f>"28-FFU, L "&amp;'[16]28-FFU'!A22&amp;""</f>
        <v>28-FFU, L 5</v>
      </c>
      <c r="H71" s="91"/>
      <c r="I71" s="91"/>
      <c r="J71" s="385">
        <v>1024300614.2093396</v>
      </c>
    </row>
    <row r="72" spans="1:10" ht="13.5" thickBot="1" x14ac:dyDescent="0.25">
      <c r="A72" s="99">
        <f>A71+1</f>
        <v>44</v>
      </c>
      <c r="B72" s="110"/>
      <c r="C72" s="91"/>
      <c r="D72" s="125" t="s">
        <v>107</v>
      </c>
      <c r="E72" s="107">
        <f>E68*'[16]28-FFU'!E22</f>
        <v>2444394.651406554</v>
      </c>
      <c r="F72" s="91"/>
      <c r="G72" s="91" t="str">
        <f>"Line "&amp;A70&amp;" * Line "&amp;A71&amp;""</f>
        <v>Line 42 * Line 43</v>
      </c>
      <c r="H72" s="91"/>
      <c r="I72" s="91"/>
      <c r="J72" s="386">
        <f>J70-J71</f>
        <v>-1118.4871320724487</v>
      </c>
    </row>
    <row r="73" spans="1:10" x14ac:dyDescent="0.2">
      <c r="A73" s="99">
        <f>A72+1</f>
        <v>45</v>
      </c>
      <c r="B73" s="110"/>
      <c r="C73" s="91"/>
      <c r="D73" s="125" t="s">
        <v>108</v>
      </c>
      <c r="E73" s="107">
        <f>E68+E70+E72</f>
        <v>1024299495.7222075</v>
      </c>
      <c r="F73" s="91"/>
      <c r="G73" s="91" t="str">
        <f>"L "&amp;A68&amp;" + L "&amp;A70&amp;" + L "&amp;A72&amp;""</f>
        <v>L 40 + L 42 + L 44</v>
      </c>
      <c r="H73" s="91"/>
      <c r="I73" s="91"/>
      <c r="J73" s="91"/>
    </row>
    <row r="74" spans="1:10" x14ac:dyDescent="0.2">
      <c r="A74" s="91"/>
      <c r="B74" s="134" t="s">
        <v>109</v>
      </c>
      <c r="C74" s="91"/>
      <c r="D74" s="130"/>
      <c r="E74" s="101"/>
      <c r="F74" s="91"/>
      <c r="G74" s="91"/>
      <c r="H74" s="50"/>
      <c r="I74" s="91"/>
      <c r="J74" s="91"/>
    </row>
    <row r="75" spans="1:10" x14ac:dyDescent="0.2">
      <c r="A75" s="99"/>
      <c r="B75" s="102" t="s">
        <v>110</v>
      </c>
      <c r="C75" s="123"/>
      <c r="D75" s="130"/>
      <c r="E75" s="101"/>
      <c r="F75" s="91"/>
      <c r="G75" s="91"/>
      <c r="H75" s="91"/>
      <c r="I75" s="91"/>
      <c r="J75" s="91"/>
    </row>
    <row r="76" spans="1:10" x14ac:dyDescent="0.2">
      <c r="A76" s="99"/>
      <c r="B76" s="102" t="s">
        <v>111</v>
      </c>
      <c r="C76" s="123"/>
      <c r="D76" s="130"/>
      <c r="E76" s="101"/>
      <c r="F76" s="91"/>
      <c r="G76" s="91"/>
      <c r="H76" s="91"/>
      <c r="I76" s="91"/>
      <c r="J76" s="91"/>
    </row>
    <row r="77" spans="1:10" x14ac:dyDescent="0.2">
      <c r="A77" s="99"/>
      <c r="B77" s="100" t="s">
        <v>112</v>
      </c>
      <c r="C77" s="102"/>
      <c r="D77" s="130"/>
      <c r="E77" s="101"/>
      <c r="F77" s="91"/>
      <c r="G77" s="91"/>
      <c r="H77" s="91"/>
      <c r="I77" s="91"/>
      <c r="J77" s="91"/>
    </row>
    <row r="78" spans="1:10" x14ac:dyDescent="0.2">
      <c r="A78" s="99"/>
      <c r="B78" s="100" t="s">
        <v>113</v>
      </c>
      <c r="C78" s="91"/>
      <c r="D78" s="130"/>
      <c r="E78" s="101"/>
      <c r="F78" s="91"/>
      <c r="G78" s="91"/>
      <c r="H78" s="91"/>
      <c r="I78" s="91"/>
      <c r="J78" s="91"/>
    </row>
    <row r="79" spans="1:10" x14ac:dyDescent="0.2">
      <c r="A79" s="99"/>
      <c r="B79" s="91"/>
      <c r="C79" s="91"/>
      <c r="D79" s="91"/>
      <c r="E79" s="91"/>
      <c r="F79" s="91"/>
      <c r="G79" s="91"/>
      <c r="H79" s="91"/>
      <c r="I79" s="91"/>
      <c r="J79" s="91"/>
    </row>
    <row r="80" spans="1:10" x14ac:dyDescent="0.2">
      <c r="A80" s="99"/>
      <c r="B80" s="102" t="s">
        <v>114</v>
      </c>
      <c r="C80" s="91"/>
      <c r="D80" s="91"/>
      <c r="E80" s="91"/>
      <c r="F80" s="91"/>
      <c r="G80" s="91"/>
      <c r="H80" s="91"/>
      <c r="I80" s="91"/>
      <c r="J80" s="91"/>
    </row>
    <row r="81" spans="1:12" x14ac:dyDescent="0.2">
      <c r="A81" s="99"/>
      <c r="B81" s="102"/>
      <c r="C81" s="102" t="s">
        <v>115</v>
      </c>
      <c r="D81" s="91"/>
      <c r="E81" s="91"/>
      <c r="F81" s="91"/>
      <c r="G81" s="91"/>
      <c r="H81" s="91"/>
      <c r="I81" s="91"/>
      <c r="J81" s="91"/>
    </row>
    <row r="82" spans="1:12" x14ac:dyDescent="0.2">
      <c r="A82" s="99"/>
      <c r="B82" s="102"/>
      <c r="C82" s="91"/>
      <c r="D82" s="91"/>
      <c r="E82" s="91"/>
      <c r="F82" s="91"/>
      <c r="G82" s="91"/>
      <c r="H82" s="91"/>
      <c r="I82" s="91"/>
      <c r="J82" s="99" t="s">
        <v>116</v>
      </c>
    </row>
    <row r="83" spans="1:12" x14ac:dyDescent="0.2">
      <c r="A83" s="99"/>
      <c r="B83" s="91"/>
      <c r="C83" s="91"/>
      <c r="D83" s="91"/>
      <c r="E83" s="135" t="s">
        <v>117</v>
      </c>
      <c r="F83" s="136" t="s">
        <v>101</v>
      </c>
      <c r="G83" s="135" t="s">
        <v>118</v>
      </c>
      <c r="H83" s="135" t="s">
        <v>119</v>
      </c>
      <c r="I83" s="91"/>
      <c r="J83" s="135" t="s">
        <v>120</v>
      </c>
    </row>
    <row r="84" spans="1:12" x14ac:dyDescent="0.2">
      <c r="B84" s="137" t="s">
        <v>121</v>
      </c>
      <c r="C84" s="102" t="s">
        <v>122</v>
      </c>
      <c r="D84" s="91"/>
      <c r="E84" s="138">
        <f>'[16]1-BaseTRR'!K85</f>
        <v>9.8000000000000004E-2</v>
      </c>
      <c r="F84" s="91" t="str">
        <f>"1-Base TRR L "&amp;'[16]1-BaseTRR'!A85&amp;""</f>
        <v>1-Base TRR L 49</v>
      </c>
      <c r="G84" s="139" t="s">
        <v>831</v>
      </c>
      <c r="H84" s="140" t="s">
        <v>832</v>
      </c>
      <c r="I84" s="102"/>
      <c r="J84" s="141">
        <v>366</v>
      </c>
      <c r="K84" s="102"/>
      <c r="L84" s="102"/>
    </row>
    <row r="85" spans="1:12" x14ac:dyDescent="0.2">
      <c r="B85" s="137" t="s">
        <v>123</v>
      </c>
      <c r="C85" s="102" t="s">
        <v>124</v>
      </c>
      <c r="D85" s="91"/>
      <c r="E85" s="142">
        <v>9.8000000000000004E-2</v>
      </c>
      <c r="F85" s="143" t="s">
        <v>125</v>
      </c>
      <c r="G85" s="139"/>
      <c r="H85" s="140"/>
      <c r="I85" s="102"/>
      <c r="J85" s="141"/>
      <c r="K85" s="102"/>
      <c r="L85" s="102"/>
    </row>
    <row r="86" spans="1:12" x14ac:dyDescent="0.2">
      <c r="B86" s="137" t="s">
        <v>127</v>
      </c>
      <c r="C86" s="102"/>
      <c r="D86" s="91"/>
      <c r="E86" s="144"/>
      <c r="F86" s="143"/>
      <c r="G86" s="145"/>
      <c r="H86" s="145"/>
      <c r="I86" s="125" t="s">
        <v>128</v>
      </c>
      <c r="J86" s="102">
        <f>SUM(J84:J85)</f>
        <v>366</v>
      </c>
      <c r="K86" s="102"/>
      <c r="L86" s="102"/>
    </row>
    <row r="87" spans="1:12" x14ac:dyDescent="0.2">
      <c r="A87" s="91"/>
      <c r="B87" s="137" t="s">
        <v>129</v>
      </c>
      <c r="C87" s="102" t="s">
        <v>130</v>
      </c>
      <c r="D87" s="91"/>
      <c r="E87" s="138">
        <f>((E84*J84) + (E85* J85)) / J86</f>
        <v>9.8000000000000004E-2</v>
      </c>
      <c r="F87" s="102" t="s">
        <v>131</v>
      </c>
      <c r="G87" s="91"/>
      <c r="H87" s="102"/>
      <c r="I87" s="102"/>
      <c r="J87" s="102"/>
      <c r="K87" s="102"/>
      <c r="L87" s="102"/>
    </row>
    <row r="88" spans="1:12" x14ac:dyDescent="0.2">
      <c r="A88" s="99"/>
      <c r="B88" s="102"/>
      <c r="C88" s="91"/>
      <c r="D88" s="91"/>
      <c r="E88" s="91"/>
      <c r="F88" s="91"/>
      <c r="G88" s="91"/>
      <c r="H88" s="102"/>
      <c r="I88" s="102"/>
      <c r="J88" s="102"/>
      <c r="K88" s="102"/>
      <c r="L88" s="102"/>
    </row>
    <row r="89" spans="1:12" x14ac:dyDescent="0.2">
      <c r="A89" s="99"/>
      <c r="B89" s="102" t="s">
        <v>132</v>
      </c>
      <c r="C89" s="91"/>
      <c r="D89" s="91"/>
      <c r="E89" s="91"/>
      <c r="F89" s="91"/>
      <c r="G89" s="91"/>
      <c r="H89" s="102"/>
      <c r="I89" s="102"/>
      <c r="J89" s="102"/>
      <c r="K89" s="102"/>
      <c r="L89" s="102"/>
    </row>
    <row r="90" spans="1:12" x14ac:dyDescent="0.2">
      <c r="A90" s="99"/>
      <c r="B90" s="102"/>
      <c r="C90" s="91"/>
      <c r="D90" s="91"/>
      <c r="E90" s="136" t="s">
        <v>101</v>
      </c>
      <c r="F90" s="91"/>
      <c r="G90" s="91"/>
      <c r="H90" s="102"/>
      <c r="I90" s="102"/>
      <c r="J90" s="102"/>
      <c r="K90" s="102"/>
      <c r="L90" s="102"/>
    </row>
    <row r="91" spans="1:12" x14ac:dyDescent="0.2">
      <c r="A91" s="91"/>
      <c r="B91" s="137" t="s">
        <v>133</v>
      </c>
      <c r="C91" s="102" t="s">
        <v>134</v>
      </c>
      <c r="D91" s="91"/>
      <c r="E91" s="146" t="s">
        <v>135</v>
      </c>
      <c r="F91" s="146"/>
      <c r="G91" s="146"/>
      <c r="H91" s="141"/>
      <c r="I91" s="141"/>
      <c r="J91" s="141"/>
      <c r="K91" s="102"/>
      <c r="L91" s="102"/>
    </row>
    <row r="92" spans="1:12" x14ac:dyDescent="0.2">
      <c r="B92" s="137" t="s">
        <v>136</v>
      </c>
      <c r="C92" s="102" t="s">
        <v>137</v>
      </c>
      <c r="D92" s="91"/>
      <c r="E92" s="146" t="s">
        <v>135</v>
      </c>
      <c r="F92" s="146"/>
      <c r="G92" s="146"/>
      <c r="H92" s="141"/>
      <c r="I92" s="141"/>
      <c r="J92" s="141"/>
      <c r="K92" s="102"/>
      <c r="L92" s="102"/>
    </row>
    <row r="93" spans="1:12" x14ac:dyDescent="0.2">
      <c r="B93" s="91"/>
      <c r="C93" s="102"/>
      <c r="D93" s="91"/>
      <c r="E93" s="145"/>
      <c r="F93" s="91"/>
      <c r="G93" s="91"/>
      <c r="H93" s="91"/>
      <c r="I93" s="102"/>
      <c r="J93" s="102"/>
      <c r="K93" s="102"/>
      <c r="L93" s="102"/>
    </row>
    <row r="94" spans="1:12" x14ac:dyDescent="0.2">
      <c r="B94" s="91"/>
      <c r="C94" s="91"/>
      <c r="D94" s="91"/>
      <c r="E94" s="135" t="s">
        <v>117</v>
      </c>
      <c r="F94" s="136" t="s">
        <v>101</v>
      </c>
      <c r="G94" s="91"/>
      <c r="H94" s="102"/>
      <c r="I94" s="102"/>
      <c r="J94" s="91"/>
    </row>
    <row r="95" spans="1:12" x14ac:dyDescent="0.2">
      <c r="B95" s="137" t="s">
        <v>138</v>
      </c>
      <c r="C95" s="102" t="s">
        <v>139</v>
      </c>
      <c r="D95" s="102"/>
      <c r="E95" s="115">
        <f>'[16]1-BaseTRR'!K88</f>
        <v>1.995961372710912E-2</v>
      </c>
      <c r="F95" s="91" t="str">
        <f>"1-Base TRR L "&amp;'[16]1-BaseTRR'!A88&amp;""</f>
        <v>1-Base TRR L 50</v>
      </c>
      <c r="G95" s="91"/>
      <c r="H95" s="102"/>
      <c r="I95" s="102"/>
      <c r="J95" s="91"/>
    </row>
    <row r="96" spans="1:12" x14ac:dyDescent="0.2">
      <c r="B96" s="137" t="s">
        <v>140</v>
      </c>
      <c r="C96" s="102" t="s">
        <v>141</v>
      </c>
      <c r="D96" s="91"/>
      <c r="E96" s="115">
        <f>'[16]1-BaseTRR'!K89</f>
        <v>5.136127971127352E-3</v>
      </c>
      <c r="F96" s="91" t="str">
        <f>"1-Base TRR L "&amp;'[16]1-BaseTRR'!A89&amp;""</f>
        <v>1-Base TRR L 51</v>
      </c>
      <c r="G96" s="91"/>
      <c r="H96" s="102"/>
      <c r="I96" s="102"/>
      <c r="J96" s="91"/>
    </row>
    <row r="97" spans="1:10" x14ac:dyDescent="0.2">
      <c r="B97" s="137" t="s">
        <v>142</v>
      </c>
      <c r="C97" s="102" t="s">
        <v>143</v>
      </c>
      <c r="D97" s="91"/>
      <c r="E97" s="207">
        <f>('[16]1-BaseTRR'!K80) * E87</f>
        <v>4.745351621086745E-2</v>
      </c>
      <c r="F97" s="91" t="str">
        <f>"1-Base TRR L "&amp;'[16]1-BaseTRR'!A80&amp;" * Line d"</f>
        <v>1-Base TRR L 46 * Line d</v>
      </c>
      <c r="G97" s="102"/>
      <c r="H97" s="102"/>
      <c r="I97" s="91"/>
      <c r="J97" s="91"/>
    </row>
    <row r="98" spans="1:10" x14ac:dyDescent="0.2">
      <c r="A98" s="91"/>
      <c r="B98" s="99" t="s">
        <v>144</v>
      </c>
      <c r="C98" s="104" t="s">
        <v>73</v>
      </c>
      <c r="D98" s="91"/>
      <c r="E98" s="113">
        <f>SUM(E95:E97)</f>
        <v>7.2549257909103923E-2</v>
      </c>
      <c r="F98" s="101" t="str">
        <f>"Sum of Lines "&amp;B92&amp;" to "&amp;B96&amp;""</f>
        <v>Sum of Lines f to h</v>
      </c>
      <c r="G98" s="147"/>
      <c r="H98" s="91"/>
      <c r="I98" s="91"/>
      <c r="J98" s="148"/>
    </row>
    <row r="99" spans="1:10" x14ac:dyDescent="0.2">
      <c r="A99" s="99"/>
      <c r="B99" s="91"/>
      <c r="C99" s="51"/>
      <c r="D99" s="52"/>
      <c r="E99" s="101"/>
      <c r="F99" s="101"/>
      <c r="G99" s="147"/>
      <c r="H99" s="101"/>
      <c r="I99" s="91"/>
      <c r="J99" s="148"/>
    </row>
    <row r="100" spans="1:10" x14ac:dyDescent="0.2">
      <c r="A100" s="99"/>
      <c r="B100" s="102" t="s">
        <v>145</v>
      </c>
      <c r="C100" s="91"/>
      <c r="D100" s="91"/>
      <c r="E100" s="91"/>
      <c r="F100" s="91"/>
      <c r="G100" s="91"/>
      <c r="H100" s="91"/>
      <c r="I100" s="91"/>
      <c r="J100" s="91"/>
    </row>
    <row r="101" spans="1:10" x14ac:dyDescent="0.2">
      <c r="A101" s="99"/>
      <c r="B101" s="91"/>
      <c r="C101" s="91"/>
      <c r="D101" s="91"/>
      <c r="E101" s="91"/>
      <c r="F101" s="91"/>
      <c r="G101" s="91"/>
      <c r="H101" s="91"/>
      <c r="I101" s="91"/>
      <c r="J101" s="91"/>
    </row>
    <row r="102" spans="1:10" x14ac:dyDescent="0.2">
      <c r="A102" s="99"/>
      <c r="B102" s="91"/>
      <c r="C102" s="91"/>
      <c r="D102" s="91"/>
      <c r="E102" s="135" t="s">
        <v>117</v>
      </c>
      <c r="F102" s="136" t="s">
        <v>101</v>
      </c>
      <c r="G102" s="91"/>
      <c r="H102" s="91"/>
      <c r="I102" s="91"/>
      <c r="J102" s="91"/>
    </row>
    <row r="103" spans="1:10" x14ac:dyDescent="0.2">
      <c r="A103" s="91"/>
      <c r="B103" s="137" t="s">
        <v>146</v>
      </c>
      <c r="C103" s="91"/>
      <c r="D103" s="91"/>
      <c r="E103" s="115">
        <f>E96+E97</f>
        <v>5.2589644181994799E-2</v>
      </c>
      <c r="F103" s="101" t="str">
        <f>"Sum of Lines "&amp;B95&amp;" to "&amp;B96&amp;""</f>
        <v>Sum of Lines g to h</v>
      </c>
      <c r="G103" s="91"/>
      <c r="H103" s="91"/>
      <c r="I103" s="91"/>
      <c r="J103" s="91"/>
    </row>
    <row r="104" spans="1:10" x14ac:dyDescent="0.2">
      <c r="A104" s="99"/>
      <c r="B104" s="91"/>
      <c r="C104" s="91"/>
      <c r="D104" s="91"/>
      <c r="E104" s="115"/>
      <c r="F104" s="101"/>
      <c r="G104" s="91"/>
      <c r="H104" s="91"/>
      <c r="I104" s="91"/>
      <c r="J104" s="91"/>
    </row>
    <row r="105" spans="1:10" x14ac:dyDescent="0.2">
      <c r="A105" s="99"/>
      <c r="B105" s="100" t="s">
        <v>147</v>
      </c>
      <c r="C105" s="91"/>
      <c r="D105" s="91"/>
      <c r="E105" s="147"/>
      <c r="F105" s="147"/>
      <c r="G105" s="147"/>
      <c r="H105" s="101"/>
      <c r="I105" s="91"/>
      <c r="J105" s="91"/>
    </row>
    <row r="106" spans="1:10" x14ac:dyDescent="0.2">
      <c r="A106" s="99"/>
      <c r="B106" s="143" t="s">
        <v>148</v>
      </c>
      <c r="C106" s="91"/>
      <c r="D106" s="91"/>
      <c r="E106" s="91"/>
      <c r="F106" s="91"/>
      <c r="G106" s="91"/>
      <c r="H106" s="91"/>
      <c r="I106" s="91"/>
      <c r="J106" s="91"/>
    </row>
    <row r="107" spans="1:10" x14ac:dyDescent="0.2">
      <c r="A107" s="94"/>
      <c r="B107" s="143" t="s">
        <v>149</v>
      </c>
      <c r="C107" s="91"/>
      <c r="D107" s="99"/>
      <c r="E107" s="99"/>
      <c r="F107" s="99"/>
      <c r="G107" s="99"/>
      <c r="H107" s="99"/>
      <c r="I107" s="91"/>
      <c r="J107" s="91"/>
    </row>
    <row r="108" spans="1:10" x14ac:dyDescent="0.2">
      <c r="A108" s="94"/>
      <c r="B108" s="100" t="s">
        <v>150</v>
      </c>
      <c r="C108" s="91"/>
      <c r="D108" s="99"/>
      <c r="E108" s="99"/>
      <c r="F108" s="99"/>
      <c r="G108" s="99"/>
      <c r="H108" s="99"/>
      <c r="I108" s="91"/>
      <c r="J108" s="91"/>
    </row>
    <row r="109" spans="1:10" x14ac:dyDescent="0.2">
      <c r="A109" s="94"/>
      <c r="B109" s="91" t="s">
        <v>151</v>
      </c>
      <c r="C109" s="53"/>
      <c r="D109" s="53"/>
      <c r="E109" s="135"/>
      <c r="F109" s="135"/>
      <c r="G109" s="135"/>
      <c r="H109" s="135"/>
      <c r="I109" s="91"/>
      <c r="J109" s="91"/>
    </row>
    <row r="110" spans="1:10" x14ac:dyDescent="0.2">
      <c r="A110" s="94"/>
    </row>
    <row r="111" spans="1:10" x14ac:dyDescent="0.2">
      <c r="A111" s="94"/>
    </row>
    <row r="112" spans="1:10" x14ac:dyDescent="0.2">
      <c r="A112" s="94"/>
    </row>
    <row r="113" spans="1:10" x14ac:dyDescent="0.2">
      <c r="A113" s="94"/>
      <c r="C113" s="51"/>
      <c r="E113" s="101"/>
      <c r="F113" s="101"/>
      <c r="H113" s="149"/>
      <c r="J113" s="150"/>
    </row>
    <row r="114" spans="1:10" x14ac:dyDescent="0.2">
      <c r="A114" s="94"/>
      <c r="C114" s="51"/>
      <c r="E114" s="101"/>
      <c r="F114" s="101"/>
      <c r="H114" s="149"/>
      <c r="J114" s="150"/>
    </row>
    <row r="115" spans="1:10" x14ac:dyDescent="0.2">
      <c r="A115" s="95"/>
      <c r="C115" s="51"/>
      <c r="E115" s="101"/>
      <c r="F115" s="101"/>
      <c r="H115" s="149"/>
      <c r="J115" s="150"/>
    </row>
    <row r="116" spans="1:10" x14ac:dyDescent="0.2">
      <c r="A116" s="94"/>
      <c r="D116" s="54"/>
      <c r="E116" s="101"/>
      <c r="F116" s="101"/>
      <c r="G116" s="151"/>
      <c r="H116" s="149"/>
      <c r="J116" s="150"/>
    </row>
    <row r="117" spans="1:10" x14ac:dyDescent="0.2">
      <c r="A117" s="94"/>
      <c r="C117" s="51"/>
      <c r="D117" s="152"/>
      <c r="E117" s="153"/>
      <c r="F117" s="149"/>
      <c r="G117" s="151"/>
      <c r="H117" s="149"/>
      <c r="J117" s="150"/>
    </row>
    <row r="118" spans="1:10" x14ac:dyDescent="0.2">
      <c r="A118" s="94"/>
      <c r="C118" s="51"/>
      <c r="D118" s="152"/>
      <c r="E118" s="149"/>
      <c r="F118" s="149"/>
      <c r="G118" s="151"/>
      <c r="H118" s="149"/>
      <c r="J118" s="150"/>
    </row>
    <row r="119" spans="1:10" x14ac:dyDescent="0.2">
      <c r="A119" s="94"/>
    </row>
    <row r="120" spans="1:10" x14ac:dyDescent="0.2">
      <c r="A120" s="94"/>
      <c r="B120" s="90"/>
    </row>
    <row r="121" spans="1:10" x14ac:dyDescent="0.2">
      <c r="A121" s="94"/>
    </row>
    <row r="122" spans="1:10" x14ac:dyDescent="0.2">
      <c r="A122" s="94"/>
    </row>
    <row r="123" spans="1:10" x14ac:dyDescent="0.2">
      <c r="A123" s="94"/>
      <c r="F123" s="94"/>
    </row>
    <row r="124" spans="1:10" x14ac:dyDescent="0.2">
      <c r="A124" s="94"/>
      <c r="F124" s="94"/>
    </row>
    <row r="125" spans="1:10" x14ac:dyDescent="0.2">
      <c r="A125" s="94"/>
      <c r="D125" s="94"/>
      <c r="E125" s="94"/>
      <c r="F125" s="94"/>
      <c r="H125" s="94"/>
    </row>
    <row r="126" spans="1:10" x14ac:dyDescent="0.2">
      <c r="A126" s="94"/>
      <c r="D126" s="94"/>
      <c r="E126" s="94"/>
      <c r="F126" s="94"/>
      <c r="G126" s="94"/>
      <c r="H126" s="154"/>
    </row>
    <row r="127" spans="1:10" x14ac:dyDescent="0.2">
      <c r="A127" s="95"/>
      <c r="C127" s="55"/>
      <c r="D127" s="55"/>
      <c r="E127" s="98"/>
      <c r="F127" s="155"/>
      <c r="G127" s="98"/>
      <c r="H127" s="154"/>
    </row>
    <row r="128" spans="1:10" x14ac:dyDescent="0.2">
      <c r="A128" s="94"/>
      <c r="C128" s="56"/>
      <c r="D128" s="52"/>
      <c r="E128" s="101"/>
      <c r="F128" s="101"/>
      <c r="G128" s="138"/>
      <c r="H128" s="149"/>
    </row>
    <row r="129" spans="1:8" x14ac:dyDescent="0.2">
      <c r="A129" s="94"/>
      <c r="C129" s="51"/>
      <c r="D129" s="52"/>
      <c r="E129" s="101"/>
      <c r="F129" s="101"/>
      <c r="G129" s="138"/>
      <c r="H129" s="149"/>
    </row>
    <row r="130" spans="1:8" x14ac:dyDescent="0.2">
      <c r="A130" s="94"/>
      <c r="C130" s="51"/>
      <c r="D130" s="52"/>
      <c r="E130" s="101"/>
      <c r="F130" s="101"/>
      <c r="G130" s="138"/>
      <c r="H130" s="149"/>
    </row>
    <row r="131" spans="1:8" x14ac:dyDescent="0.2">
      <c r="A131" s="94"/>
      <c r="C131" s="56"/>
      <c r="D131" s="52"/>
      <c r="E131" s="101"/>
      <c r="F131" s="101"/>
      <c r="G131" s="138"/>
      <c r="H131" s="149"/>
    </row>
    <row r="132" spans="1:8" x14ac:dyDescent="0.2">
      <c r="A132" s="94"/>
      <c r="C132" s="51"/>
      <c r="D132" s="52"/>
      <c r="E132" s="101"/>
      <c r="F132" s="101"/>
      <c r="G132" s="138"/>
      <c r="H132" s="149"/>
    </row>
    <row r="133" spans="1:8" x14ac:dyDescent="0.2">
      <c r="A133" s="94"/>
      <c r="C133" s="51"/>
      <c r="D133" s="52"/>
      <c r="E133" s="101"/>
      <c r="F133" s="101"/>
      <c r="G133" s="138"/>
      <c r="H133" s="149"/>
    </row>
    <row r="134" spans="1:8" x14ac:dyDescent="0.2">
      <c r="A134" s="94"/>
      <c r="C134" s="56"/>
      <c r="D134" s="52"/>
      <c r="E134" s="101"/>
      <c r="F134" s="101"/>
      <c r="G134" s="138"/>
      <c r="H134" s="149"/>
    </row>
    <row r="135" spans="1:8" x14ac:dyDescent="0.2">
      <c r="A135" s="94"/>
      <c r="C135" s="51"/>
      <c r="D135" s="52"/>
      <c r="E135" s="101"/>
      <c r="F135" s="101"/>
      <c r="G135" s="138"/>
      <c r="H135" s="149"/>
    </row>
    <row r="136" spans="1:8" x14ac:dyDescent="0.2">
      <c r="A136" s="94"/>
      <c r="C136" s="51"/>
      <c r="D136" s="52"/>
      <c r="E136" s="101"/>
      <c r="F136" s="101"/>
      <c r="G136" s="138"/>
      <c r="H136" s="149"/>
    </row>
    <row r="137" spans="1:8" x14ac:dyDescent="0.2">
      <c r="A137" s="94"/>
      <c r="C137" s="56"/>
      <c r="D137" s="52"/>
      <c r="E137" s="101"/>
      <c r="F137" s="101"/>
      <c r="G137" s="138"/>
      <c r="H137" s="149"/>
    </row>
    <row r="138" spans="1:8" x14ac:dyDescent="0.2">
      <c r="A138" s="94"/>
      <c r="C138" s="56"/>
      <c r="D138" s="52"/>
      <c r="E138" s="101"/>
      <c r="F138" s="101"/>
      <c r="G138" s="138"/>
      <c r="H138" s="149"/>
    </row>
    <row r="139" spans="1:8" x14ac:dyDescent="0.2">
      <c r="A139" s="94"/>
      <c r="C139" s="51"/>
      <c r="D139" s="52"/>
      <c r="E139" s="101"/>
      <c r="F139" s="101"/>
      <c r="G139" s="138"/>
      <c r="H139" s="153"/>
    </row>
    <row r="140" spans="1:8" x14ac:dyDescent="0.2">
      <c r="A140" s="94"/>
      <c r="E140" s="91"/>
      <c r="F140" s="91"/>
      <c r="G140" s="91"/>
      <c r="H140" s="149"/>
    </row>
    <row r="141" spans="1:8" x14ac:dyDescent="0.2">
      <c r="A141" s="94"/>
      <c r="C141" s="51"/>
      <c r="D141" s="52"/>
      <c r="E141" s="91"/>
      <c r="F141" s="156"/>
      <c r="G141" s="138"/>
      <c r="H141" s="129"/>
    </row>
    <row r="142" spans="1:8" x14ac:dyDescent="0.2">
      <c r="A142" s="94"/>
      <c r="B142" s="90"/>
      <c r="C142" s="51"/>
      <c r="D142" s="52"/>
      <c r="E142" s="91"/>
      <c r="F142" s="156"/>
      <c r="G142" s="138"/>
      <c r="H142" s="129"/>
    </row>
    <row r="143" spans="1:8" x14ac:dyDescent="0.2">
      <c r="A143" s="95"/>
      <c r="B143" s="90"/>
      <c r="C143" s="51"/>
      <c r="D143" s="52"/>
      <c r="E143" s="91"/>
      <c r="F143" s="156"/>
      <c r="G143" s="138"/>
      <c r="H143" s="129"/>
    </row>
    <row r="144" spans="1:8" x14ac:dyDescent="0.2">
      <c r="A144" s="94"/>
      <c r="C144" s="51"/>
      <c r="D144" s="57"/>
      <c r="E144" s="101"/>
      <c r="F144" s="157"/>
      <c r="G144" s="138"/>
      <c r="H144" s="129"/>
    </row>
    <row r="145" spans="1:10" x14ac:dyDescent="0.2">
      <c r="A145" s="94"/>
      <c r="C145" s="51"/>
      <c r="D145" s="158"/>
      <c r="E145" s="101"/>
      <c r="F145" s="157"/>
      <c r="G145" s="138"/>
      <c r="H145" s="129"/>
    </row>
    <row r="146" spans="1:10" x14ac:dyDescent="0.2">
      <c r="A146" s="94"/>
      <c r="C146" s="51"/>
      <c r="D146" s="158"/>
      <c r="E146" s="153"/>
      <c r="F146" s="159"/>
      <c r="G146" s="138"/>
      <c r="H146" s="129"/>
    </row>
    <row r="147" spans="1:10" x14ac:dyDescent="0.2">
      <c r="A147" s="94"/>
      <c r="C147" s="51"/>
      <c r="D147" s="57"/>
      <c r="E147" s="149"/>
      <c r="F147" s="129"/>
      <c r="G147" s="138"/>
      <c r="H147" s="129"/>
    </row>
    <row r="148" spans="1:10" x14ac:dyDescent="0.2">
      <c r="A148" s="94"/>
      <c r="C148" s="51"/>
      <c r="D148" s="52"/>
      <c r="F148" s="129"/>
      <c r="G148" s="138"/>
      <c r="H148" s="129"/>
    </row>
    <row r="149" spans="1:10" x14ac:dyDescent="0.2">
      <c r="A149" s="94"/>
    </row>
    <row r="150" spans="1:10" x14ac:dyDescent="0.2">
      <c r="A150" s="94"/>
    </row>
    <row r="151" spans="1:10" x14ac:dyDescent="0.2">
      <c r="A151" s="94"/>
    </row>
    <row r="152" spans="1:10" x14ac:dyDescent="0.2">
      <c r="A152" s="94"/>
      <c r="B152" s="90"/>
    </row>
    <row r="153" spans="1:10" x14ac:dyDescent="0.2">
      <c r="A153" s="94"/>
      <c r="B153" s="151"/>
    </row>
    <row r="154" spans="1:10" x14ac:dyDescent="0.2">
      <c r="A154" s="94"/>
      <c r="B154" s="151"/>
    </row>
    <row r="155" spans="1:10" x14ac:dyDescent="0.2">
      <c r="A155" s="94"/>
      <c r="B155" s="151"/>
    </row>
    <row r="156" spans="1:10" x14ac:dyDescent="0.2">
      <c r="A156" s="94"/>
    </row>
    <row r="157" spans="1:10" x14ac:dyDescent="0.2">
      <c r="A157" s="94"/>
      <c r="B157" s="90"/>
    </row>
    <row r="158" spans="1:10" x14ac:dyDescent="0.2">
      <c r="A158" s="94"/>
    </row>
    <row r="159" spans="1:10" x14ac:dyDescent="0.2">
      <c r="A159" s="95"/>
      <c r="C159" s="55"/>
      <c r="D159" s="98"/>
      <c r="G159" s="91"/>
      <c r="H159" s="91"/>
      <c r="I159" s="91"/>
      <c r="J159" s="91"/>
    </row>
    <row r="160" spans="1:10" x14ac:dyDescent="0.2">
      <c r="A160" s="94"/>
      <c r="C160" s="56"/>
      <c r="D160" s="160"/>
      <c r="F160" s="161"/>
      <c r="G160" s="91"/>
      <c r="H160" s="91"/>
      <c r="I160" s="91"/>
      <c r="J160" s="91"/>
    </row>
    <row r="161" spans="1:10" x14ac:dyDescent="0.2">
      <c r="A161" s="94"/>
      <c r="C161" s="51"/>
      <c r="D161" s="160"/>
      <c r="F161" s="161"/>
      <c r="G161" s="91"/>
      <c r="H161" s="91"/>
      <c r="I161" s="91"/>
      <c r="J161" s="91"/>
    </row>
    <row r="162" spans="1:10" x14ac:dyDescent="0.2">
      <c r="A162" s="94"/>
      <c r="C162" s="51"/>
      <c r="D162" s="160"/>
      <c r="F162" s="161"/>
      <c r="G162" s="91"/>
      <c r="H162" s="91"/>
      <c r="I162" s="91"/>
      <c r="J162" s="91"/>
    </row>
    <row r="163" spans="1:10" x14ac:dyDescent="0.2">
      <c r="A163" s="94"/>
      <c r="C163" s="56"/>
      <c r="D163" s="160"/>
      <c r="F163" s="161"/>
      <c r="G163" s="91"/>
      <c r="H163" s="91"/>
      <c r="I163" s="91"/>
      <c r="J163" s="91"/>
    </row>
    <row r="164" spans="1:10" x14ac:dyDescent="0.2">
      <c r="A164" s="94"/>
      <c r="C164" s="51"/>
      <c r="D164" s="160"/>
      <c r="F164" s="161"/>
      <c r="G164" s="91"/>
      <c r="H164" s="91"/>
      <c r="I164" s="91"/>
      <c r="J164" s="91"/>
    </row>
    <row r="165" spans="1:10" x14ac:dyDescent="0.2">
      <c r="A165" s="94"/>
      <c r="C165" s="51"/>
      <c r="D165" s="160"/>
      <c r="F165" s="161"/>
      <c r="G165" s="91"/>
      <c r="H165" s="91"/>
      <c r="I165" s="91"/>
      <c r="J165" s="91"/>
    </row>
    <row r="166" spans="1:10" x14ac:dyDescent="0.2">
      <c r="A166" s="94"/>
      <c r="C166" s="56"/>
      <c r="D166" s="160"/>
      <c r="F166" s="161"/>
      <c r="G166" s="91"/>
      <c r="H166" s="91"/>
      <c r="I166" s="91"/>
      <c r="J166" s="91"/>
    </row>
    <row r="167" spans="1:10" x14ac:dyDescent="0.2">
      <c r="A167" s="94"/>
      <c r="C167" s="51"/>
      <c r="D167" s="160"/>
      <c r="F167" s="161"/>
      <c r="G167" s="91"/>
      <c r="H167" s="91"/>
      <c r="I167" s="91"/>
      <c r="J167" s="91"/>
    </row>
    <row r="168" spans="1:10" x14ac:dyDescent="0.2">
      <c r="A168" s="94"/>
      <c r="C168" s="51"/>
      <c r="D168" s="160"/>
      <c r="F168" s="161"/>
      <c r="G168" s="91"/>
      <c r="H168" s="91"/>
      <c r="I168" s="91"/>
      <c r="J168" s="91"/>
    </row>
    <row r="169" spans="1:10" x14ac:dyDescent="0.2">
      <c r="A169" s="94"/>
      <c r="C169" s="56"/>
      <c r="D169" s="160"/>
      <c r="F169" s="161"/>
      <c r="G169" s="91"/>
      <c r="H169" s="91"/>
      <c r="I169" s="91"/>
      <c r="J169" s="91"/>
    </row>
    <row r="170" spans="1:10" x14ac:dyDescent="0.2">
      <c r="A170" s="94"/>
      <c r="C170" s="56"/>
      <c r="D170" s="160"/>
      <c r="F170" s="161"/>
    </row>
    <row r="171" spans="1:10" x14ac:dyDescent="0.2">
      <c r="A171" s="94"/>
      <c r="C171" s="51"/>
      <c r="D171" s="162"/>
      <c r="F171" s="163"/>
    </row>
    <row r="172" spans="1:10" x14ac:dyDescent="0.2">
      <c r="A172" s="94"/>
      <c r="C172" s="54"/>
      <c r="D172" s="160"/>
    </row>
  </sheetData>
  <pageMargins left="0.75" right="0.75" top="1" bottom="1" header="0.5" footer="0.5"/>
  <pageSetup scale="80" orientation="landscape" cellComments="asDisplayed" r:id="rId1"/>
  <headerFooter alignWithMargins="0">
    <oddHeader>&amp;CSchedule 4
True Up TRR
(Revised 2016 True Up TRR)&amp;RTO2020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E4367-AAB3-4A22-9AAA-E4B064A3F36E}">
  <dimension ref="A1:X112"/>
  <sheetViews>
    <sheetView zoomScale="120" zoomScaleNormal="12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8" customWidth="1"/>
    <col min="11" max="11" width="11" bestFit="1" customWidth="1"/>
  </cols>
  <sheetData>
    <row r="1" spans="1:24" x14ac:dyDescent="0.2">
      <c r="A1" s="90" t="s">
        <v>167</v>
      </c>
      <c r="F1" s="387" t="s">
        <v>164</v>
      </c>
      <c r="G1" s="146"/>
      <c r="H1" s="388"/>
      <c r="I1" s="388"/>
    </row>
    <row r="2" spans="1:24" x14ac:dyDescent="0.2">
      <c r="E2" s="155" t="s">
        <v>152</v>
      </c>
      <c r="F2" s="155" t="s">
        <v>153</v>
      </c>
      <c r="G2" s="155" t="s">
        <v>154</v>
      </c>
      <c r="H2" s="155" t="s">
        <v>155</v>
      </c>
      <c r="I2" s="388"/>
    </row>
    <row r="3" spans="1:24" x14ac:dyDescent="0.2">
      <c r="G3" s="388" t="s">
        <v>168</v>
      </c>
    </row>
    <row r="4" spans="1:24" x14ac:dyDescent="0.2">
      <c r="E4" s="94" t="s">
        <v>169</v>
      </c>
      <c r="F4" s="60" t="s">
        <v>165</v>
      </c>
      <c r="G4" s="94" t="s">
        <v>170</v>
      </c>
      <c r="I4" s="94"/>
    </row>
    <row r="5" spans="1:24" x14ac:dyDescent="0.2">
      <c r="A5" s="95" t="s">
        <v>42</v>
      </c>
      <c r="B5" s="98"/>
      <c r="C5" s="98" t="s">
        <v>171</v>
      </c>
      <c r="D5" s="98" t="s">
        <v>33</v>
      </c>
      <c r="E5" s="98" t="s">
        <v>34</v>
      </c>
      <c r="F5" s="55" t="s">
        <v>35</v>
      </c>
      <c r="G5" s="98" t="s">
        <v>172</v>
      </c>
      <c r="H5" s="98" t="s">
        <v>87</v>
      </c>
      <c r="I5" s="98" t="s">
        <v>45</v>
      </c>
      <c r="K5" s="98"/>
      <c r="L5" s="98"/>
      <c r="M5" s="98"/>
      <c r="N5" s="98"/>
      <c r="O5" s="98"/>
      <c r="P5" s="98"/>
      <c r="Q5" s="98"/>
      <c r="R5" s="98"/>
      <c r="S5" s="98"/>
      <c r="T5" s="98"/>
      <c r="U5" s="98"/>
      <c r="V5" s="98"/>
      <c r="W5" s="98"/>
      <c r="X5" s="98"/>
    </row>
    <row r="6" spans="1:24" x14ac:dyDescent="0.2">
      <c r="A6" s="94">
        <v>1</v>
      </c>
      <c r="C6" s="388">
        <v>920</v>
      </c>
      <c r="D6" t="s">
        <v>173</v>
      </c>
      <c r="E6" s="389">
        <v>370948767</v>
      </c>
      <c r="F6" s="388" t="s">
        <v>174</v>
      </c>
      <c r="G6" s="101">
        <f>D37</f>
        <v>72999158.595756173</v>
      </c>
      <c r="H6" s="101">
        <f t="shared" ref="H6:H19" si="0">E6-G6</f>
        <v>297949608.40424383</v>
      </c>
      <c r="J6" s="151"/>
    </row>
    <row r="7" spans="1:24" x14ac:dyDescent="0.2">
      <c r="A7" s="94">
        <f>A6+1</f>
        <v>2</v>
      </c>
      <c r="C7" s="388">
        <v>921</v>
      </c>
      <c r="D7" t="s">
        <v>175</v>
      </c>
      <c r="E7" s="389">
        <v>213803210</v>
      </c>
      <c r="F7" s="388" t="s">
        <v>176</v>
      </c>
      <c r="G7" s="101">
        <f t="shared" ref="G7:G19" si="1">D38</f>
        <v>441758.91968707397</v>
      </c>
      <c r="H7" s="149">
        <f t="shared" si="0"/>
        <v>213361451.08031294</v>
      </c>
      <c r="J7" s="151"/>
    </row>
    <row r="8" spans="1:24" x14ac:dyDescent="0.2">
      <c r="A8" s="94">
        <f>A7+1</f>
        <v>3</v>
      </c>
      <c r="C8" s="388">
        <v>922</v>
      </c>
      <c r="D8" t="s">
        <v>177</v>
      </c>
      <c r="E8" s="389">
        <v>-119273668</v>
      </c>
      <c r="F8" s="388" t="s">
        <v>178</v>
      </c>
      <c r="G8" s="101">
        <f t="shared" si="1"/>
        <v>-29401382</v>
      </c>
      <c r="H8" s="149">
        <f t="shared" si="0"/>
        <v>-89872286</v>
      </c>
      <c r="I8" s="105" t="s">
        <v>179</v>
      </c>
      <c r="J8" s="151"/>
    </row>
    <row r="9" spans="1:24" x14ac:dyDescent="0.2">
      <c r="A9" s="94">
        <f t="shared" ref="A9:A20" si="2">A8+1</f>
        <v>4</v>
      </c>
      <c r="B9" s="94"/>
      <c r="C9" s="388">
        <v>923</v>
      </c>
      <c r="D9" t="s">
        <v>180</v>
      </c>
      <c r="E9" s="389">
        <v>60667969</v>
      </c>
      <c r="F9" s="388" t="s">
        <v>181</v>
      </c>
      <c r="G9" s="107">
        <f t="shared" si="1"/>
        <v>7744566</v>
      </c>
      <c r="H9" s="107">
        <f t="shared" si="0"/>
        <v>52923403</v>
      </c>
      <c r="J9" s="151"/>
    </row>
    <row r="10" spans="1:24" x14ac:dyDescent="0.2">
      <c r="A10" s="94">
        <f t="shared" si="2"/>
        <v>5</v>
      </c>
      <c r="B10" s="94"/>
      <c r="C10" s="388">
        <v>924</v>
      </c>
      <c r="D10" t="s">
        <v>182</v>
      </c>
      <c r="E10" s="389">
        <v>14124920</v>
      </c>
      <c r="F10" s="388" t="s">
        <v>183</v>
      </c>
      <c r="G10" s="101">
        <f t="shared" si="1"/>
        <v>0</v>
      </c>
      <c r="H10" s="149">
        <f t="shared" si="0"/>
        <v>14124920</v>
      </c>
      <c r="J10" s="151"/>
    </row>
    <row r="11" spans="1:24" x14ac:dyDescent="0.2">
      <c r="A11" s="94">
        <f t="shared" si="2"/>
        <v>6</v>
      </c>
      <c r="B11" s="94"/>
      <c r="C11" s="388">
        <v>925</v>
      </c>
      <c r="D11" t="s">
        <v>184</v>
      </c>
      <c r="E11" s="389">
        <v>90935394</v>
      </c>
      <c r="F11" s="388" t="s">
        <v>185</v>
      </c>
      <c r="G11" s="101">
        <f t="shared" si="1"/>
        <v>0</v>
      </c>
      <c r="H11" s="149">
        <f t="shared" si="0"/>
        <v>90935394</v>
      </c>
      <c r="J11" s="151"/>
    </row>
    <row r="12" spans="1:24" x14ac:dyDescent="0.2">
      <c r="A12" s="94">
        <f t="shared" si="2"/>
        <v>7</v>
      </c>
      <c r="B12" s="94"/>
      <c r="C12" s="388">
        <v>926</v>
      </c>
      <c r="D12" t="s">
        <v>186</v>
      </c>
      <c r="E12" s="389">
        <v>169577000</v>
      </c>
      <c r="F12" s="388" t="s">
        <v>187</v>
      </c>
      <c r="G12" s="101">
        <f t="shared" si="1"/>
        <v>-4337968.4582647402</v>
      </c>
      <c r="H12" s="101">
        <f t="shared" si="0"/>
        <v>173914968.45826474</v>
      </c>
      <c r="J12" s="151"/>
    </row>
    <row r="13" spans="1:24" x14ac:dyDescent="0.2">
      <c r="A13" s="94">
        <f t="shared" si="2"/>
        <v>8</v>
      </c>
      <c r="B13" s="94"/>
      <c r="C13" s="388">
        <v>927</v>
      </c>
      <c r="D13" t="s">
        <v>156</v>
      </c>
      <c r="E13" s="389">
        <v>104853533</v>
      </c>
      <c r="F13" s="388" t="s">
        <v>188</v>
      </c>
      <c r="G13" s="101">
        <f t="shared" si="1"/>
        <v>104853533</v>
      </c>
      <c r="H13" s="149">
        <f t="shared" si="0"/>
        <v>0</v>
      </c>
      <c r="J13" s="151"/>
    </row>
    <row r="14" spans="1:24" x14ac:dyDescent="0.2">
      <c r="A14" s="94">
        <f t="shared" si="2"/>
        <v>9</v>
      </c>
      <c r="B14" s="94"/>
      <c r="C14" s="388">
        <v>928</v>
      </c>
      <c r="D14" s="151" t="s">
        <v>189</v>
      </c>
      <c r="E14" s="389">
        <v>39330186</v>
      </c>
      <c r="F14" s="388" t="s">
        <v>190</v>
      </c>
      <c r="G14" s="101">
        <f t="shared" si="1"/>
        <v>40447590.189999998</v>
      </c>
      <c r="H14" s="149">
        <f t="shared" si="0"/>
        <v>-1117404.1899999976</v>
      </c>
      <c r="J14" s="151"/>
    </row>
    <row r="15" spans="1:24" x14ac:dyDescent="0.2">
      <c r="A15" s="94">
        <f t="shared" si="2"/>
        <v>10</v>
      </c>
      <c r="B15" s="94"/>
      <c r="C15" s="388">
        <v>929</v>
      </c>
      <c r="D15" t="s">
        <v>191</v>
      </c>
      <c r="E15" s="389">
        <v>0</v>
      </c>
      <c r="F15" s="388" t="s">
        <v>192</v>
      </c>
      <c r="G15" s="101">
        <f t="shared" si="1"/>
        <v>0</v>
      </c>
      <c r="H15" s="149">
        <f t="shared" si="0"/>
        <v>0</v>
      </c>
      <c r="J15" s="151"/>
    </row>
    <row r="16" spans="1:24" x14ac:dyDescent="0.2">
      <c r="A16" s="94">
        <f t="shared" si="2"/>
        <v>11</v>
      </c>
      <c r="B16" s="94"/>
      <c r="C16" s="388">
        <v>930.1</v>
      </c>
      <c r="D16" t="s">
        <v>193</v>
      </c>
      <c r="E16" s="389">
        <v>4740534</v>
      </c>
      <c r="F16" s="388" t="s">
        <v>194</v>
      </c>
      <c r="G16" s="101">
        <f t="shared" si="1"/>
        <v>0</v>
      </c>
      <c r="H16" s="149">
        <f t="shared" si="0"/>
        <v>4740534</v>
      </c>
      <c r="J16" s="151"/>
    </row>
    <row r="17" spans="1:11" x14ac:dyDescent="0.2">
      <c r="A17" s="94">
        <f t="shared" si="2"/>
        <v>12</v>
      </c>
      <c r="B17" s="94"/>
      <c r="C17" s="388">
        <v>930.2</v>
      </c>
      <c r="D17" t="s">
        <v>195</v>
      </c>
      <c r="E17" s="389">
        <v>18871749</v>
      </c>
      <c r="F17" s="388" t="s">
        <v>196</v>
      </c>
      <c r="G17" s="101">
        <f t="shared" si="1"/>
        <v>22065925.93</v>
      </c>
      <c r="H17" s="149">
        <f>E17-G17</f>
        <v>-3194176.9299999997</v>
      </c>
      <c r="J17" s="151"/>
    </row>
    <row r="18" spans="1:11" x14ac:dyDescent="0.2">
      <c r="A18" s="94">
        <f t="shared" si="2"/>
        <v>13</v>
      </c>
      <c r="B18" s="94"/>
      <c r="C18" s="388">
        <v>931</v>
      </c>
      <c r="D18" t="s">
        <v>197</v>
      </c>
      <c r="E18" s="389">
        <v>17771530</v>
      </c>
      <c r="F18" s="388" t="s">
        <v>198</v>
      </c>
      <c r="G18" s="101">
        <f t="shared" si="1"/>
        <v>0</v>
      </c>
      <c r="H18" s="149">
        <f t="shared" si="0"/>
        <v>17771530</v>
      </c>
      <c r="J18" s="151"/>
    </row>
    <row r="19" spans="1:11" x14ac:dyDescent="0.2">
      <c r="A19" s="94">
        <f t="shared" si="2"/>
        <v>14</v>
      </c>
      <c r="B19" s="94"/>
      <c r="C19" s="388">
        <v>935</v>
      </c>
      <c r="D19" t="s">
        <v>199</v>
      </c>
      <c r="E19" s="390">
        <v>13400370</v>
      </c>
      <c r="F19" s="388" t="s">
        <v>200</v>
      </c>
      <c r="G19" s="101">
        <f t="shared" si="1"/>
        <v>718532</v>
      </c>
      <c r="H19" s="153">
        <f t="shared" si="0"/>
        <v>12681838</v>
      </c>
      <c r="J19" s="151"/>
    </row>
    <row r="20" spans="1:11" x14ac:dyDescent="0.2">
      <c r="A20" s="94">
        <f t="shared" si="2"/>
        <v>15</v>
      </c>
      <c r="E20" s="149">
        <f>SUM(E6:E19)</f>
        <v>999751494</v>
      </c>
      <c r="G20" s="158" t="s">
        <v>201</v>
      </c>
      <c r="H20" s="114">
        <f>SUM(H6:H19)</f>
        <v>784219779.8228215</v>
      </c>
    </row>
    <row r="22" spans="1:11" x14ac:dyDescent="0.2">
      <c r="F22" s="98" t="s">
        <v>34</v>
      </c>
      <c r="G22" s="98" t="s">
        <v>35</v>
      </c>
    </row>
    <row r="23" spans="1:11" x14ac:dyDescent="0.2">
      <c r="A23" s="94">
        <f>A20+1</f>
        <v>16</v>
      </c>
      <c r="E23" s="125" t="s">
        <v>202</v>
      </c>
      <c r="F23" s="107">
        <f>H20</f>
        <v>784219779.8228215</v>
      </c>
      <c r="G23" s="104" t="str">
        <f>"Line "&amp;A20&amp;""</f>
        <v>Line 15</v>
      </c>
      <c r="H23" s="91"/>
      <c r="I23" s="91"/>
      <c r="J23" s="91"/>
      <c r="K23" s="91"/>
    </row>
    <row r="24" spans="1:11" x14ac:dyDescent="0.2">
      <c r="A24" s="94">
        <f t="shared" ref="A24:A30" si="3">A23+1</f>
        <v>17</v>
      </c>
      <c r="E24" s="125" t="s">
        <v>203</v>
      </c>
      <c r="F24" s="109">
        <f>E10</f>
        <v>14124920</v>
      </c>
      <c r="G24" s="104" t="str">
        <f>"Line "&amp;A10&amp;""</f>
        <v>Line 5</v>
      </c>
      <c r="H24" s="91"/>
      <c r="I24" s="91"/>
      <c r="J24" s="91"/>
      <c r="K24" s="91"/>
    </row>
    <row r="25" spans="1:11" x14ac:dyDescent="0.2">
      <c r="A25" s="94">
        <f t="shared" si="3"/>
        <v>18</v>
      </c>
      <c r="E25" s="125" t="s">
        <v>204</v>
      </c>
      <c r="F25" s="107">
        <f>F23-F24</f>
        <v>770094859.8228215</v>
      </c>
      <c r="G25" s="104" t="str">
        <f>"Line "&amp;A23&amp;" - Line "&amp;A24&amp;""</f>
        <v>Line 16 - Line 17</v>
      </c>
      <c r="H25" s="91"/>
      <c r="I25" s="91"/>
      <c r="J25" s="91"/>
      <c r="K25" s="91"/>
    </row>
    <row r="26" spans="1:11" x14ac:dyDescent="0.2">
      <c r="A26" s="94">
        <f t="shared" si="3"/>
        <v>19</v>
      </c>
      <c r="E26" s="130" t="s">
        <v>205</v>
      </c>
      <c r="F26" s="207">
        <f>'[16]27-Allocators'!G15</f>
        <v>5.7291253607394212E-2</v>
      </c>
      <c r="G26" s="104" t="str">
        <f>"27-Allocators, Line "&amp;'[16]27-Allocators'!A15&amp;""</f>
        <v>27-Allocators, Line 9</v>
      </c>
      <c r="H26" s="91"/>
      <c r="I26" s="91"/>
      <c r="J26" s="91"/>
      <c r="K26" s="91"/>
    </row>
    <row r="27" spans="1:11" x14ac:dyDescent="0.2">
      <c r="A27" s="94">
        <f t="shared" si="3"/>
        <v>20</v>
      </c>
      <c r="E27" s="125" t="s">
        <v>206</v>
      </c>
      <c r="F27" s="107">
        <f>F25*F26</f>
        <v>44119699.91585996</v>
      </c>
      <c r="G27" s="104" t="str">
        <f>"Line "&amp;A25&amp;" * Line "&amp;A26&amp;""</f>
        <v>Line 18 * Line 19</v>
      </c>
      <c r="H27" s="91"/>
      <c r="I27" s="91"/>
      <c r="J27" s="91"/>
      <c r="K27" s="91"/>
    </row>
    <row r="28" spans="1:11" x14ac:dyDescent="0.2">
      <c r="A28" s="94">
        <f t="shared" si="3"/>
        <v>21</v>
      </c>
      <c r="E28" s="125" t="s">
        <v>207</v>
      </c>
      <c r="F28" s="115">
        <f>'[16]27-Allocators'!G28</f>
        <v>0.19269684752161567</v>
      </c>
      <c r="G28" s="105" t="str">
        <f>"27-Allocators, Line "&amp;'[16]27-Allocators'!A28&amp;""</f>
        <v>27-Allocators, Line 22</v>
      </c>
      <c r="H28" s="91"/>
      <c r="I28" s="91"/>
      <c r="J28" s="91"/>
      <c r="K28" s="91"/>
    </row>
    <row r="29" spans="1:11" x14ac:dyDescent="0.2">
      <c r="A29" s="94">
        <f t="shared" si="3"/>
        <v>22</v>
      </c>
      <c r="E29" s="125" t="s">
        <v>208</v>
      </c>
      <c r="F29" s="109">
        <f>H10*F28</f>
        <v>2721827.5554950195</v>
      </c>
      <c r="G29" s="104" t="str">
        <f>"Line "&amp;A10&amp;" Col 4 * Line "&amp;A28&amp;""</f>
        <v>Line 5 Col 4 * Line 21</v>
      </c>
      <c r="H29" s="91"/>
      <c r="I29" s="91"/>
      <c r="J29" s="91"/>
      <c r="K29" s="91"/>
    </row>
    <row r="30" spans="1:11" x14ac:dyDescent="0.2">
      <c r="A30" s="94">
        <f t="shared" si="3"/>
        <v>23</v>
      </c>
      <c r="E30" s="125" t="s">
        <v>209</v>
      </c>
      <c r="F30" s="114">
        <f>F27+F29</f>
        <v>46841527.471354976</v>
      </c>
      <c r="G30" s="104" t="str">
        <f>"Line "&amp;A27&amp;" + Line "&amp;A29&amp;""</f>
        <v>Line 20 + Line 22</v>
      </c>
      <c r="H30" s="91"/>
      <c r="I30" s="91"/>
      <c r="J30" s="91"/>
      <c r="K30" s="91"/>
    </row>
    <row r="31" spans="1:11" x14ac:dyDescent="0.2">
      <c r="E31" s="91"/>
      <c r="F31" s="91"/>
      <c r="G31" s="91"/>
      <c r="H31" s="91"/>
      <c r="I31" s="91"/>
      <c r="J31" s="91"/>
      <c r="K31" s="91"/>
    </row>
    <row r="32" spans="1:11" x14ac:dyDescent="0.2">
      <c r="B32" s="90" t="s">
        <v>210</v>
      </c>
      <c r="E32" s="391" t="s">
        <v>152</v>
      </c>
      <c r="F32" s="391" t="s">
        <v>153</v>
      </c>
      <c r="G32" s="391" t="s">
        <v>154</v>
      </c>
      <c r="H32" s="391" t="s">
        <v>155</v>
      </c>
      <c r="I32" s="91"/>
      <c r="J32" s="91"/>
      <c r="K32" s="91"/>
    </row>
    <row r="33" spans="1:11" x14ac:dyDescent="0.2">
      <c r="B33" s="90"/>
      <c r="E33" s="99" t="s">
        <v>211</v>
      </c>
      <c r="F33" s="391"/>
      <c r="G33" s="391"/>
      <c r="H33" s="391"/>
      <c r="I33" s="91"/>
      <c r="J33" s="91"/>
      <c r="K33" s="91"/>
    </row>
    <row r="34" spans="1:11" x14ac:dyDescent="0.2">
      <c r="E34" s="99" t="s">
        <v>212</v>
      </c>
      <c r="F34" s="91"/>
      <c r="G34" s="91"/>
      <c r="H34" s="91"/>
      <c r="I34" s="91"/>
      <c r="J34" s="91"/>
      <c r="K34" s="91"/>
    </row>
    <row r="35" spans="1:11" x14ac:dyDescent="0.2">
      <c r="D35" s="94" t="s">
        <v>213</v>
      </c>
      <c r="E35" s="99" t="s">
        <v>214</v>
      </c>
      <c r="F35" s="99" t="s">
        <v>215</v>
      </c>
      <c r="G35" s="99"/>
      <c r="H35" s="99"/>
      <c r="I35" s="91"/>
      <c r="J35" s="91"/>
      <c r="K35" s="91"/>
    </row>
    <row r="36" spans="1:11" x14ac:dyDescent="0.2">
      <c r="C36" s="98" t="s">
        <v>171</v>
      </c>
      <c r="D36" s="155" t="s">
        <v>216</v>
      </c>
      <c r="E36" s="135" t="s">
        <v>217</v>
      </c>
      <c r="F36" s="135" t="s">
        <v>218</v>
      </c>
      <c r="G36" s="135" t="s">
        <v>219</v>
      </c>
      <c r="H36" s="135" t="s">
        <v>220</v>
      </c>
      <c r="I36" s="135" t="s">
        <v>45</v>
      </c>
      <c r="J36" s="91"/>
      <c r="K36" s="91"/>
    </row>
    <row r="37" spans="1:11" x14ac:dyDescent="0.2">
      <c r="A37" s="94">
        <f>A30+1</f>
        <v>24</v>
      </c>
      <c r="C37" s="388">
        <v>920</v>
      </c>
      <c r="D37" s="392">
        <f>SUM(E37:H37)</f>
        <v>72999158.595756173</v>
      </c>
      <c r="E37" s="393">
        <v>-12148358.639687069</v>
      </c>
      <c r="F37" s="394"/>
      <c r="G37" s="101">
        <f>G58</f>
        <v>85147517.235443234</v>
      </c>
      <c r="H37" s="394"/>
      <c r="I37" s="104" t="s">
        <v>221</v>
      </c>
      <c r="J37" s="91"/>
    </row>
    <row r="38" spans="1:11" x14ac:dyDescent="0.2">
      <c r="A38" s="94">
        <f>A37+1</f>
        <v>25</v>
      </c>
      <c r="C38" s="388">
        <v>921</v>
      </c>
      <c r="D38" s="395">
        <f t="shared" ref="D38:D50" si="4">SUM(E38:H38)</f>
        <v>441758.91968707397</v>
      </c>
      <c r="E38" s="396">
        <v>441758.91968707397</v>
      </c>
      <c r="F38" s="394"/>
      <c r="G38" s="394">
        <v>0</v>
      </c>
      <c r="H38" s="394"/>
      <c r="I38" s="96"/>
    </row>
    <row r="39" spans="1:11" ht="13.5" thickBot="1" x14ac:dyDescent="0.25">
      <c r="A39" s="94">
        <f t="shared" ref="A39:A50" si="5">A38+1</f>
        <v>26</v>
      </c>
      <c r="C39" s="388">
        <v>922</v>
      </c>
      <c r="D39" s="395">
        <f t="shared" si="4"/>
        <v>-29401382</v>
      </c>
      <c r="E39" s="396">
        <v>-7665955</v>
      </c>
      <c r="F39" s="394"/>
      <c r="G39" s="58">
        <v>-21735427</v>
      </c>
      <c r="H39" s="394"/>
      <c r="I39" s="96"/>
    </row>
    <row r="40" spans="1:11" ht="13.5" thickBot="1" x14ac:dyDescent="0.25">
      <c r="A40" s="94">
        <f t="shared" si="5"/>
        <v>27</v>
      </c>
      <c r="C40" s="388">
        <v>923</v>
      </c>
      <c r="D40" s="397">
        <f t="shared" si="4"/>
        <v>7744566</v>
      </c>
      <c r="E40" s="398">
        <v>7744566</v>
      </c>
      <c r="F40" s="394"/>
      <c r="G40" s="394">
        <v>0</v>
      </c>
      <c r="H40" s="394"/>
      <c r="I40" s="96"/>
      <c r="J40" s="98"/>
      <c r="K40" s="98"/>
    </row>
    <row r="41" spans="1:11" x14ac:dyDescent="0.2">
      <c r="A41" s="94">
        <f t="shared" si="5"/>
        <v>28</v>
      </c>
      <c r="C41" s="388">
        <v>924</v>
      </c>
      <c r="D41" s="395">
        <f t="shared" si="4"/>
        <v>0</v>
      </c>
      <c r="E41" s="396">
        <v>0</v>
      </c>
      <c r="F41" s="394"/>
      <c r="G41" s="394">
        <v>0</v>
      </c>
      <c r="H41" s="394"/>
      <c r="I41" s="96"/>
      <c r="K41" s="149"/>
    </row>
    <row r="42" spans="1:11" x14ac:dyDescent="0.2">
      <c r="A42" s="94">
        <f t="shared" si="5"/>
        <v>29</v>
      </c>
      <c r="C42" s="388">
        <v>925</v>
      </c>
      <c r="D42" s="395">
        <f t="shared" si="4"/>
        <v>0</v>
      </c>
      <c r="E42" s="396">
        <v>0</v>
      </c>
      <c r="F42" s="394"/>
      <c r="G42" s="394">
        <v>0</v>
      </c>
      <c r="H42" s="394"/>
      <c r="I42" s="399"/>
      <c r="K42" s="149"/>
    </row>
    <row r="43" spans="1:11" x14ac:dyDescent="0.2">
      <c r="A43" s="94">
        <f t="shared" si="5"/>
        <v>30</v>
      </c>
      <c r="C43" s="388">
        <v>926</v>
      </c>
      <c r="D43" s="392">
        <f t="shared" si="4"/>
        <v>-4337968.4582647402</v>
      </c>
      <c r="E43" s="396">
        <v>14829570.54173526</v>
      </c>
      <c r="F43" s="394"/>
      <c r="G43" s="394">
        <v>0</v>
      </c>
      <c r="H43" s="101">
        <f>E70</f>
        <v>-19167539</v>
      </c>
      <c r="I43" s="399" t="s">
        <v>157</v>
      </c>
      <c r="K43" s="149"/>
    </row>
    <row r="44" spans="1:11" x14ac:dyDescent="0.2">
      <c r="A44" s="94">
        <f t="shared" si="5"/>
        <v>31</v>
      </c>
      <c r="C44" s="388">
        <v>927</v>
      </c>
      <c r="D44" s="395">
        <f t="shared" si="4"/>
        <v>104853533</v>
      </c>
      <c r="E44" s="101">
        <v>0</v>
      </c>
      <c r="F44" s="400">
        <f>E13</f>
        <v>104853533</v>
      </c>
      <c r="G44" s="101">
        <v>0</v>
      </c>
      <c r="H44" s="101">
        <v>0</v>
      </c>
      <c r="I44" s="96" t="s">
        <v>222</v>
      </c>
      <c r="K44" s="149"/>
    </row>
    <row r="45" spans="1:11" x14ac:dyDescent="0.2">
      <c r="A45" s="94">
        <f t="shared" si="5"/>
        <v>32</v>
      </c>
      <c r="C45" s="388">
        <v>928</v>
      </c>
      <c r="D45" s="395">
        <f t="shared" si="4"/>
        <v>40447590.189999998</v>
      </c>
      <c r="E45" s="393">
        <v>40447590.189999998</v>
      </c>
      <c r="F45" s="394"/>
      <c r="G45" s="394">
        <v>0</v>
      </c>
      <c r="H45" s="394"/>
      <c r="I45" s="96"/>
      <c r="K45" s="149"/>
    </row>
    <row r="46" spans="1:11" x14ac:dyDescent="0.2">
      <c r="A46" s="94">
        <f t="shared" si="5"/>
        <v>33</v>
      </c>
      <c r="C46" s="388">
        <v>929</v>
      </c>
      <c r="D46" s="395">
        <f t="shared" si="4"/>
        <v>0</v>
      </c>
      <c r="E46" s="396">
        <v>0</v>
      </c>
      <c r="F46" s="394"/>
      <c r="G46" s="394">
        <v>0</v>
      </c>
      <c r="H46" s="394"/>
      <c r="I46" s="96"/>
      <c r="K46" s="149"/>
    </row>
    <row r="47" spans="1:11" x14ac:dyDescent="0.2">
      <c r="A47" s="94">
        <f t="shared" si="5"/>
        <v>34</v>
      </c>
      <c r="C47" s="388">
        <v>930.1</v>
      </c>
      <c r="D47" s="395">
        <f t="shared" si="4"/>
        <v>0</v>
      </c>
      <c r="E47" s="396">
        <v>0</v>
      </c>
      <c r="F47" s="394"/>
      <c r="G47" s="394">
        <v>0</v>
      </c>
      <c r="H47" s="394"/>
      <c r="I47" s="96"/>
      <c r="K47" s="149"/>
    </row>
    <row r="48" spans="1:11" x14ac:dyDescent="0.2">
      <c r="A48" s="94">
        <f t="shared" si="5"/>
        <v>35</v>
      </c>
      <c r="C48" s="388">
        <v>930.2</v>
      </c>
      <c r="D48" s="395">
        <f t="shared" si="4"/>
        <v>22065925.93</v>
      </c>
      <c r="E48" s="396">
        <v>22065925.93</v>
      </c>
      <c r="F48" s="394"/>
      <c r="G48" s="394">
        <v>0</v>
      </c>
      <c r="H48" s="394"/>
      <c r="I48" s="96"/>
      <c r="J48" s="401"/>
    </row>
    <row r="49" spans="1:10" x14ac:dyDescent="0.2">
      <c r="A49" s="94">
        <f t="shared" si="5"/>
        <v>36</v>
      </c>
      <c r="C49" s="388">
        <v>931</v>
      </c>
      <c r="D49" s="395">
        <f t="shared" si="4"/>
        <v>0</v>
      </c>
      <c r="E49" s="396">
        <v>0</v>
      </c>
      <c r="F49" s="394"/>
      <c r="G49" s="394">
        <v>0</v>
      </c>
      <c r="H49" s="394"/>
      <c r="I49" s="96"/>
      <c r="J49" s="149"/>
    </row>
    <row r="50" spans="1:10" x14ac:dyDescent="0.2">
      <c r="A50" s="94">
        <f t="shared" si="5"/>
        <v>37</v>
      </c>
      <c r="C50" s="388">
        <v>935</v>
      </c>
      <c r="D50" s="395">
        <f t="shared" si="4"/>
        <v>718532</v>
      </c>
      <c r="E50" s="396">
        <v>718532</v>
      </c>
      <c r="F50" s="394"/>
      <c r="G50" s="394">
        <v>0</v>
      </c>
      <c r="H50" s="394"/>
      <c r="I50" s="96"/>
    </row>
    <row r="51" spans="1:10" x14ac:dyDescent="0.2">
      <c r="B51" s="111" t="s">
        <v>223</v>
      </c>
      <c r="C51" s="91"/>
      <c r="D51" s="91"/>
      <c r="E51" s="91"/>
      <c r="F51" s="91"/>
      <c r="G51" s="91"/>
      <c r="H51" s="91"/>
    </row>
    <row r="52" spans="1:10" x14ac:dyDescent="0.2">
      <c r="B52" s="111"/>
      <c r="C52" s="91" t="s">
        <v>224</v>
      </c>
      <c r="D52" s="91"/>
      <c r="E52" s="91"/>
      <c r="F52" s="91"/>
      <c r="G52" s="91"/>
      <c r="H52" s="91"/>
    </row>
    <row r="53" spans="1:10" x14ac:dyDescent="0.2">
      <c r="B53" s="111"/>
      <c r="C53" s="102" t="s">
        <v>225</v>
      </c>
      <c r="D53" s="91"/>
      <c r="E53" s="91"/>
      <c r="F53" s="91"/>
      <c r="G53" s="99"/>
      <c r="H53" s="99"/>
    </row>
    <row r="54" spans="1:10" x14ac:dyDescent="0.2">
      <c r="B54" s="111"/>
      <c r="C54" s="59" t="s">
        <v>226</v>
      </c>
      <c r="D54" s="50"/>
      <c r="E54" s="50"/>
      <c r="F54" s="91"/>
      <c r="G54" s="99"/>
      <c r="H54" s="99"/>
    </row>
    <row r="55" spans="1:10" x14ac:dyDescent="0.2">
      <c r="B55" s="111"/>
      <c r="C55" s="91"/>
      <c r="D55" s="91"/>
      <c r="E55" s="91"/>
      <c r="F55" s="91"/>
      <c r="G55" s="135" t="s">
        <v>34</v>
      </c>
      <c r="H55" s="135" t="s">
        <v>35</v>
      </c>
    </row>
    <row r="56" spans="1:10" x14ac:dyDescent="0.2">
      <c r="A56" s="94"/>
      <c r="B56" s="94" t="s">
        <v>121</v>
      </c>
      <c r="E56" s="91"/>
      <c r="F56" s="125" t="s">
        <v>227</v>
      </c>
      <c r="G56" s="396">
        <v>108677132.81</v>
      </c>
      <c r="H56" s="104" t="s">
        <v>228</v>
      </c>
    </row>
    <row r="57" spans="1:10" x14ac:dyDescent="0.2">
      <c r="A57" s="94"/>
      <c r="B57" s="94" t="s">
        <v>123</v>
      </c>
      <c r="C57" s="151"/>
      <c r="E57" s="91"/>
      <c r="F57" s="125" t="s">
        <v>229</v>
      </c>
      <c r="G57" s="109">
        <f>E61</f>
        <v>23529615.574556775</v>
      </c>
      <c r="H57" s="399" t="str">
        <f>"Note 2, "&amp;B61&amp;""</f>
        <v>Note 2, d</v>
      </c>
    </row>
    <row r="58" spans="1:10" x14ac:dyDescent="0.2">
      <c r="A58" s="94"/>
      <c r="B58" s="94" t="s">
        <v>127</v>
      </c>
      <c r="F58" s="152" t="s">
        <v>230</v>
      </c>
      <c r="G58" s="149">
        <f>G56-G57</f>
        <v>85147517.235443234</v>
      </c>
    </row>
    <row r="59" spans="1:10" x14ac:dyDescent="0.2">
      <c r="A59" s="94"/>
      <c r="C59" s="59" t="s">
        <v>231</v>
      </c>
      <c r="D59" s="50"/>
      <c r="E59" s="50"/>
      <c r="G59" s="149"/>
    </row>
    <row r="60" spans="1:10" x14ac:dyDescent="0.2">
      <c r="A60" s="94"/>
      <c r="D60" s="97" t="s">
        <v>232</v>
      </c>
      <c r="E60" s="98" t="s">
        <v>34</v>
      </c>
      <c r="F60" s="402" t="s">
        <v>35</v>
      </c>
      <c r="G60" s="149"/>
    </row>
    <row r="61" spans="1:10" x14ac:dyDescent="0.2">
      <c r="A61" s="94"/>
      <c r="B61" s="94" t="s">
        <v>129</v>
      </c>
      <c r="D61" t="s">
        <v>233</v>
      </c>
      <c r="E61" s="58">
        <v>23529615.574556775</v>
      </c>
      <c r="F61" s="104" t="s">
        <v>234</v>
      </c>
      <c r="G61" s="101"/>
      <c r="I61" s="91"/>
    </row>
    <row r="62" spans="1:10" x14ac:dyDescent="0.2">
      <c r="A62" s="94"/>
      <c r="B62" s="99" t="s">
        <v>133</v>
      </c>
      <c r="C62" s="91"/>
      <c r="D62" s="102" t="s">
        <v>235</v>
      </c>
      <c r="E62" s="58">
        <v>11215512.300168265</v>
      </c>
      <c r="F62" s="104" t="s">
        <v>234</v>
      </c>
      <c r="G62" s="101"/>
      <c r="I62" s="62"/>
    </row>
    <row r="63" spans="1:10" x14ac:dyDescent="0.2">
      <c r="A63" s="94"/>
      <c r="B63" s="99" t="s">
        <v>136</v>
      </c>
      <c r="C63" s="91"/>
      <c r="D63" s="102" t="s">
        <v>236</v>
      </c>
      <c r="E63" s="358">
        <v>37246762.125275001</v>
      </c>
      <c r="F63" s="104" t="s">
        <v>234</v>
      </c>
      <c r="G63" s="101"/>
      <c r="I63" s="101"/>
    </row>
    <row r="64" spans="1:10" x14ac:dyDescent="0.2">
      <c r="A64" s="94"/>
      <c r="B64" s="99" t="s">
        <v>138</v>
      </c>
      <c r="C64" s="91"/>
      <c r="D64" s="125" t="s">
        <v>166</v>
      </c>
      <c r="E64" s="149">
        <f>SUM(E61:E63)</f>
        <v>71991890.000000045</v>
      </c>
      <c r="F64" s="104" t="str">
        <f>"Sum of "&amp;B61&amp;" to "&amp;B63&amp;""</f>
        <v>Sum of d to f</v>
      </c>
      <c r="G64" s="101"/>
      <c r="I64" s="91"/>
    </row>
    <row r="65" spans="1:10" x14ac:dyDescent="0.2">
      <c r="F65" s="91"/>
      <c r="G65" s="91"/>
    </row>
    <row r="66" spans="1:10" x14ac:dyDescent="0.2">
      <c r="B66" s="403" t="s">
        <v>237</v>
      </c>
      <c r="C66" s="164"/>
      <c r="D66" s="164"/>
      <c r="E66" s="164"/>
      <c r="F66" s="120"/>
      <c r="G66" s="120"/>
    </row>
    <row r="67" spans="1:10" x14ac:dyDescent="0.2">
      <c r="B67" s="164"/>
      <c r="C67" s="164"/>
      <c r="D67" s="164"/>
      <c r="E67" s="402" t="s">
        <v>34</v>
      </c>
      <c r="F67" s="404" t="s">
        <v>238</v>
      </c>
      <c r="G67" s="120"/>
    </row>
    <row r="68" spans="1:10" x14ac:dyDescent="0.2">
      <c r="A68" s="94"/>
      <c r="B68" s="165" t="s">
        <v>121</v>
      </c>
      <c r="C68" s="164"/>
      <c r="D68" s="405" t="s">
        <v>239</v>
      </c>
      <c r="E68" s="406">
        <v>40055779</v>
      </c>
      <c r="F68" s="407" t="s">
        <v>240</v>
      </c>
      <c r="G68" s="120"/>
    </row>
    <row r="69" spans="1:10" x14ac:dyDescent="0.2">
      <c r="A69" s="94"/>
      <c r="B69" s="165" t="s">
        <v>123</v>
      </c>
      <c r="C69" s="164"/>
      <c r="D69" s="405" t="s">
        <v>241</v>
      </c>
      <c r="E69" s="408">
        <v>20888240</v>
      </c>
      <c r="F69" s="407" t="s">
        <v>228</v>
      </c>
      <c r="G69" s="120"/>
    </row>
    <row r="70" spans="1:10" x14ac:dyDescent="0.2">
      <c r="A70" s="94"/>
      <c r="B70" s="165" t="s">
        <v>127</v>
      </c>
      <c r="C70" s="164"/>
      <c r="D70" s="405" t="s">
        <v>242</v>
      </c>
      <c r="E70" s="409">
        <f>E69-E68</f>
        <v>-19167539</v>
      </c>
      <c r="F70" s="410" t="str">
        <f>""&amp;B69&amp;" - "&amp;B68&amp;""</f>
        <v>b - a</v>
      </c>
      <c r="G70" s="164"/>
    </row>
    <row r="71" spans="1:10" x14ac:dyDescent="0.2">
      <c r="A71" s="94"/>
      <c r="B71" s="90" t="s">
        <v>243</v>
      </c>
      <c r="D71" s="152"/>
      <c r="E71" s="411"/>
      <c r="F71" s="399"/>
    </row>
    <row r="72" spans="1:10" x14ac:dyDescent="0.2">
      <c r="A72" s="94"/>
      <c r="B72" s="90"/>
      <c r="C72" t="str">
        <f>"Amount in Line "&amp;A44&amp;", column 2 equals amount in Line "&amp;A13&amp;", column 1 because all Franchise Requirements Expenses are excluded"</f>
        <v>Amount in Line 31, column 2 equals amount in Line 8, column 1 because all Franchise Requirements Expenses are excluded</v>
      </c>
      <c r="D72" s="152"/>
      <c r="E72" s="411"/>
      <c r="F72" s="399"/>
    </row>
    <row r="73" spans="1:10" x14ac:dyDescent="0.2">
      <c r="A73" s="94"/>
      <c r="B73" s="90"/>
      <c r="C73" s="151" t="s">
        <v>244</v>
      </c>
      <c r="D73" s="152"/>
      <c r="E73" s="411"/>
      <c r="F73" s="399"/>
    </row>
    <row r="75" spans="1:10" x14ac:dyDescent="0.2">
      <c r="B75" s="90" t="s">
        <v>109</v>
      </c>
    </row>
    <row r="76" spans="1:10" x14ac:dyDescent="0.2">
      <c r="C76" s="102" t="str">
        <f>"1) Enter amounts of A&amp;G expenses from FERC Form 1 in Lines "&amp;A6&amp;" to "&amp;A19&amp;"."</f>
        <v>1) Enter amounts of A&amp;G expenses from FERC Form 1 in Lines 1 to 14.</v>
      </c>
      <c r="D76" s="91"/>
      <c r="E76" s="91"/>
      <c r="F76" s="91"/>
      <c r="G76" s="91"/>
      <c r="H76" s="91"/>
      <c r="I76" s="91"/>
      <c r="J76" s="91"/>
    </row>
    <row r="77" spans="1:10" x14ac:dyDescent="0.2">
      <c r="C77" s="102" t="s">
        <v>245</v>
      </c>
      <c r="D77" s="91"/>
      <c r="E77" s="91"/>
      <c r="F77" s="91"/>
      <c r="G77" s="91" t="str">
        <f>"Column 3, Line "&amp;A37&amp;""</f>
        <v>Column 3, Line 24</v>
      </c>
      <c r="H77" s="91"/>
      <c r="I77" s="91"/>
      <c r="J77" s="91"/>
    </row>
    <row r="78" spans="1:10" x14ac:dyDescent="0.2">
      <c r="C78" s="104" t="str">
        <f>"is calculated in Note 2.  The PBOPs exclusion in Column 4, Line "&amp;A43&amp;" is calculated in Note 3."</f>
        <v>is calculated in Note 2.  The PBOPs exclusion in Column 4, Line 30 is calculated in Note 3.</v>
      </c>
      <c r="D78" s="91"/>
      <c r="E78" s="91"/>
      <c r="F78" s="91"/>
      <c r="G78" s="102"/>
      <c r="H78" s="91"/>
      <c r="I78" s="91"/>
      <c r="J78" s="91"/>
    </row>
    <row r="79" spans="1:10" x14ac:dyDescent="0.2">
      <c r="C79" s="104" t="s">
        <v>246</v>
      </c>
      <c r="D79" s="91"/>
      <c r="E79" s="91"/>
      <c r="F79" s="91"/>
      <c r="G79" s="91"/>
      <c r="H79" s="91"/>
      <c r="I79" s="91"/>
      <c r="J79" s="91"/>
    </row>
    <row r="80" spans="1:10" x14ac:dyDescent="0.2">
      <c r="C80" s="104" t="s">
        <v>247</v>
      </c>
      <c r="D80" s="125"/>
      <c r="E80" s="400"/>
      <c r="F80" s="104"/>
      <c r="G80" s="91"/>
      <c r="H80" s="91"/>
      <c r="I80" s="91"/>
      <c r="J80" s="91"/>
    </row>
    <row r="81" spans="3:10" x14ac:dyDescent="0.2">
      <c r="C81" s="104" t="s">
        <v>248</v>
      </c>
      <c r="D81" s="125"/>
      <c r="E81" s="400"/>
      <c r="F81" s="104"/>
      <c r="G81" s="91"/>
      <c r="H81" s="91"/>
      <c r="I81" s="91"/>
      <c r="J81" s="91"/>
    </row>
    <row r="82" spans="3:10" x14ac:dyDescent="0.2">
      <c r="C82" s="104" t="s">
        <v>249</v>
      </c>
      <c r="D82" s="91"/>
      <c r="E82" s="91"/>
      <c r="F82" s="91"/>
      <c r="G82" s="91"/>
      <c r="H82" s="91"/>
      <c r="I82" s="91"/>
      <c r="J82" s="91"/>
    </row>
    <row r="83" spans="3:10" x14ac:dyDescent="0.2">
      <c r="C83" s="104" t="s">
        <v>250</v>
      </c>
      <c r="D83" s="91"/>
      <c r="E83" s="91"/>
      <c r="F83" s="91"/>
      <c r="G83" s="91"/>
      <c r="H83" s="91"/>
      <c r="I83" s="91"/>
      <c r="J83" s="91"/>
    </row>
    <row r="84" spans="3:10" x14ac:dyDescent="0.2">
      <c r="C84" s="104" t="s">
        <v>251</v>
      </c>
      <c r="D84" s="91"/>
      <c r="E84" s="91"/>
      <c r="F84" s="91"/>
      <c r="G84" s="91"/>
      <c r="H84" s="91"/>
      <c r="I84" s="91"/>
      <c r="J84" s="91"/>
    </row>
    <row r="85" spans="3:10" x14ac:dyDescent="0.2">
      <c r="C85" s="104" t="s">
        <v>252</v>
      </c>
      <c r="D85" s="91"/>
      <c r="E85" s="91"/>
      <c r="F85" s="91"/>
      <c r="G85" s="91"/>
      <c r="H85" s="91"/>
      <c r="I85" s="91"/>
      <c r="J85" s="91"/>
    </row>
    <row r="86" spans="3:10" x14ac:dyDescent="0.2">
      <c r="C86" s="104" t="s">
        <v>253</v>
      </c>
      <c r="D86" s="91"/>
      <c r="E86" s="91"/>
      <c r="F86" s="91"/>
      <c r="G86" s="91"/>
      <c r="H86" s="91"/>
      <c r="I86" s="91"/>
      <c r="J86" s="91"/>
    </row>
    <row r="87" spans="3:10" x14ac:dyDescent="0.2">
      <c r="C87" s="104" t="s">
        <v>254</v>
      </c>
      <c r="D87" s="102"/>
      <c r="E87" s="412"/>
      <c r="F87" s="412"/>
      <c r="G87" s="412"/>
      <c r="H87" s="91"/>
      <c r="I87" s="91"/>
      <c r="J87" s="91"/>
    </row>
    <row r="88" spans="3:10" x14ac:dyDescent="0.2">
      <c r="C88" s="413" t="s">
        <v>255</v>
      </c>
      <c r="D88" s="102"/>
      <c r="E88" s="412"/>
      <c r="F88" s="412"/>
      <c r="G88" s="412"/>
      <c r="H88" s="91"/>
      <c r="I88" s="91"/>
      <c r="J88" s="91"/>
    </row>
    <row r="89" spans="3:10" x14ac:dyDescent="0.2">
      <c r="C89" s="413" t="s">
        <v>256</v>
      </c>
      <c r="D89" s="102"/>
      <c r="E89" s="412"/>
      <c r="F89" s="412"/>
      <c r="G89" s="412"/>
      <c r="H89" s="91"/>
      <c r="I89" s="91"/>
      <c r="J89" s="91"/>
    </row>
    <row r="90" spans="3:10" x14ac:dyDescent="0.2">
      <c r="C90" s="413" t="s">
        <v>257</v>
      </c>
      <c r="D90" s="102"/>
      <c r="E90" s="412"/>
      <c r="F90" s="412"/>
      <c r="G90" s="412"/>
      <c r="H90" s="91"/>
      <c r="I90" s="91"/>
      <c r="J90" s="91"/>
    </row>
    <row r="91" spans="3:10" x14ac:dyDescent="0.2">
      <c r="C91" s="104" t="s">
        <v>258</v>
      </c>
      <c r="D91" s="102"/>
      <c r="E91" s="412"/>
      <c r="F91" s="412"/>
      <c r="G91" s="412"/>
      <c r="H91" s="91"/>
      <c r="I91" s="91"/>
      <c r="J91" s="91"/>
    </row>
    <row r="92" spans="3:10" x14ac:dyDescent="0.2">
      <c r="C92" s="413" t="s">
        <v>259</v>
      </c>
      <c r="D92" s="102"/>
      <c r="E92" s="412"/>
      <c r="F92" s="412"/>
      <c r="G92" s="412"/>
      <c r="H92" s="91"/>
      <c r="I92" s="91"/>
      <c r="J92" s="91"/>
    </row>
    <row r="93" spans="3:10" x14ac:dyDescent="0.2">
      <c r="C93" s="413" t="s">
        <v>260</v>
      </c>
      <c r="D93" s="102"/>
      <c r="E93" s="412"/>
      <c r="F93" s="412"/>
      <c r="G93" s="412"/>
      <c r="H93" s="91"/>
      <c r="I93" s="91"/>
      <c r="J93" s="91"/>
    </row>
    <row r="94" spans="3:10" x14ac:dyDescent="0.2">
      <c r="C94" s="413" t="s">
        <v>261</v>
      </c>
      <c r="D94" s="102"/>
      <c r="E94" s="412"/>
      <c r="F94" s="412"/>
      <c r="G94" s="412"/>
      <c r="H94" s="91"/>
      <c r="I94" s="91"/>
      <c r="J94" s="91"/>
    </row>
    <row r="95" spans="3:10" x14ac:dyDescent="0.2">
      <c r="C95" s="413" t="s">
        <v>262</v>
      </c>
      <c r="D95" s="102"/>
      <c r="E95" s="412"/>
      <c r="F95" s="412"/>
      <c r="G95" s="412"/>
      <c r="H95" s="91"/>
      <c r="I95" s="91"/>
      <c r="J95" s="91"/>
    </row>
    <row r="96" spans="3:10" x14ac:dyDescent="0.2">
      <c r="C96" s="104" t="s">
        <v>263</v>
      </c>
      <c r="D96" s="102"/>
      <c r="E96" s="412"/>
      <c r="F96" s="412"/>
      <c r="G96" s="412"/>
      <c r="H96" s="412"/>
      <c r="I96" s="91"/>
      <c r="J96" s="91"/>
    </row>
    <row r="97" spans="3:10" x14ac:dyDescent="0.2">
      <c r="C97" s="413" t="s">
        <v>264</v>
      </c>
      <c r="D97" s="102"/>
      <c r="E97" s="412"/>
      <c r="F97" s="412"/>
      <c r="G97" s="412"/>
      <c r="H97" s="91"/>
      <c r="I97" s="91"/>
      <c r="J97" s="91"/>
    </row>
    <row r="98" spans="3:10" x14ac:dyDescent="0.2">
      <c r="C98" s="63" t="s">
        <v>265</v>
      </c>
      <c r="D98" s="102"/>
      <c r="E98" s="412"/>
      <c r="F98" s="412"/>
      <c r="G98" s="412"/>
      <c r="H98" s="91"/>
      <c r="I98" s="91"/>
      <c r="J98" s="91"/>
    </row>
    <row r="99" spans="3:10" x14ac:dyDescent="0.2">
      <c r="C99" s="63" t="s">
        <v>266</v>
      </c>
      <c r="D99" s="102"/>
      <c r="E99" s="412"/>
      <c r="F99" s="412"/>
      <c r="G99" s="412"/>
      <c r="H99" s="91"/>
      <c r="I99" s="91"/>
      <c r="J99" s="91"/>
    </row>
    <row r="100" spans="3:10" x14ac:dyDescent="0.2">
      <c r="C100" s="63" t="s">
        <v>267</v>
      </c>
      <c r="D100" s="102"/>
      <c r="E100" s="412"/>
      <c r="F100" s="412"/>
      <c r="G100" s="412"/>
      <c r="H100" s="91"/>
      <c r="I100" s="91"/>
      <c r="J100" s="91"/>
    </row>
    <row r="101" spans="3:10" x14ac:dyDescent="0.2">
      <c r="C101" s="63" t="s">
        <v>266</v>
      </c>
      <c r="D101" s="102"/>
      <c r="E101" s="412"/>
      <c r="F101" s="412"/>
      <c r="G101" s="412"/>
      <c r="H101" s="91"/>
      <c r="I101" s="91"/>
      <c r="J101" s="91"/>
    </row>
    <row r="102" spans="3:10" x14ac:dyDescent="0.2">
      <c r="C102" s="63" t="s">
        <v>268</v>
      </c>
      <c r="D102" s="102"/>
      <c r="E102" s="412"/>
      <c r="F102" s="412"/>
      <c r="G102" s="412"/>
      <c r="H102" s="91"/>
      <c r="I102" s="91"/>
      <c r="J102" s="91"/>
    </row>
    <row r="103" spans="3:10" x14ac:dyDescent="0.2">
      <c r="C103" s="413" t="s">
        <v>269</v>
      </c>
      <c r="D103" s="102"/>
      <c r="E103" s="412"/>
      <c r="F103" s="412"/>
      <c r="G103" s="412"/>
      <c r="H103" s="91"/>
      <c r="I103" s="91"/>
      <c r="J103" s="91"/>
    </row>
    <row r="104" spans="3:10" x14ac:dyDescent="0.2">
      <c r="C104" s="413" t="s">
        <v>270</v>
      </c>
      <c r="D104" s="102"/>
      <c r="E104" s="412"/>
      <c r="F104" s="412"/>
      <c r="G104" s="412"/>
      <c r="H104" s="91"/>
      <c r="I104" s="91"/>
      <c r="J104" s="91"/>
    </row>
    <row r="105" spans="3:10" x14ac:dyDescent="0.2">
      <c r="C105" s="64" t="s">
        <v>271</v>
      </c>
      <c r="D105" s="50"/>
      <c r="E105" s="50"/>
      <c r="F105" s="50"/>
      <c r="G105" s="50"/>
      <c r="H105" s="50"/>
      <c r="I105" s="50"/>
      <c r="J105" s="50"/>
    </row>
    <row r="106" spans="3:10" x14ac:dyDescent="0.2">
      <c r="C106" s="102" t="s">
        <v>272</v>
      </c>
      <c r="D106" s="91"/>
      <c r="E106" s="91"/>
      <c r="F106" s="91"/>
      <c r="G106" s="91"/>
      <c r="H106" s="91"/>
      <c r="I106" s="91"/>
      <c r="J106" s="91"/>
    </row>
    <row r="107" spans="3:10" x14ac:dyDescent="0.2">
      <c r="C107" s="64" t="s">
        <v>273</v>
      </c>
      <c r="D107" s="59"/>
      <c r="E107" s="59"/>
      <c r="F107" s="59"/>
      <c r="G107" s="59"/>
      <c r="H107" s="59"/>
      <c r="I107" s="59"/>
      <c r="J107" s="91"/>
    </row>
    <row r="108" spans="3:10" x14ac:dyDescent="0.2">
      <c r="C108" s="102" t="str">
        <f>"4) Determine the PBOPs exclusion.  The authorized amount of PBOPs expense (line "&amp;B68&amp;") may only be revised"</f>
        <v>4) Determine the PBOPs exclusion.  The authorized amount of PBOPs expense (line a) may only be revised</v>
      </c>
      <c r="D108" s="91"/>
      <c r="E108" s="91"/>
      <c r="F108" s="91"/>
      <c r="G108" s="91"/>
      <c r="H108" s="91"/>
      <c r="I108" s="91"/>
      <c r="J108" s="91"/>
    </row>
    <row r="109" spans="3:10" x14ac:dyDescent="0.2">
      <c r="C109" s="102" t="s">
        <v>274</v>
      </c>
      <c r="D109" s="91"/>
      <c r="E109" s="91"/>
      <c r="F109" s="91"/>
      <c r="G109" s="91"/>
      <c r="H109" s="91"/>
      <c r="I109" s="91"/>
      <c r="J109" s="91"/>
    </row>
    <row r="110" spans="3:10" x14ac:dyDescent="0.2">
      <c r="C110" s="102" t="s">
        <v>275</v>
      </c>
      <c r="D110" s="91"/>
      <c r="E110" s="91"/>
      <c r="F110" s="91"/>
      <c r="G110" s="91"/>
      <c r="H110" s="91"/>
      <c r="I110" s="91"/>
      <c r="J110" s="91"/>
    </row>
    <row r="111" spans="3:10" x14ac:dyDescent="0.2">
      <c r="C111" s="102" t="s">
        <v>276</v>
      </c>
      <c r="D111" s="91"/>
      <c r="E111" s="91"/>
      <c r="F111" s="91"/>
      <c r="G111" s="91"/>
      <c r="H111" s="91"/>
      <c r="I111" s="414" t="s">
        <v>311</v>
      </c>
      <c r="J111" s="415"/>
    </row>
    <row r="112" spans="3:10" x14ac:dyDescent="0.2">
      <c r="C112" s="102" t="s">
        <v>277</v>
      </c>
      <c r="D112" s="91"/>
      <c r="E112" s="91"/>
      <c r="F112" s="91"/>
      <c r="G112" s="91"/>
      <c r="H112" s="91"/>
      <c r="I112" s="91"/>
    </row>
  </sheetData>
  <pageMargins left="0.75" right="0.75" top="1" bottom="1" header="0.5" footer="0.5"/>
  <pageSetup scale="75" orientation="landscape" cellComments="asDisplayed" r:id="rId1"/>
  <headerFooter alignWithMargins="0">
    <oddHeader>&amp;CSchedule 20
Administrative and General Expenses
(Revised 2016 True Up TRR)&amp;RTO2020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3CC2A-71A0-433F-BBCF-EFCBE4A8317B}">
  <dimension ref="A2:H16"/>
  <sheetViews>
    <sheetView zoomScaleNormal="100" workbookViewId="0">
      <selection activeCell="D11" sqref="D11"/>
    </sheetView>
  </sheetViews>
  <sheetFormatPr defaultColWidth="9.140625" defaultRowHeight="15" x14ac:dyDescent="0.25"/>
  <cols>
    <col min="1" max="2" width="9.140625" style="416"/>
    <col min="3" max="3" width="17.85546875" style="416" customWidth="1"/>
    <col min="4" max="4" width="14.28515625" style="416" bestFit="1" customWidth="1"/>
    <col min="5" max="6" width="9.140625" style="416"/>
    <col min="7" max="7" width="13.85546875" style="416" customWidth="1"/>
    <col min="8" max="16384" width="9.140625" style="416"/>
  </cols>
  <sheetData>
    <row r="2" spans="1:8" ht="21" customHeight="1" x14ac:dyDescent="0.25"/>
    <row r="3" spans="1:8" ht="15" customHeight="1" x14ac:dyDescent="0.25">
      <c r="A3" s="559" t="s">
        <v>891</v>
      </c>
      <c r="B3" s="559"/>
      <c r="C3" s="559"/>
      <c r="D3" s="559"/>
      <c r="E3" s="559"/>
      <c r="F3" s="559"/>
      <c r="G3" s="559"/>
    </row>
    <row r="4" spans="1:8" ht="15" customHeight="1" x14ac:dyDescent="0.25">
      <c r="A4" s="559"/>
      <c r="B4" s="559"/>
      <c r="C4" s="559"/>
      <c r="D4" s="559"/>
      <c r="E4" s="559"/>
      <c r="F4" s="559"/>
      <c r="G4" s="559"/>
    </row>
    <row r="5" spans="1:8" x14ac:dyDescent="0.25">
      <c r="A5" s="560" t="s">
        <v>33</v>
      </c>
      <c r="B5" s="560"/>
      <c r="C5" s="560"/>
      <c r="D5" s="377" t="s">
        <v>34</v>
      </c>
      <c r="E5" s="561" t="s">
        <v>35</v>
      </c>
      <c r="F5" s="561"/>
      <c r="G5" s="561"/>
      <c r="H5" s="417"/>
    </row>
    <row r="6" spans="1:8" ht="47.25" customHeight="1" x14ac:dyDescent="0.25">
      <c r="A6" s="568" t="s">
        <v>892</v>
      </c>
      <c r="B6" s="569"/>
      <c r="C6" s="570"/>
      <c r="D6" s="418">
        <f>'[15]WP-2017 Sch4-TUTRR'!J71</f>
        <v>1014525809.0326087</v>
      </c>
      <c r="E6" s="571" t="s">
        <v>893</v>
      </c>
      <c r="F6" s="572"/>
      <c r="G6" s="573"/>
    </row>
    <row r="7" spans="1:8" ht="50.25" customHeight="1" x14ac:dyDescent="0.25">
      <c r="A7" s="564" t="s">
        <v>894</v>
      </c>
      <c r="B7" s="565"/>
      <c r="C7" s="566"/>
      <c r="D7" s="419">
        <f>'[15]WP-2017 Sch4-TUTRR'!E73</f>
        <v>1014519565.1585541</v>
      </c>
      <c r="E7" s="575" t="s">
        <v>993</v>
      </c>
      <c r="F7" s="567"/>
      <c r="G7" s="567"/>
    </row>
    <row r="8" spans="1:8" x14ac:dyDescent="0.25">
      <c r="A8" s="551" t="s">
        <v>36</v>
      </c>
      <c r="B8" s="551"/>
      <c r="C8" s="552"/>
      <c r="D8" s="420">
        <f>D7-D6</f>
        <v>-6243.8740546703339</v>
      </c>
      <c r="E8" s="562"/>
      <c r="F8" s="562"/>
      <c r="G8" s="563"/>
    </row>
    <row r="11" spans="1:8" x14ac:dyDescent="0.25">
      <c r="A11" s="376" t="s">
        <v>284</v>
      </c>
    </row>
    <row r="12" spans="1:8" ht="15" customHeight="1" x14ac:dyDescent="0.25">
      <c r="A12" s="554" t="s">
        <v>895</v>
      </c>
      <c r="B12" s="554"/>
      <c r="C12" s="554"/>
      <c r="D12" s="554"/>
      <c r="E12" s="554"/>
      <c r="F12" s="554"/>
      <c r="G12" s="554"/>
      <c r="H12" s="554"/>
    </row>
    <row r="13" spans="1:8" ht="15" customHeight="1" x14ac:dyDescent="0.25">
      <c r="A13" s="376" t="s">
        <v>896</v>
      </c>
      <c r="B13" s="376"/>
      <c r="C13" s="376"/>
      <c r="D13" s="376"/>
      <c r="E13" s="376"/>
      <c r="F13" s="376"/>
      <c r="G13" s="376"/>
      <c r="H13" s="376"/>
    </row>
    <row r="14" spans="1:8" ht="15" customHeight="1" x14ac:dyDescent="0.25">
      <c r="A14" s="554"/>
      <c r="B14" s="554"/>
      <c r="C14" s="554"/>
      <c r="D14" s="554"/>
      <c r="E14" s="554"/>
      <c r="F14" s="554"/>
      <c r="G14" s="554"/>
      <c r="H14" s="554"/>
    </row>
    <row r="15" spans="1:8" x14ac:dyDescent="0.25">
      <c r="A15" s="376"/>
      <c r="B15" s="376"/>
      <c r="C15" s="376"/>
      <c r="D15" s="376"/>
      <c r="E15" s="376"/>
      <c r="F15" s="376"/>
      <c r="G15" s="376"/>
      <c r="H15" s="376"/>
    </row>
    <row r="16" spans="1:8" ht="15" customHeight="1" x14ac:dyDescent="0.25">
      <c r="A16" s="554"/>
      <c r="B16" s="554"/>
      <c r="C16" s="554"/>
      <c r="D16" s="554"/>
      <c r="E16" s="554"/>
      <c r="F16" s="554"/>
      <c r="G16" s="554"/>
      <c r="H16" s="554"/>
    </row>
  </sheetData>
  <mergeCells count="12">
    <mergeCell ref="A7:C7"/>
    <mergeCell ref="E7:G7"/>
    <mergeCell ref="A3:G4"/>
    <mergeCell ref="A5:C5"/>
    <mergeCell ref="E5:G5"/>
    <mergeCell ref="A6:C6"/>
    <mergeCell ref="E6:G6"/>
    <mergeCell ref="A8:C8"/>
    <mergeCell ref="E8:G8"/>
    <mergeCell ref="A12:H12"/>
    <mergeCell ref="A14:H14"/>
    <mergeCell ref="A16:H16"/>
  </mergeCells>
  <printOptions horizontalCentered="1"/>
  <pageMargins left="0.7" right="0.7" top="0.75" bottom="0.75" header="0.3" footer="0.3"/>
  <pageSetup orientation="portrait" r:id="rId1"/>
  <headerFooter>
    <oddHeader>&amp;RTO2020 Annual Update
Attachment 4
WP-Schedule 3-One Time Adj Prior Period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DE4C7-E878-43D0-A1D1-1956F27F2884}">
  <dimension ref="A1:L172"/>
  <sheetViews>
    <sheetView topLeftCell="A55" zoomScale="120" zoomScaleNormal="12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90" t="s">
        <v>38</v>
      </c>
    </row>
    <row r="2" spans="1:10" x14ac:dyDescent="0.2">
      <c r="H2" s="91"/>
    </row>
    <row r="3" spans="1:10" x14ac:dyDescent="0.2">
      <c r="B3" s="92" t="s">
        <v>39</v>
      </c>
    </row>
    <row r="4" spans="1:10" x14ac:dyDescent="0.2">
      <c r="B4" s="93"/>
      <c r="F4" s="94" t="s">
        <v>40</v>
      </c>
      <c r="G4" s="94"/>
      <c r="H4" s="94" t="s">
        <v>41</v>
      </c>
    </row>
    <row r="5" spans="1:10" x14ac:dyDescent="0.2">
      <c r="A5" s="95" t="s">
        <v>42</v>
      </c>
      <c r="B5" s="96"/>
      <c r="C5" s="97" t="s">
        <v>43</v>
      </c>
      <c r="F5" s="98" t="s">
        <v>44</v>
      </c>
      <c r="G5" s="98" t="s">
        <v>45</v>
      </c>
      <c r="H5" s="98" t="s">
        <v>46</v>
      </c>
      <c r="J5" s="98" t="s">
        <v>34</v>
      </c>
    </row>
    <row r="6" spans="1:10" x14ac:dyDescent="0.2">
      <c r="A6" s="99">
        <v>1</v>
      </c>
      <c r="B6" s="91"/>
      <c r="C6" s="100" t="s">
        <v>47</v>
      </c>
      <c r="D6" s="91"/>
      <c r="E6" s="91"/>
      <c r="F6" s="91" t="s">
        <v>48</v>
      </c>
      <c r="G6" s="91"/>
      <c r="H6" s="100" t="str">
        <f>"6-PlantInService, Line "&amp;'[17]6-PlantInService'!A42&amp;""</f>
        <v>6-PlantInService, Line 18</v>
      </c>
      <c r="I6" s="91"/>
      <c r="J6" s="101">
        <f>'[17]6-PlantInService'!D42</f>
        <v>8389794318.0711689</v>
      </c>
    </row>
    <row r="7" spans="1:10" x14ac:dyDescent="0.2">
      <c r="A7" s="99">
        <f>A6+1</f>
        <v>2</v>
      </c>
      <c r="B7" s="91"/>
      <c r="C7" s="100" t="s">
        <v>49</v>
      </c>
      <c r="D7" s="91"/>
      <c r="E7" s="91"/>
      <c r="F7" s="91" t="s">
        <v>50</v>
      </c>
      <c r="G7" s="91"/>
      <c r="H7" s="100" t="str">
        <f>"6-PlantInService, Line "&amp;'[17]6-PlantInService'!A58&amp;""</f>
        <v>6-PlantInService, Line 24</v>
      </c>
      <c r="I7" s="91"/>
      <c r="J7" s="101">
        <f>'[17]6-PlantInService'!F58</f>
        <v>252097756.36140126</v>
      </c>
    </row>
    <row r="8" spans="1:10" x14ac:dyDescent="0.2">
      <c r="A8" s="99">
        <f>A7+1</f>
        <v>3</v>
      </c>
      <c r="B8" s="91"/>
      <c r="C8" s="100" t="s">
        <v>51</v>
      </c>
      <c r="D8" s="91"/>
      <c r="E8" s="91"/>
      <c r="F8" s="91" t="s">
        <v>50</v>
      </c>
      <c r="G8" s="91"/>
      <c r="H8" s="91" t="str">
        <f>"11-PHFU, Line "&amp;'[17]11-PHFU'!A41&amp;""</f>
        <v>11-PHFU, Line 9</v>
      </c>
      <c r="I8" s="91"/>
      <c r="J8" s="101">
        <f>'[17]11-PHFU'!D41</f>
        <v>9942155</v>
      </c>
    </row>
    <row r="9" spans="1:10" x14ac:dyDescent="0.2">
      <c r="A9" s="99">
        <f>A8+1</f>
        <v>4</v>
      </c>
      <c r="B9" s="91"/>
      <c r="C9" s="100" t="s">
        <v>52</v>
      </c>
      <c r="D9" s="91"/>
      <c r="E9" s="91"/>
      <c r="F9" s="91" t="s">
        <v>50</v>
      </c>
      <c r="G9" s="91"/>
      <c r="H9" s="102" t="str">
        <f>"12-AbandonedPlant Line "&amp;'[17]12-AbandonedPlant'!A21&amp;""</f>
        <v>12-AbandonedPlant Line 4</v>
      </c>
      <c r="I9" s="91"/>
      <c r="J9" s="101">
        <f>'[17]12-AbandonedPlant'!G21</f>
        <v>0</v>
      </c>
    </row>
    <row r="10" spans="1:10" x14ac:dyDescent="0.2">
      <c r="A10" s="99"/>
      <c r="B10" s="91"/>
      <c r="C10" s="100"/>
      <c r="D10" s="91"/>
      <c r="E10" s="91"/>
      <c r="F10" s="91"/>
      <c r="G10" s="91"/>
      <c r="H10" s="91"/>
      <c r="I10" s="91"/>
      <c r="J10" s="101"/>
    </row>
    <row r="11" spans="1:10" x14ac:dyDescent="0.2">
      <c r="A11" s="99"/>
      <c r="B11" s="91"/>
      <c r="C11" s="103" t="s">
        <v>53</v>
      </c>
      <c r="D11" s="91"/>
      <c r="E11" s="91"/>
      <c r="F11" s="91"/>
      <c r="G11" s="91"/>
      <c r="H11" s="91"/>
      <c r="I11" s="91"/>
      <c r="J11" s="101"/>
    </row>
    <row r="12" spans="1:10" x14ac:dyDescent="0.2">
      <c r="A12" s="99">
        <f>A9+1</f>
        <v>5</v>
      </c>
      <c r="B12" s="91"/>
      <c r="C12" s="104" t="s">
        <v>54</v>
      </c>
      <c r="D12" s="91"/>
      <c r="E12" s="91"/>
      <c r="F12" s="91" t="s">
        <v>48</v>
      </c>
      <c r="G12" s="91"/>
      <c r="H12" s="100" t="str">
        <f>"13-WorkCap, Line "&amp;'[17]13-WorkCap'!A27&amp;""</f>
        <v>13-WorkCap, Line 17</v>
      </c>
      <c r="I12" s="91"/>
      <c r="J12" s="101">
        <f>'[17]13-WorkCap'!F27</f>
        <v>13057096.81033094</v>
      </c>
    </row>
    <row r="13" spans="1:10" x14ac:dyDescent="0.2">
      <c r="A13" s="99">
        <f>A12+1</f>
        <v>6</v>
      </c>
      <c r="B13" s="91"/>
      <c r="C13" s="105" t="s">
        <v>55</v>
      </c>
      <c r="D13" s="91"/>
      <c r="E13" s="91"/>
      <c r="F13" s="91" t="s">
        <v>48</v>
      </c>
      <c r="G13" s="91"/>
      <c r="H13" s="100" t="str">
        <f>"13-WorkCap, Line "&amp;'[17]13-WorkCap'!A51&amp;""</f>
        <v>13-WorkCap, Line 33</v>
      </c>
      <c r="I13" s="91"/>
      <c r="J13" s="101">
        <f>'[17]13-WorkCap'!F51</f>
        <v>10647092.7937865</v>
      </c>
    </row>
    <row r="14" spans="1:10" x14ac:dyDescent="0.2">
      <c r="A14" s="99">
        <f>A13+1</f>
        <v>7</v>
      </c>
      <c r="B14" s="91"/>
      <c r="C14" s="104" t="s">
        <v>56</v>
      </c>
      <c r="D14" s="91"/>
      <c r="E14" s="91"/>
      <c r="F14" s="102" t="s">
        <v>57</v>
      </c>
      <c r="G14" s="91"/>
      <c r="H14" s="91" t="str">
        <f>"1-Base TRR Line "&amp;'[17]1-BaseTRR'!A17&amp;""</f>
        <v>1-Base TRR Line 7</v>
      </c>
      <c r="I14" s="91"/>
      <c r="J14" s="106">
        <f>'[17]1-BaseTRR'!K17</f>
        <v>7824776.9862349145</v>
      </c>
    </row>
    <row r="15" spans="1:10" x14ac:dyDescent="0.2">
      <c r="A15" s="99">
        <f>A14+1</f>
        <v>8</v>
      </c>
      <c r="B15" s="91"/>
      <c r="C15" s="104" t="s">
        <v>58</v>
      </c>
      <c r="D15" s="91"/>
      <c r="E15" s="91"/>
      <c r="F15" s="91"/>
      <c r="G15" s="91"/>
      <c r="H15" s="91" t="str">
        <f>"Line "&amp;A12&amp;" + Line "&amp;A13&amp;" + Line "&amp;A14&amp;""</f>
        <v>Line 5 + Line 6 + Line 7</v>
      </c>
      <c r="I15" s="91"/>
      <c r="J15" s="107">
        <f>SUM(J12:J14)</f>
        <v>31528966.590352353</v>
      </c>
    </row>
    <row r="16" spans="1:10" x14ac:dyDescent="0.2">
      <c r="A16" s="99"/>
      <c r="B16" s="91"/>
      <c r="C16" s="104"/>
      <c r="D16" s="91"/>
      <c r="E16" s="91"/>
      <c r="F16" s="91"/>
      <c r="G16" s="91"/>
      <c r="H16" s="91"/>
      <c r="I16" s="91"/>
      <c r="J16" s="101"/>
    </row>
    <row r="17" spans="1:10" x14ac:dyDescent="0.2">
      <c r="A17" s="99"/>
      <c r="B17" s="91"/>
      <c r="C17" s="108" t="s">
        <v>59</v>
      </c>
      <c r="D17" s="91"/>
      <c r="E17" s="91"/>
      <c r="F17" s="91"/>
      <c r="G17" s="91"/>
      <c r="H17" s="91"/>
      <c r="I17" s="91"/>
      <c r="J17" s="101"/>
    </row>
    <row r="18" spans="1:10" x14ac:dyDescent="0.2">
      <c r="A18" s="99">
        <f>A15+1</f>
        <v>9</v>
      </c>
      <c r="B18" s="91"/>
      <c r="C18" s="104" t="s">
        <v>60</v>
      </c>
      <c r="D18" s="91"/>
      <c r="E18" s="91"/>
      <c r="F18" s="91" t="s">
        <v>48</v>
      </c>
      <c r="G18" s="91" t="s">
        <v>61</v>
      </c>
      <c r="H18" s="100" t="str">
        <f>"8-AccDep, Line "&amp;'[17]8-AccDep'!A25&amp;", Col. 12"</f>
        <v>8-AccDep, Line 14, Col. 12</v>
      </c>
      <c r="I18" s="91"/>
      <c r="J18" s="101">
        <f>-'[17]8-AccDep'!N25</f>
        <v>-1549914566.8389716</v>
      </c>
    </row>
    <row r="19" spans="1:10" x14ac:dyDescent="0.2">
      <c r="A19" s="99">
        <f>A18+1</f>
        <v>10</v>
      </c>
      <c r="B19" s="91"/>
      <c r="C19" s="104" t="s">
        <v>62</v>
      </c>
      <c r="D19" s="91"/>
      <c r="E19" s="91"/>
      <c r="F19" s="91" t="s">
        <v>50</v>
      </c>
      <c r="G19" s="91" t="s">
        <v>61</v>
      </c>
      <c r="H19" s="100" t="str">
        <f>"8-AccDep, Line "&amp;'[17]8-AccDep'!A35&amp;", Col. 5"</f>
        <v>8-AccDep, Line 17, Col. 5</v>
      </c>
      <c r="I19" s="91"/>
      <c r="J19" s="101">
        <f>-'[17]8-AccDep'!G35</f>
        <v>0</v>
      </c>
    </row>
    <row r="20" spans="1:10" x14ac:dyDescent="0.2">
      <c r="A20" s="99">
        <f>A19+1</f>
        <v>11</v>
      </c>
      <c r="B20" s="91"/>
      <c r="C20" s="104" t="s">
        <v>63</v>
      </c>
      <c r="D20" s="46"/>
      <c r="E20" s="91"/>
      <c r="F20" s="91" t="s">
        <v>50</v>
      </c>
      <c r="G20" s="91" t="s">
        <v>61</v>
      </c>
      <c r="H20" s="100" t="str">
        <f>"8-AccDep, Line "&amp;'[17]8-AccDep'!A53&amp;""</f>
        <v>8-AccDep, Line 23</v>
      </c>
      <c r="I20" s="91"/>
      <c r="J20" s="109">
        <f>-'[17]8-AccDep'!F53</f>
        <v>-102849091.48355895</v>
      </c>
    </row>
    <row r="21" spans="1:10" x14ac:dyDescent="0.2">
      <c r="A21" s="99">
        <f>A20+1</f>
        <v>12</v>
      </c>
      <c r="B21" s="91"/>
      <c r="C21" s="47" t="s">
        <v>64</v>
      </c>
      <c r="D21" s="46"/>
      <c r="E21" s="91"/>
      <c r="F21" s="91"/>
      <c r="G21" s="91"/>
      <c r="H21" s="91" t="str">
        <f>"Line "&amp;A18&amp;" + Line "&amp;A19&amp;" + Line "&amp;A20&amp;""</f>
        <v>Line 9 + Line 10 + Line 11</v>
      </c>
      <c r="I21" s="91"/>
      <c r="J21" s="101">
        <f>SUM(J18:J20)</f>
        <v>-1652763658.3225305</v>
      </c>
    </row>
    <row r="22" spans="1:10" x14ac:dyDescent="0.2">
      <c r="A22" s="99"/>
      <c r="B22" s="91"/>
      <c r="C22" s="102"/>
      <c r="D22" s="91"/>
      <c r="E22" s="91"/>
      <c r="F22" s="91"/>
      <c r="G22" s="91"/>
      <c r="H22" s="91"/>
      <c r="I22" s="91"/>
      <c r="J22" s="101"/>
    </row>
    <row r="23" spans="1:10" x14ac:dyDescent="0.2">
      <c r="A23" s="99">
        <f>A21+1</f>
        <v>13</v>
      </c>
      <c r="B23" s="91"/>
      <c r="C23" s="110" t="s">
        <v>65</v>
      </c>
      <c r="D23" s="91"/>
      <c r="E23" s="91"/>
      <c r="F23" s="91" t="s">
        <v>50</v>
      </c>
      <c r="G23" s="91"/>
      <c r="H23" s="100" t="str">
        <f>"9-ADIT, Line "&amp;'[17]9-ADIT'!A24&amp;""</f>
        <v>9-ADIT, Line 15</v>
      </c>
      <c r="I23" s="91"/>
      <c r="J23" s="101">
        <f>'[17]9-ADIT'!D24</f>
        <v>-1600478571.7718422</v>
      </c>
    </row>
    <row r="24" spans="1:10" x14ac:dyDescent="0.2">
      <c r="A24" s="99">
        <f>A23+1</f>
        <v>14</v>
      </c>
      <c r="B24" s="91"/>
      <c r="C24" s="100" t="s">
        <v>66</v>
      </c>
      <c r="D24" s="91"/>
      <c r="E24" s="91"/>
      <c r="F24" s="91" t="s">
        <v>48</v>
      </c>
      <c r="G24" s="91"/>
      <c r="H24" s="100" t="str">
        <f>"14-IncentivePlant, L "&amp;'[17]14-IncentivePlant'!A38&amp;", C2"</f>
        <v>14-IncentivePlant, L 13, C2</v>
      </c>
      <c r="I24" s="91"/>
      <c r="J24" s="107">
        <f>'[17]14-IncentivePlant'!F38</f>
        <v>106414658.18538462</v>
      </c>
    </row>
    <row r="25" spans="1:10" x14ac:dyDescent="0.2">
      <c r="A25" s="99">
        <f>A24+1</f>
        <v>15</v>
      </c>
      <c r="B25" s="91"/>
      <c r="C25" s="110" t="s">
        <v>67</v>
      </c>
      <c r="D25" s="91"/>
      <c r="E25" s="91"/>
      <c r="F25" s="91" t="s">
        <v>50</v>
      </c>
      <c r="G25" s="91" t="s">
        <v>61</v>
      </c>
      <c r="H25" s="100" t="str">
        <f>"22-NUCs, Line "&amp;'[17]22-NUCs'!A17&amp;""</f>
        <v>22-NUCs, Line 9</v>
      </c>
      <c r="I25" s="91"/>
      <c r="J25" s="101">
        <f>-'[17]22-NUCs'!E17</f>
        <v>-106562330.36</v>
      </c>
    </row>
    <row r="26" spans="1:10" x14ac:dyDescent="0.2">
      <c r="A26" s="99" t="s">
        <v>68</v>
      </c>
      <c r="B26" s="91"/>
      <c r="C26" s="100" t="s">
        <v>69</v>
      </c>
      <c r="D26" s="91"/>
      <c r="E26" s="91"/>
      <c r="F26" s="91"/>
      <c r="G26" s="91"/>
      <c r="H26" s="102" t="str">
        <f>"34-UnfundedReserves, Line "&amp;'[17]34-UnfundedReserves'!A10&amp;""</f>
        <v>34-UnfundedReserves, Line 7</v>
      </c>
      <c r="I26" s="91"/>
      <c r="J26" s="101">
        <f>'[17]34-UnfundedReserves'!K10</f>
        <v>-10165090.793968515</v>
      </c>
    </row>
    <row r="27" spans="1:10" x14ac:dyDescent="0.2">
      <c r="A27" s="99">
        <v>16</v>
      </c>
      <c r="B27" s="91"/>
      <c r="C27" s="110" t="s">
        <v>70</v>
      </c>
      <c r="D27" s="91"/>
      <c r="E27" s="91"/>
      <c r="F27" s="91" t="s">
        <v>50</v>
      </c>
      <c r="G27" s="91"/>
      <c r="H27" s="100" t="str">
        <f>"23-RegAssets, Line "&amp;'[17]23-RegAssets'!A18&amp;""</f>
        <v>23-RegAssets, Line 15</v>
      </c>
      <c r="I27" s="91"/>
      <c r="J27" s="101">
        <f>'[17]23-RegAssets'!E18</f>
        <v>0</v>
      </c>
    </row>
    <row r="28" spans="1:10" x14ac:dyDescent="0.2">
      <c r="A28" s="99"/>
      <c r="B28" s="91"/>
      <c r="C28" s="110"/>
      <c r="D28" s="91"/>
      <c r="E28" s="91"/>
      <c r="F28" s="91"/>
      <c r="G28" s="91"/>
      <c r="H28" s="91"/>
      <c r="I28" s="91"/>
      <c r="J28" s="91"/>
    </row>
    <row r="29" spans="1:10" x14ac:dyDescent="0.2">
      <c r="A29" s="99">
        <v>17</v>
      </c>
      <c r="B29" s="91"/>
      <c r="C29" s="91" t="s">
        <v>71</v>
      </c>
      <c r="D29" s="91"/>
      <c r="E29" s="91"/>
      <c r="F29" s="91"/>
      <c r="G29" s="91"/>
      <c r="H29" s="91" t="str">
        <f>"L"&amp;A6&amp;"+L"&amp;A7&amp;"+L"&amp;A8&amp;"+L"&amp;A9&amp;"+L"&amp;A15&amp;"+L"&amp;A21&amp;"+"</f>
        <v>L1+L2+L3+L4+L8+L12+</v>
      </c>
      <c r="I29" s="91"/>
      <c r="J29" s="107">
        <f>J6+ J7+J8+J9+J15+J21+J23+J24+J25+J26+J27</f>
        <v>5419808202.9599667</v>
      </c>
    </row>
    <row r="30" spans="1:10" x14ac:dyDescent="0.2">
      <c r="A30" s="99"/>
      <c r="B30" s="91"/>
      <c r="C30" s="91"/>
      <c r="D30" s="91"/>
      <c r="E30" s="91"/>
      <c r="F30" s="91"/>
      <c r="G30" s="91"/>
      <c r="H30" s="91" t="str">
        <f>"L"&amp;A23&amp;"+L"&amp;A24&amp;"+L"&amp;A25&amp;"+L"&amp;A26&amp;"+L"&amp;A27&amp;""</f>
        <v>L13+L14+L15+L15a+L16</v>
      </c>
      <c r="I30" s="91"/>
      <c r="J30" s="101"/>
    </row>
    <row r="31" spans="1:10" x14ac:dyDescent="0.2">
      <c r="A31" s="99"/>
      <c r="B31" s="111" t="s">
        <v>72</v>
      </c>
      <c r="D31" s="91"/>
      <c r="E31" s="91"/>
      <c r="F31" s="91"/>
      <c r="G31" s="91"/>
      <c r="H31" s="91"/>
      <c r="I31" s="91"/>
      <c r="J31" s="101"/>
    </row>
    <row r="32" spans="1:10" x14ac:dyDescent="0.2">
      <c r="A32" s="112" t="s">
        <v>42</v>
      </c>
      <c r="B32" s="91"/>
      <c r="C32" s="111"/>
      <c r="D32" s="91"/>
      <c r="E32" s="91"/>
      <c r="F32" s="91"/>
      <c r="G32" s="91"/>
      <c r="H32" s="91"/>
      <c r="I32" s="91"/>
      <c r="J32" s="101"/>
    </row>
    <row r="33" spans="1:10" x14ac:dyDescent="0.2">
      <c r="A33" s="99">
        <f>A29+1</f>
        <v>18</v>
      </c>
      <c r="B33" s="91"/>
      <c r="C33" s="91" t="s">
        <v>73</v>
      </c>
      <c r="D33" s="91"/>
      <c r="E33" s="91"/>
      <c r="F33" s="91"/>
      <c r="G33" s="102" t="s">
        <v>74</v>
      </c>
      <c r="H33" s="102" t="str">
        <f>"Instruction 1, Line "&amp;B98&amp;""</f>
        <v>Instruction 1, Line j</v>
      </c>
      <c r="I33" s="91"/>
      <c r="J33" s="113">
        <f>E98</f>
        <v>7.2499706024635166E-2</v>
      </c>
    </row>
    <row r="34" spans="1:10" x14ac:dyDescent="0.2">
      <c r="A34" s="94">
        <f>A33+1</f>
        <v>19</v>
      </c>
      <c r="C34" s="102" t="s">
        <v>75</v>
      </c>
      <c r="D34" s="102"/>
      <c r="E34" s="102"/>
      <c r="F34" s="102"/>
      <c r="G34" s="102"/>
      <c r="H34" t="str">
        <f>"Line "&amp;A29&amp;" * Line "&amp;A33&amp;""</f>
        <v>Line 17 * Line 18</v>
      </c>
      <c r="J34" s="114">
        <f>J29*J33</f>
        <v>392934501.4245038</v>
      </c>
    </row>
    <row r="35" spans="1:10" x14ac:dyDescent="0.2">
      <c r="A35" s="94"/>
      <c r="B35" s="96"/>
    </row>
    <row r="36" spans="1:10" x14ac:dyDescent="0.2">
      <c r="A36" s="94"/>
      <c r="B36" s="90" t="s">
        <v>76</v>
      </c>
    </row>
    <row r="37" spans="1:10" x14ac:dyDescent="0.2">
      <c r="A37" s="99"/>
      <c r="B37" s="105"/>
      <c r="C37" s="91"/>
      <c r="D37" s="91"/>
      <c r="E37" s="91"/>
      <c r="F37" s="91"/>
      <c r="G37" s="91"/>
      <c r="H37" s="91"/>
      <c r="I37" s="91"/>
      <c r="J37" s="91"/>
    </row>
    <row r="38" spans="1:10" x14ac:dyDescent="0.2">
      <c r="A38" s="99">
        <f>A34+1</f>
        <v>20</v>
      </c>
      <c r="B38" s="91"/>
      <c r="C38" s="102" t="s">
        <v>77</v>
      </c>
      <c r="D38" s="91"/>
      <c r="E38" s="91"/>
      <c r="F38" s="91"/>
      <c r="G38" s="91"/>
      <c r="H38" s="91"/>
      <c r="I38" s="91"/>
      <c r="J38" s="107">
        <f>(((J29*J42) + J45) *(J43/(1-J43)))+(J44/(1-J43))</f>
        <v>201958887.14049453</v>
      </c>
    </row>
    <row r="39" spans="1:10" x14ac:dyDescent="0.2">
      <c r="A39" s="99"/>
      <c r="B39" s="91"/>
      <c r="C39" s="91"/>
      <c r="D39" s="91"/>
      <c r="E39" s="91"/>
      <c r="F39" s="91"/>
      <c r="G39" s="91"/>
      <c r="H39" s="91"/>
      <c r="I39" s="91"/>
      <c r="J39" s="102"/>
    </row>
    <row r="40" spans="1:10" x14ac:dyDescent="0.2">
      <c r="A40" s="99"/>
      <c r="B40" s="91"/>
      <c r="C40" s="91"/>
      <c r="D40" s="91" t="s">
        <v>78</v>
      </c>
      <c r="E40" s="91"/>
      <c r="F40" s="91"/>
      <c r="G40" s="91"/>
      <c r="H40" s="91"/>
      <c r="I40" s="91"/>
      <c r="J40" s="91"/>
    </row>
    <row r="41" spans="1:10" x14ac:dyDescent="0.2">
      <c r="A41" s="99">
        <f>A38+1</f>
        <v>21</v>
      </c>
      <c r="B41" s="91"/>
      <c r="C41" s="91"/>
      <c r="D41" s="105" t="s">
        <v>79</v>
      </c>
      <c r="E41" s="91"/>
      <c r="F41" s="91"/>
      <c r="G41" s="91"/>
      <c r="H41" s="91" t="str">
        <f>"Line "&amp;A29&amp;""</f>
        <v>Line 17</v>
      </c>
      <c r="I41" s="91"/>
      <c r="J41" s="107">
        <f>J29</f>
        <v>5419808202.9599667</v>
      </c>
    </row>
    <row r="42" spans="1:10" x14ac:dyDescent="0.2">
      <c r="A42" s="99">
        <f>A41+1</f>
        <v>22</v>
      </c>
      <c r="B42" s="91"/>
      <c r="C42" s="91"/>
      <c r="D42" s="104" t="s">
        <v>80</v>
      </c>
      <c r="E42" s="91"/>
      <c r="F42" s="91"/>
      <c r="G42" s="102" t="s">
        <v>81</v>
      </c>
      <c r="H42" s="102" t="str">
        <f>"Instruction 1, Line "&amp;B103&amp;""</f>
        <v>Instruction 1, Line k</v>
      </c>
      <c r="I42" s="91"/>
      <c r="J42" s="115">
        <f>E103</f>
        <v>5.2592059258897372E-2</v>
      </c>
    </row>
    <row r="43" spans="1:10" x14ac:dyDescent="0.2">
      <c r="A43" s="99">
        <f>A42+1</f>
        <v>23</v>
      </c>
      <c r="B43" s="91"/>
      <c r="C43" s="91"/>
      <c r="D43" s="105" t="s">
        <v>82</v>
      </c>
      <c r="E43" s="91"/>
      <c r="F43" s="91"/>
      <c r="G43" s="91"/>
      <c r="H43" s="91" t="str">
        <f>"1-Base TRR L "&amp;'[17]1-BaseTRR'!A102&amp;""</f>
        <v>1-Base TRR L 58</v>
      </c>
      <c r="I43" s="91"/>
      <c r="J43" s="115">
        <f>'[17]1-BaseTRR'!K102</f>
        <v>0.40745999999999999</v>
      </c>
    </row>
    <row r="44" spans="1:10" x14ac:dyDescent="0.2">
      <c r="A44" s="99">
        <f>A43+1</f>
        <v>24</v>
      </c>
      <c r="B44" s="91"/>
      <c r="C44" s="91"/>
      <c r="D44" s="105" t="s">
        <v>83</v>
      </c>
      <c r="E44" s="91"/>
      <c r="F44" s="91"/>
      <c r="G44" s="91"/>
      <c r="H44" s="91" t="str">
        <f>"1-Base TRR L "&amp;'[17]1-BaseTRR'!A108&amp;""</f>
        <v>1-Base TRR L 62</v>
      </c>
      <c r="I44" s="91"/>
      <c r="J44" s="101">
        <f>'[17]1-BaseTRR'!K108</f>
        <v>2086200</v>
      </c>
    </row>
    <row r="45" spans="1:10" x14ac:dyDescent="0.2">
      <c r="A45" s="99">
        <f>A44+1</f>
        <v>25</v>
      </c>
      <c r="B45" s="91"/>
      <c r="C45" s="91"/>
      <c r="D45" s="105" t="s">
        <v>84</v>
      </c>
      <c r="E45" s="91"/>
      <c r="F45" s="91"/>
      <c r="G45" s="91"/>
      <c r="H45" s="91" t="str">
        <f>"1-Base TRR L "&amp;'[17]1-BaseTRR'!A112&amp;""</f>
        <v>1-Base TRR L 64</v>
      </c>
      <c r="I45" s="91"/>
      <c r="J45" s="116">
        <f>'[17]1-BaseTRR'!K119</f>
        <v>3535511</v>
      </c>
    </row>
    <row r="46" spans="1:10" x14ac:dyDescent="0.2">
      <c r="A46" s="99"/>
      <c r="B46" s="105"/>
      <c r="C46" s="91"/>
      <c r="D46" s="91"/>
      <c r="E46" s="91"/>
      <c r="F46" s="91"/>
      <c r="G46" s="91"/>
      <c r="H46" s="91"/>
      <c r="I46" s="91"/>
      <c r="J46" s="91"/>
    </row>
    <row r="47" spans="1:10" x14ac:dyDescent="0.2">
      <c r="A47" s="99"/>
      <c r="B47" s="111" t="s">
        <v>85</v>
      </c>
      <c r="D47" s="91"/>
      <c r="E47" s="91"/>
      <c r="F47" s="91"/>
      <c r="G47" s="91"/>
      <c r="H47" s="91"/>
      <c r="I47" s="91"/>
      <c r="J47" s="91"/>
    </row>
    <row r="48" spans="1:10" x14ac:dyDescent="0.2">
      <c r="A48" s="99">
        <f>A45+1</f>
        <v>26</v>
      </c>
      <c r="B48" s="105"/>
      <c r="C48" s="91" t="s">
        <v>86</v>
      </c>
      <c r="D48" s="91"/>
      <c r="E48" s="91"/>
      <c r="F48" s="91"/>
      <c r="G48" s="91"/>
      <c r="H48" s="91" t="str">
        <f>"1-Base TRR L "&amp;'[17]1-BaseTRR'!A124&amp;""</f>
        <v>1-Base TRR L 65</v>
      </c>
      <c r="I48" s="91"/>
      <c r="J48" s="101">
        <f>'[17]1-BaseTRR'!K124</f>
        <v>78644833.663867712</v>
      </c>
    </row>
    <row r="49" spans="1:10" x14ac:dyDescent="0.2">
      <c r="A49" s="99">
        <f t="shared" ref="A49:A60" si="0">A48+1</f>
        <v>27</v>
      </c>
      <c r="B49" s="105"/>
      <c r="C49" s="102" t="s">
        <v>87</v>
      </c>
      <c r="D49" s="91"/>
      <c r="E49" s="91"/>
      <c r="F49" s="91"/>
      <c r="G49" s="91"/>
      <c r="H49" s="91" t="str">
        <f>"1-Base TRR L "&amp;'[17]1-BaseTRR'!A125&amp;""</f>
        <v>1-Base TRR L 66</v>
      </c>
      <c r="I49" s="91"/>
      <c r="J49" s="107">
        <f>'[17]1-BaseTRR'!K125</f>
        <v>46551598.115890913</v>
      </c>
    </row>
    <row r="50" spans="1:10" x14ac:dyDescent="0.2">
      <c r="A50" s="117" t="s">
        <v>159</v>
      </c>
      <c r="B50" s="118"/>
      <c r="C50" s="119" t="s">
        <v>160</v>
      </c>
      <c r="D50" s="120"/>
      <c r="E50" s="120"/>
      <c r="F50" s="120"/>
      <c r="G50" s="120"/>
      <c r="H50" s="120" t="str">
        <f>"35-PBOPs L "&amp;'[17]35-PBOPs'!A38&amp;""</f>
        <v>35-PBOPs L 14</v>
      </c>
      <c r="I50" s="120"/>
      <c r="J50" s="121">
        <f>'[17]35-PBOPs'!G38</f>
        <v>-6504.559255276572</v>
      </c>
    </row>
    <row r="51" spans="1:10" x14ac:dyDescent="0.2">
      <c r="A51" s="99">
        <f>A49+1</f>
        <v>28</v>
      </c>
      <c r="B51" s="105"/>
      <c r="C51" s="91" t="s">
        <v>88</v>
      </c>
      <c r="D51" s="91"/>
      <c r="E51" s="91"/>
      <c r="F51" s="91"/>
      <c r="G51" s="91"/>
      <c r="H51" s="91" t="str">
        <f>"1-Base TRR L "&amp;'[17]1-BaseTRR'!A126&amp;""</f>
        <v>1-Base TRR L 67</v>
      </c>
      <c r="I51" s="91"/>
      <c r="J51" s="101">
        <f>'[17]1-BaseTRR'!K126</f>
        <v>6116850.9299999997</v>
      </c>
    </row>
    <row r="52" spans="1:10" x14ac:dyDescent="0.2">
      <c r="A52" s="99">
        <f t="shared" si="0"/>
        <v>29</v>
      </c>
      <c r="B52" s="105"/>
      <c r="C52" s="102" t="s">
        <v>89</v>
      </c>
      <c r="D52" s="91"/>
      <c r="E52" s="91"/>
      <c r="F52" s="91"/>
      <c r="G52" s="91"/>
      <c r="H52" s="91" t="str">
        <f>"1-Base TRR L "&amp;'[17]1-BaseTRR'!A127&amp;""</f>
        <v>1-Base TRR L 68</v>
      </c>
      <c r="I52" s="91"/>
      <c r="J52" s="101">
        <f>'[17]1-BaseTRR'!K127</f>
        <v>239582730.61420554</v>
      </c>
    </row>
    <row r="53" spans="1:10" x14ac:dyDescent="0.2">
      <c r="A53" s="99">
        <f t="shared" si="0"/>
        <v>30</v>
      </c>
      <c r="B53" s="105"/>
      <c r="C53" s="102" t="s">
        <v>90</v>
      </c>
      <c r="D53" s="91"/>
      <c r="E53" s="91"/>
      <c r="F53" s="91"/>
      <c r="G53" s="91"/>
      <c r="H53" s="91" t="str">
        <f>"1-Base TRR L "&amp;'[17]1-BaseTRR'!A128&amp;""</f>
        <v>1-Base TRR L 69</v>
      </c>
      <c r="I53" s="91"/>
      <c r="J53" s="101">
        <f>'[17]1-BaseTRR'!K128</f>
        <v>0</v>
      </c>
    </row>
    <row r="54" spans="1:10" x14ac:dyDescent="0.2">
      <c r="A54" s="99">
        <f t="shared" si="0"/>
        <v>31</v>
      </c>
      <c r="B54" s="105"/>
      <c r="C54" s="102" t="s">
        <v>91</v>
      </c>
      <c r="D54" s="91"/>
      <c r="E54" s="91"/>
      <c r="F54" s="91"/>
      <c r="G54" s="91"/>
      <c r="H54" s="91" t="str">
        <f>"1-Base TRR L "&amp;'[17]1-BaseTRR'!A129&amp;""</f>
        <v>1-Base TRR L 70</v>
      </c>
      <c r="I54" s="91"/>
      <c r="J54" s="101">
        <f>'[17]1-BaseTRR'!K129</f>
        <v>60990526.802731596</v>
      </c>
    </row>
    <row r="55" spans="1:10" x14ac:dyDescent="0.2">
      <c r="A55" s="99">
        <f t="shared" si="0"/>
        <v>32</v>
      </c>
      <c r="B55" s="105"/>
      <c r="C55" s="91" t="s">
        <v>92</v>
      </c>
      <c r="D55" s="91"/>
      <c r="E55" s="91"/>
      <c r="F55" s="91"/>
      <c r="G55" s="102"/>
      <c r="H55" s="91" t="str">
        <f>"1-Base TRR L "&amp;'[17]1-BaseTRR'!A130&amp;""</f>
        <v>1-Base TRR L 71</v>
      </c>
      <c r="I55" s="91"/>
      <c r="J55" s="101">
        <f>'[17]1-BaseTRR'!K130</f>
        <v>-58832605.54180719</v>
      </c>
    </row>
    <row r="56" spans="1:10" x14ac:dyDescent="0.2">
      <c r="A56" s="99">
        <f t="shared" si="0"/>
        <v>33</v>
      </c>
      <c r="B56" s="105"/>
      <c r="C56" s="91" t="s">
        <v>93</v>
      </c>
      <c r="D56" s="91"/>
      <c r="E56" s="91"/>
      <c r="F56" s="91"/>
      <c r="G56" s="91"/>
      <c r="H56" s="91" t="str">
        <f>"Line "&amp;A34&amp;""</f>
        <v>Line 19</v>
      </c>
      <c r="I56" s="91"/>
      <c r="J56" s="107">
        <f>J34</f>
        <v>392934501.4245038</v>
      </c>
    </row>
    <row r="57" spans="1:10" x14ac:dyDescent="0.2">
      <c r="A57" s="99">
        <f t="shared" si="0"/>
        <v>34</v>
      </c>
      <c r="B57" s="105"/>
      <c r="C57" s="91" t="s">
        <v>94</v>
      </c>
      <c r="D57" s="91"/>
      <c r="E57" s="91"/>
      <c r="F57" s="91"/>
      <c r="G57" s="91"/>
      <c r="H57" s="91" t="str">
        <f>"Line "&amp;A38&amp;""</f>
        <v>Line 20</v>
      </c>
      <c r="I57" s="91"/>
      <c r="J57" s="114">
        <f>J38</f>
        <v>201958887.14049453</v>
      </c>
    </row>
    <row r="58" spans="1:10" x14ac:dyDescent="0.2">
      <c r="A58" s="99">
        <f t="shared" si="0"/>
        <v>35</v>
      </c>
      <c r="B58" s="105"/>
      <c r="C58" s="102" t="s">
        <v>95</v>
      </c>
      <c r="D58" s="91"/>
      <c r="E58" s="91"/>
      <c r="F58" s="91"/>
      <c r="G58" s="91"/>
      <c r="H58" s="91" t="str">
        <f>"1-Base TRR L "&amp;'[17]1-BaseTRR'!A133&amp;""</f>
        <v>1-Base TRR L 74</v>
      </c>
      <c r="I58" s="91"/>
      <c r="J58" s="116">
        <f>'[17]1-BaseTRR'!K133</f>
        <v>0</v>
      </c>
    </row>
    <row r="59" spans="1:10" x14ac:dyDescent="0.2">
      <c r="A59" s="99">
        <f t="shared" si="0"/>
        <v>36</v>
      </c>
      <c r="B59" s="105"/>
      <c r="C59" s="48" t="s">
        <v>96</v>
      </c>
      <c r="D59" s="49"/>
      <c r="E59" s="91"/>
      <c r="F59" s="91"/>
      <c r="G59" s="91"/>
      <c r="H59" s="91" t="str">
        <f>"1-Base TRR L "&amp;'[17]1-BaseTRR'!A134&amp;""</f>
        <v>1-Base TRR L 75</v>
      </c>
      <c r="I59" s="91"/>
      <c r="J59" s="109">
        <f>'[17]1-BaseTRR'!K134</f>
        <v>0</v>
      </c>
    </row>
    <row r="60" spans="1:10" x14ac:dyDescent="0.2">
      <c r="A60" s="99">
        <f t="shared" si="0"/>
        <v>37</v>
      </c>
      <c r="B60" s="105"/>
      <c r="C60" s="102" t="s">
        <v>97</v>
      </c>
      <c r="D60" s="91"/>
      <c r="E60" s="91"/>
      <c r="F60" s="91"/>
      <c r="G60" s="91"/>
      <c r="H60" s="91" t="str">
        <f>"Sum Line "&amp;A48&amp;" to Line "&amp;A59&amp;""</f>
        <v>Sum Line 26 to Line 36</v>
      </c>
      <c r="I60" s="91"/>
      <c r="J60" s="122">
        <f>SUM(J48:J59)</f>
        <v>967940818.59063172</v>
      </c>
    </row>
    <row r="61" spans="1:10" x14ac:dyDescent="0.2">
      <c r="A61" s="99"/>
      <c r="B61" s="105"/>
      <c r="C61" s="91"/>
      <c r="D61" s="91"/>
      <c r="E61" s="91"/>
      <c r="F61" s="91"/>
      <c r="G61" s="91"/>
      <c r="H61" s="91"/>
      <c r="I61" s="91"/>
      <c r="J61" s="101"/>
    </row>
    <row r="62" spans="1:10" ht="12.75" customHeight="1" x14ac:dyDescent="0.2">
      <c r="A62" s="99">
        <f>A60+1</f>
        <v>38</v>
      </c>
      <c r="B62" s="105"/>
      <c r="C62" s="102" t="s">
        <v>98</v>
      </c>
      <c r="D62" s="91"/>
      <c r="E62" s="91"/>
      <c r="F62" s="91"/>
      <c r="G62" s="91"/>
      <c r="H62" s="91" t="str">
        <f>"15-IncentiveAdder L "&amp;'[17]15-IncentiveAdder'!A59&amp;""</f>
        <v>15-IncentiveAdder L 20</v>
      </c>
      <c r="I62" s="91"/>
      <c r="J62" s="101">
        <f>'[17]15-IncentiveAdder'!G59</f>
        <v>34932082.703325152</v>
      </c>
    </row>
    <row r="63" spans="1:10" x14ac:dyDescent="0.2">
      <c r="A63" s="99"/>
      <c r="B63" s="105"/>
      <c r="C63" s="102"/>
      <c r="D63" s="91"/>
      <c r="E63" s="91"/>
      <c r="F63" s="91"/>
      <c r="G63" s="91"/>
      <c r="H63" s="91"/>
      <c r="I63" s="91"/>
      <c r="J63" s="101"/>
    </row>
    <row r="64" spans="1:10" x14ac:dyDescent="0.2">
      <c r="A64" s="99">
        <f>A62+1</f>
        <v>39</v>
      </c>
      <c r="B64" s="105"/>
      <c r="C64" s="102" t="s">
        <v>99</v>
      </c>
      <c r="D64" s="91"/>
      <c r="E64" s="91"/>
      <c r="F64" s="91"/>
      <c r="G64" s="91"/>
      <c r="H64" s="91" t="str">
        <f>"Line "&amp;A60&amp;" + Line "&amp;A62&amp;""</f>
        <v>Line 37 + Line 38</v>
      </c>
      <c r="I64" s="91"/>
      <c r="J64" s="107">
        <f>J60+J62</f>
        <v>1002872901.2939569</v>
      </c>
    </row>
    <row r="65" spans="1:11" x14ac:dyDescent="0.2">
      <c r="A65" s="99"/>
      <c r="B65" s="105"/>
      <c r="C65" s="102"/>
      <c r="D65" s="91"/>
      <c r="E65" s="91"/>
      <c r="F65" s="91"/>
      <c r="G65" s="91"/>
      <c r="H65" s="91"/>
      <c r="I65" s="91"/>
      <c r="J65" s="101"/>
    </row>
    <row r="66" spans="1:11" x14ac:dyDescent="0.2">
      <c r="A66" s="99"/>
      <c r="B66" s="123" t="s">
        <v>100</v>
      </c>
      <c r="C66" s="102"/>
      <c r="D66" s="91"/>
      <c r="E66" s="91"/>
      <c r="F66" s="91"/>
      <c r="G66" s="91"/>
      <c r="H66" s="91"/>
      <c r="I66" s="91"/>
      <c r="J66" s="101"/>
    </row>
    <row r="67" spans="1:11" ht="13.5" thickBot="1" x14ac:dyDescent="0.25">
      <c r="A67" s="95" t="s">
        <v>42</v>
      </c>
      <c r="B67" s="124"/>
      <c r="G67" s="97" t="s">
        <v>101</v>
      </c>
    </row>
    <row r="68" spans="1:11" x14ac:dyDescent="0.2">
      <c r="A68" s="99">
        <f>A64+1</f>
        <v>40</v>
      </c>
      <c r="B68" s="110"/>
      <c r="C68" s="91"/>
      <c r="D68" s="125" t="s">
        <v>102</v>
      </c>
      <c r="E68" s="107">
        <f>J64</f>
        <v>1002872901.2939569</v>
      </c>
      <c r="F68" s="91"/>
      <c r="G68" s="91" t="str">
        <f>"Line "&amp;A64&amp;""</f>
        <v>Line 39</v>
      </c>
      <c r="H68" s="91"/>
      <c r="I68" s="91"/>
      <c r="J68" s="126" t="s">
        <v>103</v>
      </c>
    </row>
    <row r="69" spans="1:11" x14ac:dyDescent="0.2">
      <c r="A69" s="99">
        <f>A68+1</f>
        <v>41</v>
      </c>
      <c r="B69" s="110"/>
      <c r="C69" s="91"/>
      <c r="D69" s="125" t="s">
        <v>104</v>
      </c>
      <c r="E69" s="127">
        <f>'[17]28-FFU'!D22</f>
        <v>9.2057000000000007E-3</v>
      </c>
      <c r="F69" s="91"/>
      <c r="G69" s="91" t="str">
        <f>"28-FFU, L "&amp;'[17]28-FFU'!A22&amp;""</f>
        <v>28-FFU, L 5</v>
      </c>
      <c r="H69" s="91"/>
      <c r="I69" s="91"/>
      <c r="J69" s="128" t="s">
        <v>897</v>
      </c>
    </row>
    <row r="70" spans="1:11" x14ac:dyDescent="0.2">
      <c r="A70" s="99">
        <f>A69+1</f>
        <v>42</v>
      </c>
      <c r="B70" s="110"/>
      <c r="C70" s="91"/>
      <c r="D70" s="130" t="s">
        <v>105</v>
      </c>
      <c r="E70" s="107">
        <f>E68*'[17]28-FFU'!D22</f>
        <v>9232147.0674417801</v>
      </c>
      <c r="F70" s="91"/>
      <c r="G70" s="91" t="str">
        <f>"Line "&amp;A68&amp;" * Line "&amp;A69&amp;""</f>
        <v>Line 40 * Line 41</v>
      </c>
      <c r="H70" s="91"/>
      <c r="I70" s="91"/>
      <c r="J70" s="131">
        <f>E73</f>
        <v>1014519565.1585541</v>
      </c>
    </row>
    <row r="71" spans="1:11" x14ac:dyDescent="0.2">
      <c r="A71" s="99">
        <f>A70+1</f>
        <v>43</v>
      </c>
      <c r="B71" s="110"/>
      <c r="C71" s="91"/>
      <c r="D71" s="125" t="s">
        <v>106</v>
      </c>
      <c r="E71" s="127">
        <f>'[17]28-FFU'!E22</f>
        <v>2.4076000000000002E-3</v>
      </c>
      <c r="F71" s="91"/>
      <c r="G71" s="91" t="str">
        <f>"28-FFU, L "&amp;'[17]28-FFU'!A22&amp;""</f>
        <v>28-FFU, L 5</v>
      </c>
      <c r="H71" s="91"/>
      <c r="I71" s="91"/>
      <c r="J71" s="132">
        <v>1014525809.0326087</v>
      </c>
    </row>
    <row r="72" spans="1:11" ht="13.5" thickBot="1" x14ac:dyDescent="0.25">
      <c r="A72" s="99">
        <f>A71+1</f>
        <v>44</v>
      </c>
      <c r="B72" s="110"/>
      <c r="C72" s="91"/>
      <c r="D72" s="125" t="s">
        <v>107</v>
      </c>
      <c r="E72" s="107">
        <f>E68*'[17]28-FFU'!E22</f>
        <v>2414516.7971553309</v>
      </c>
      <c r="F72" s="91"/>
      <c r="G72" s="91" t="str">
        <f>"Line "&amp;A70&amp;" * Line "&amp;A71&amp;""</f>
        <v>Line 42 * Line 43</v>
      </c>
      <c r="H72" s="91"/>
      <c r="I72" s="91"/>
      <c r="J72" s="133">
        <f>J70-J71</f>
        <v>-6243.8740546703339</v>
      </c>
    </row>
    <row r="73" spans="1:11" x14ac:dyDescent="0.2">
      <c r="A73" s="99">
        <f>A72+1</f>
        <v>45</v>
      </c>
      <c r="B73" s="110"/>
      <c r="C73" s="91"/>
      <c r="D73" s="125" t="s">
        <v>108</v>
      </c>
      <c r="E73" s="107">
        <f>E68+E70+E72</f>
        <v>1014519565.1585541</v>
      </c>
      <c r="F73" s="91"/>
      <c r="G73" s="91" t="str">
        <f>"L "&amp;A68&amp;" + L "&amp;A70&amp;" + L "&amp;A72&amp;""</f>
        <v>L 40 + L 42 + L 44</v>
      </c>
      <c r="H73" s="91"/>
      <c r="I73" s="91"/>
      <c r="J73" s="91"/>
    </row>
    <row r="74" spans="1:11" x14ac:dyDescent="0.2">
      <c r="A74" s="91"/>
      <c r="B74" s="134" t="s">
        <v>109</v>
      </c>
      <c r="C74" s="91"/>
      <c r="D74" s="130"/>
      <c r="E74" s="101"/>
      <c r="F74" s="91"/>
      <c r="G74" s="91"/>
      <c r="H74" s="50"/>
      <c r="I74" s="91"/>
      <c r="J74" s="91"/>
      <c r="K74" s="149"/>
    </row>
    <row r="75" spans="1:11" x14ac:dyDescent="0.2">
      <c r="A75" s="99"/>
      <c r="B75" s="102" t="s">
        <v>110</v>
      </c>
      <c r="C75" s="123"/>
      <c r="D75" s="130"/>
      <c r="E75" s="101"/>
      <c r="F75" s="91"/>
      <c r="G75" s="91"/>
      <c r="H75" s="91"/>
      <c r="I75" s="91"/>
      <c r="J75" s="91"/>
    </row>
    <row r="76" spans="1:11" x14ac:dyDescent="0.2">
      <c r="A76" s="99"/>
      <c r="B76" s="102" t="s">
        <v>111</v>
      </c>
      <c r="C76" s="123"/>
      <c r="D76" s="130"/>
      <c r="E76" s="101"/>
      <c r="F76" s="91"/>
      <c r="G76" s="91"/>
      <c r="H76" s="91"/>
      <c r="I76" s="91"/>
      <c r="J76" s="91"/>
    </row>
    <row r="77" spans="1:11" x14ac:dyDescent="0.2">
      <c r="A77" s="99"/>
      <c r="B77" s="100" t="s">
        <v>112</v>
      </c>
      <c r="C77" s="102"/>
      <c r="D77" s="130"/>
      <c r="E77" s="101"/>
      <c r="F77" s="91"/>
      <c r="G77" s="91"/>
      <c r="H77" s="91"/>
      <c r="I77" s="91"/>
      <c r="J77" s="91"/>
    </row>
    <row r="78" spans="1:11" x14ac:dyDescent="0.2">
      <c r="A78" s="99"/>
      <c r="B78" s="100" t="s">
        <v>113</v>
      </c>
      <c r="C78" s="91"/>
      <c r="D78" s="130"/>
      <c r="E78" s="101"/>
      <c r="F78" s="91"/>
      <c r="G78" s="91"/>
      <c r="H78" s="91"/>
      <c r="I78" s="91"/>
      <c r="J78" s="91"/>
    </row>
    <row r="79" spans="1:11" x14ac:dyDescent="0.2">
      <c r="A79" s="99"/>
      <c r="B79" s="91"/>
      <c r="C79" s="91"/>
      <c r="D79" s="91"/>
      <c r="E79" s="91"/>
      <c r="F79" s="91"/>
      <c r="G79" s="91"/>
      <c r="H79" s="91"/>
      <c r="I79" s="91"/>
      <c r="J79" s="91"/>
    </row>
    <row r="80" spans="1:11" x14ac:dyDescent="0.2">
      <c r="A80" s="99"/>
      <c r="B80" s="102" t="s">
        <v>114</v>
      </c>
      <c r="C80" s="91"/>
      <c r="D80" s="91"/>
      <c r="E80" s="91"/>
      <c r="F80" s="91"/>
      <c r="G80" s="91"/>
      <c r="H80" s="91"/>
      <c r="I80" s="91"/>
      <c r="J80" s="91"/>
    </row>
    <row r="81" spans="1:12" x14ac:dyDescent="0.2">
      <c r="A81" s="99"/>
      <c r="B81" s="102"/>
      <c r="C81" s="102" t="s">
        <v>115</v>
      </c>
      <c r="D81" s="91"/>
      <c r="E81" s="91"/>
      <c r="F81" s="91"/>
      <c r="G81" s="91"/>
      <c r="H81" s="91"/>
      <c r="I81" s="91"/>
      <c r="J81" s="91"/>
    </row>
    <row r="82" spans="1:12" x14ac:dyDescent="0.2">
      <c r="A82" s="99"/>
      <c r="B82" s="102"/>
      <c r="C82" s="91"/>
      <c r="D82" s="91"/>
      <c r="E82" s="91"/>
      <c r="F82" s="91"/>
      <c r="G82" s="91"/>
      <c r="H82" s="91"/>
      <c r="I82" s="91"/>
      <c r="J82" s="99" t="s">
        <v>116</v>
      </c>
    </row>
    <row r="83" spans="1:12" x14ac:dyDescent="0.2">
      <c r="A83" s="99"/>
      <c r="B83" s="91"/>
      <c r="C83" s="91"/>
      <c r="D83" s="91"/>
      <c r="E83" s="135" t="s">
        <v>117</v>
      </c>
      <c r="F83" s="136" t="s">
        <v>101</v>
      </c>
      <c r="G83" s="135" t="s">
        <v>118</v>
      </c>
      <c r="H83" s="135" t="s">
        <v>119</v>
      </c>
      <c r="I83" s="91"/>
      <c r="J83" s="135" t="s">
        <v>120</v>
      </c>
    </row>
    <row r="84" spans="1:12" x14ac:dyDescent="0.2">
      <c r="B84" s="137" t="s">
        <v>121</v>
      </c>
      <c r="C84" s="102" t="s">
        <v>122</v>
      </c>
      <c r="D84" s="91"/>
      <c r="E84" s="138">
        <f>'[17]1-BaseTRR'!K85</f>
        <v>9.8000000000000004E-2</v>
      </c>
      <c r="F84" s="91" t="str">
        <f>"1-Base TRR L "&amp;'[17]1-BaseTRR'!A85&amp;""</f>
        <v>1-Base TRR L 49</v>
      </c>
      <c r="G84" s="139" t="s">
        <v>898</v>
      </c>
      <c r="H84" s="140" t="s">
        <v>899</v>
      </c>
      <c r="I84" s="102"/>
      <c r="J84" s="141">
        <v>365</v>
      </c>
      <c r="K84" s="102"/>
      <c r="L84" s="102"/>
    </row>
    <row r="85" spans="1:12" x14ac:dyDescent="0.2">
      <c r="B85" s="137" t="s">
        <v>123</v>
      </c>
      <c r="C85" s="102" t="s">
        <v>124</v>
      </c>
      <c r="D85" s="91"/>
      <c r="E85" s="142">
        <v>9.8000000000000004E-2</v>
      </c>
      <c r="F85" s="143" t="s">
        <v>125</v>
      </c>
      <c r="G85" s="139"/>
      <c r="H85" s="140"/>
      <c r="I85" s="102"/>
      <c r="J85" s="141"/>
      <c r="K85" s="102"/>
      <c r="L85" s="102"/>
    </row>
    <row r="86" spans="1:12" x14ac:dyDescent="0.2">
      <c r="B86" s="137" t="s">
        <v>127</v>
      </c>
      <c r="C86" s="102"/>
      <c r="D86" s="91"/>
      <c r="E86" s="144"/>
      <c r="F86" s="143"/>
      <c r="G86" s="145"/>
      <c r="H86" s="145"/>
      <c r="I86" s="125" t="s">
        <v>128</v>
      </c>
      <c r="J86" s="102">
        <f>SUM(J84:J85)</f>
        <v>365</v>
      </c>
      <c r="K86" s="102"/>
      <c r="L86" s="102"/>
    </row>
    <row r="87" spans="1:12" x14ac:dyDescent="0.2">
      <c r="A87" s="91"/>
      <c r="B87" s="137" t="s">
        <v>129</v>
      </c>
      <c r="C87" s="102" t="s">
        <v>130</v>
      </c>
      <c r="D87" s="91"/>
      <c r="E87" s="138">
        <f>((E84*J84) + (E85* J85)) / J86</f>
        <v>9.8000000000000004E-2</v>
      </c>
      <c r="F87" s="102" t="s">
        <v>131</v>
      </c>
      <c r="G87" s="91"/>
      <c r="H87" s="102"/>
      <c r="I87" s="102"/>
      <c r="J87" s="102"/>
      <c r="K87" s="102"/>
      <c r="L87" s="102"/>
    </row>
    <row r="88" spans="1:12" x14ac:dyDescent="0.2">
      <c r="A88" s="99"/>
      <c r="B88" s="102"/>
      <c r="C88" s="91"/>
      <c r="D88" s="91"/>
      <c r="E88" s="91"/>
      <c r="F88" s="91"/>
      <c r="G88" s="91"/>
      <c r="H88" s="102"/>
      <c r="I88" s="102"/>
      <c r="J88" s="102"/>
      <c r="K88" s="102"/>
      <c r="L88" s="102"/>
    </row>
    <row r="89" spans="1:12" x14ac:dyDescent="0.2">
      <c r="A89" s="99"/>
      <c r="B89" s="102" t="s">
        <v>132</v>
      </c>
      <c r="C89" s="91"/>
      <c r="D89" s="91"/>
      <c r="E89" s="91"/>
      <c r="F89" s="91"/>
      <c r="G89" s="91"/>
      <c r="H89" s="102"/>
      <c r="I89" s="102"/>
      <c r="J89" s="102"/>
      <c r="K89" s="102"/>
      <c r="L89" s="102"/>
    </row>
    <row r="90" spans="1:12" x14ac:dyDescent="0.2">
      <c r="A90" s="99"/>
      <c r="B90" s="102"/>
      <c r="C90" s="91"/>
      <c r="D90" s="91"/>
      <c r="E90" s="136" t="s">
        <v>101</v>
      </c>
      <c r="F90" s="91"/>
      <c r="G90" s="91"/>
      <c r="H90" s="102"/>
      <c r="I90" s="102"/>
      <c r="J90" s="102"/>
      <c r="K90" s="102"/>
      <c r="L90" s="102"/>
    </row>
    <row r="91" spans="1:12" x14ac:dyDescent="0.2">
      <c r="A91" s="91"/>
      <c r="B91" s="137" t="s">
        <v>133</v>
      </c>
      <c r="C91" s="102" t="s">
        <v>134</v>
      </c>
      <c r="D91" s="91"/>
      <c r="E91" s="146" t="s">
        <v>135</v>
      </c>
      <c r="F91" s="146"/>
      <c r="G91" s="146"/>
      <c r="H91" s="141"/>
      <c r="I91" s="141"/>
      <c r="J91" s="141"/>
      <c r="K91" s="102"/>
      <c r="L91" s="102"/>
    </row>
    <row r="92" spans="1:12" x14ac:dyDescent="0.2">
      <c r="B92" s="137" t="s">
        <v>136</v>
      </c>
      <c r="C92" s="102" t="s">
        <v>137</v>
      </c>
      <c r="D92" s="91"/>
      <c r="E92" s="146" t="s">
        <v>135</v>
      </c>
      <c r="F92" s="146"/>
      <c r="G92" s="146"/>
      <c r="H92" s="141"/>
      <c r="I92" s="141"/>
      <c r="J92" s="141"/>
      <c r="K92" s="102"/>
      <c r="L92" s="102"/>
    </row>
    <row r="93" spans="1:12" x14ac:dyDescent="0.2">
      <c r="B93" s="91"/>
      <c r="C93" s="102"/>
      <c r="D93" s="91"/>
      <c r="E93" s="145"/>
      <c r="F93" s="91"/>
      <c r="G93" s="91"/>
      <c r="H93" s="91"/>
      <c r="I93" s="102"/>
      <c r="J93" s="102"/>
      <c r="K93" s="102"/>
      <c r="L93" s="102"/>
    </row>
    <row r="94" spans="1:12" x14ac:dyDescent="0.2">
      <c r="B94" s="91"/>
      <c r="C94" s="91"/>
      <c r="D94" s="91"/>
      <c r="E94" s="135" t="s">
        <v>117</v>
      </c>
      <c r="F94" s="136" t="s">
        <v>101</v>
      </c>
      <c r="G94" s="91"/>
      <c r="H94" s="102"/>
      <c r="I94" s="102"/>
      <c r="J94" s="91"/>
    </row>
    <row r="95" spans="1:12" x14ac:dyDescent="0.2">
      <c r="B95" s="137" t="s">
        <v>138</v>
      </c>
      <c r="C95" s="102" t="s">
        <v>139</v>
      </c>
      <c r="D95" s="102"/>
      <c r="E95" s="115">
        <f>'[17]1-BaseTRR'!K88</f>
        <v>1.9907646765737794E-2</v>
      </c>
      <c r="F95" s="91" t="str">
        <f>"1-Base TRR L "&amp;'[17]1-BaseTRR'!A88&amp;""</f>
        <v>1-Base TRR L 50</v>
      </c>
      <c r="G95" s="91"/>
      <c r="H95" s="102"/>
      <c r="I95" s="102"/>
      <c r="J95" s="91"/>
    </row>
    <row r="96" spans="1:12" x14ac:dyDescent="0.2">
      <c r="B96" s="137" t="s">
        <v>140</v>
      </c>
      <c r="C96" s="102" t="s">
        <v>141</v>
      </c>
      <c r="D96" s="91"/>
      <c r="E96" s="115">
        <f>'[17]1-BaseTRR'!K89</f>
        <v>4.9514327156233075E-3</v>
      </c>
      <c r="F96" s="91" t="str">
        <f>"1-Base TRR L "&amp;'[17]1-BaseTRR'!A89&amp;""</f>
        <v>1-Base TRR L 51</v>
      </c>
      <c r="G96" s="91"/>
      <c r="H96" s="102"/>
      <c r="I96" s="102"/>
      <c r="J96" s="91"/>
    </row>
    <row r="97" spans="1:10" x14ac:dyDescent="0.2">
      <c r="B97" s="137" t="s">
        <v>142</v>
      </c>
      <c r="C97" s="102" t="s">
        <v>143</v>
      </c>
      <c r="D97" s="91"/>
      <c r="E97" s="207">
        <f>('[17]1-BaseTRR'!K80) * E87</f>
        <v>4.7640626543274063E-2</v>
      </c>
      <c r="F97" s="91" t="str">
        <f>"1-Base TRR L "&amp;'[17]1-BaseTRR'!A80&amp;" * Line d"</f>
        <v>1-Base TRR L 46 * Line d</v>
      </c>
      <c r="G97" s="102"/>
      <c r="H97" s="102"/>
      <c r="I97" s="91"/>
      <c r="J97" s="91"/>
    </row>
    <row r="98" spans="1:10" x14ac:dyDescent="0.2">
      <c r="A98" s="91"/>
      <c r="B98" s="99" t="s">
        <v>144</v>
      </c>
      <c r="C98" s="104" t="s">
        <v>73</v>
      </c>
      <c r="D98" s="91"/>
      <c r="E98" s="113">
        <f>SUM(E95:E97)</f>
        <v>7.2499706024635166E-2</v>
      </c>
      <c r="F98" s="101" t="str">
        <f>"Sum of Lines "&amp;B92&amp;" to "&amp;B96&amp;""</f>
        <v>Sum of Lines f to h</v>
      </c>
      <c r="G98" s="147"/>
      <c r="H98" s="91"/>
      <c r="I98" s="91"/>
      <c r="J98" s="148"/>
    </row>
    <row r="99" spans="1:10" x14ac:dyDescent="0.2">
      <c r="A99" s="99"/>
      <c r="B99" s="91"/>
      <c r="C99" s="51"/>
      <c r="D99" s="52"/>
      <c r="E99" s="101"/>
      <c r="F99" s="101"/>
      <c r="G99" s="147"/>
      <c r="H99" s="101"/>
      <c r="I99" s="91"/>
      <c r="J99" s="148"/>
    </row>
    <row r="100" spans="1:10" x14ac:dyDescent="0.2">
      <c r="A100" s="99"/>
      <c r="B100" s="102" t="s">
        <v>145</v>
      </c>
      <c r="C100" s="91"/>
      <c r="D100" s="91"/>
      <c r="E100" s="91"/>
      <c r="F100" s="91"/>
      <c r="G100" s="91"/>
      <c r="H100" s="91"/>
      <c r="I100" s="91"/>
      <c r="J100" s="91"/>
    </row>
    <row r="101" spans="1:10" x14ac:dyDescent="0.2">
      <c r="A101" s="99"/>
      <c r="B101" s="91"/>
      <c r="C101" s="91"/>
      <c r="D101" s="91"/>
      <c r="E101" s="91"/>
      <c r="F101" s="91"/>
      <c r="G101" s="91"/>
      <c r="H101" s="91"/>
      <c r="I101" s="91"/>
      <c r="J101" s="91"/>
    </row>
    <row r="102" spans="1:10" x14ac:dyDescent="0.2">
      <c r="A102" s="99"/>
      <c r="B102" s="91"/>
      <c r="C102" s="91"/>
      <c r="D102" s="91"/>
      <c r="E102" s="135" t="s">
        <v>117</v>
      </c>
      <c r="F102" s="136" t="s">
        <v>101</v>
      </c>
      <c r="G102" s="91"/>
      <c r="H102" s="91"/>
      <c r="I102" s="91"/>
      <c r="J102" s="91"/>
    </row>
    <row r="103" spans="1:10" x14ac:dyDescent="0.2">
      <c r="A103" s="91"/>
      <c r="B103" s="137" t="s">
        <v>146</v>
      </c>
      <c r="C103" s="91"/>
      <c r="D103" s="91"/>
      <c r="E103" s="115">
        <f>E96+E97</f>
        <v>5.2592059258897372E-2</v>
      </c>
      <c r="F103" s="101" t="str">
        <f>"Sum of Lines "&amp;B95&amp;" to "&amp;B96&amp;""</f>
        <v>Sum of Lines g to h</v>
      </c>
      <c r="G103" s="91"/>
      <c r="H103" s="91"/>
      <c r="I103" s="91"/>
      <c r="J103" s="91"/>
    </row>
    <row r="104" spans="1:10" x14ac:dyDescent="0.2">
      <c r="A104" s="99"/>
      <c r="B104" s="91"/>
      <c r="C104" s="91"/>
      <c r="D104" s="91"/>
      <c r="E104" s="115"/>
      <c r="F104" s="101"/>
      <c r="G104" s="91"/>
      <c r="H104" s="91"/>
      <c r="I104" s="91"/>
      <c r="J104" s="91"/>
    </row>
    <row r="105" spans="1:10" x14ac:dyDescent="0.2">
      <c r="A105" s="99"/>
      <c r="B105" s="100" t="s">
        <v>147</v>
      </c>
      <c r="C105" s="91"/>
      <c r="D105" s="91"/>
      <c r="E105" s="147"/>
      <c r="F105" s="147"/>
      <c r="G105" s="147"/>
      <c r="H105" s="101"/>
      <c r="I105" s="91"/>
      <c r="J105" s="91"/>
    </row>
    <row r="106" spans="1:10" x14ac:dyDescent="0.2">
      <c r="A106" s="99"/>
      <c r="B106" s="143" t="s">
        <v>148</v>
      </c>
      <c r="C106" s="91"/>
      <c r="D106" s="91"/>
      <c r="E106" s="91"/>
      <c r="F106" s="91"/>
      <c r="G106" s="91"/>
      <c r="H106" s="91"/>
      <c r="I106" s="91"/>
      <c r="J106" s="91"/>
    </row>
    <row r="107" spans="1:10" x14ac:dyDescent="0.2">
      <c r="A107" s="94"/>
      <c r="B107" s="143" t="s">
        <v>149</v>
      </c>
      <c r="C107" s="91"/>
      <c r="D107" s="99"/>
      <c r="E107" s="99"/>
      <c r="F107" s="99"/>
      <c r="G107" s="99"/>
      <c r="H107" s="99"/>
      <c r="I107" s="91"/>
      <c r="J107" s="91"/>
    </row>
    <row r="108" spans="1:10" x14ac:dyDescent="0.2">
      <c r="A108" s="94"/>
      <c r="B108" s="100" t="s">
        <v>150</v>
      </c>
      <c r="C108" s="91"/>
      <c r="D108" s="99"/>
      <c r="E108" s="99"/>
      <c r="F108" s="99"/>
      <c r="G108" s="99"/>
      <c r="H108" s="99"/>
      <c r="I108" s="91"/>
      <c r="J108" s="91"/>
    </row>
    <row r="109" spans="1:10" x14ac:dyDescent="0.2">
      <c r="A109" s="94"/>
      <c r="B109" s="91" t="s">
        <v>151</v>
      </c>
      <c r="C109" s="53"/>
      <c r="D109" s="53"/>
      <c r="E109" s="135"/>
      <c r="F109" s="135"/>
      <c r="G109" s="135"/>
      <c r="H109" s="135"/>
      <c r="I109" s="91"/>
      <c r="J109" s="91"/>
    </row>
    <row r="110" spans="1:10" x14ac:dyDescent="0.2">
      <c r="A110" s="94"/>
    </row>
    <row r="111" spans="1:10" x14ac:dyDescent="0.2">
      <c r="A111" s="94"/>
    </row>
    <row r="112" spans="1:10" x14ac:dyDescent="0.2">
      <c r="A112" s="94"/>
    </row>
    <row r="113" spans="1:10" x14ac:dyDescent="0.2">
      <c r="A113" s="94"/>
      <c r="C113" s="51"/>
      <c r="E113" s="101"/>
      <c r="F113" s="101"/>
      <c r="H113" s="149"/>
      <c r="J113" s="150"/>
    </row>
    <row r="114" spans="1:10" x14ac:dyDescent="0.2">
      <c r="A114" s="94"/>
      <c r="C114" s="51"/>
      <c r="E114" s="101"/>
      <c r="F114" s="101"/>
      <c r="H114" s="149"/>
      <c r="J114" s="150"/>
    </row>
    <row r="115" spans="1:10" x14ac:dyDescent="0.2">
      <c r="A115" s="95"/>
      <c r="C115" s="51"/>
      <c r="E115" s="101"/>
      <c r="F115" s="101"/>
      <c r="H115" s="149"/>
      <c r="J115" s="150"/>
    </row>
    <row r="116" spans="1:10" x14ac:dyDescent="0.2">
      <c r="A116" s="94"/>
      <c r="D116" s="54"/>
      <c r="E116" s="101"/>
      <c r="F116" s="101"/>
      <c r="G116" s="151"/>
      <c r="H116" s="149"/>
      <c r="J116" s="150"/>
    </row>
    <row r="117" spans="1:10" x14ac:dyDescent="0.2">
      <c r="A117" s="94"/>
      <c r="C117" s="51"/>
      <c r="D117" s="152"/>
      <c r="E117" s="153"/>
      <c r="F117" s="149"/>
      <c r="G117" s="151"/>
      <c r="H117" s="149"/>
      <c r="J117" s="150"/>
    </row>
    <row r="118" spans="1:10" x14ac:dyDescent="0.2">
      <c r="A118" s="94"/>
      <c r="C118" s="51"/>
      <c r="D118" s="152"/>
      <c r="E118" s="149"/>
      <c r="F118" s="149"/>
      <c r="G118" s="151"/>
      <c r="H118" s="149"/>
      <c r="J118" s="150"/>
    </row>
    <row r="119" spans="1:10" x14ac:dyDescent="0.2">
      <c r="A119" s="94"/>
    </row>
    <row r="120" spans="1:10" x14ac:dyDescent="0.2">
      <c r="A120" s="94"/>
      <c r="B120" s="90"/>
    </row>
    <row r="121" spans="1:10" x14ac:dyDescent="0.2">
      <c r="A121" s="94"/>
    </row>
    <row r="122" spans="1:10" x14ac:dyDescent="0.2">
      <c r="A122" s="94"/>
    </row>
    <row r="123" spans="1:10" x14ac:dyDescent="0.2">
      <c r="A123" s="94"/>
      <c r="F123" s="94"/>
    </row>
    <row r="124" spans="1:10" x14ac:dyDescent="0.2">
      <c r="A124" s="94"/>
      <c r="F124" s="94"/>
    </row>
    <row r="125" spans="1:10" x14ac:dyDescent="0.2">
      <c r="A125" s="94"/>
      <c r="D125" s="94"/>
      <c r="E125" s="94"/>
      <c r="F125" s="94"/>
      <c r="H125" s="94"/>
    </row>
    <row r="126" spans="1:10" x14ac:dyDescent="0.2">
      <c r="A126" s="94"/>
      <c r="D126" s="94"/>
      <c r="E126" s="94"/>
      <c r="F126" s="94"/>
      <c r="G126" s="94"/>
      <c r="H126" s="154"/>
    </row>
    <row r="127" spans="1:10" x14ac:dyDescent="0.2">
      <c r="A127" s="95"/>
      <c r="C127" s="55"/>
      <c r="D127" s="55"/>
      <c r="E127" s="98"/>
      <c r="F127" s="155"/>
      <c r="G127" s="98"/>
      <c r="H127" s="154"/>
    </row>
    <row r="128" spans="1:10" x14ac:dyDescent="0.2">
      <c r="A128" s="94"/>
      <c r="C128" s="56"/>
      <c r="D128" s="52"/>
      <c r="E128" s="101"/>
      <c r="F128" s="101"/>
      <c r="G128" s="138"/>
      <c r="H128" s="149"/>
    </row>
    <row r="129" spans="1:8" x14ac:dyDescent="0.2">
      <c r="A129" s="94"/>
      <c r="C129" s="51"/>
      <c r="D129" s="52"/>
      <c r="E129" s="101"/>
      <c r="F129" s="101"/>
      <c r="G129" s="138"/>
      <c r="H129" s="149"/>
    </row>
    <row r="130" spans="1:8" x14ac:dyDescent="0.2">
      <c r="A130" s="94"/>
      <c r="C130" s="51"/>
      <c r="D130" s="52"/>
      <c r="E130" s="101"/>
      <c r="F130" s="101"/>
      <c r="G130" s="138"/>
      <c r="H130" s="149"/>
    </row>
    <row r="131" spans="1:8" x14ac:dyDescent="0.2">
      <c r="A131" s="94"/>
      <c r="C131" s="56"/>
      <c r="D131" s="52"/>
      <c r="E131" s="101"/>
      <c r="F131" s="101"/>
      <c r="G131" s="138"/>
      <c r="H131" s="149"/>
    </row>
    <row r="132" spans="1:8" x14ac:dyDescent="0.2">
      <c r="A132" s="94"/>
      <c r="C132" s="51"/>
      <c r="D132" s="52"/>
      <c r="E132" s="101"/>
      <c r="F132" s="101"/>
      <c r="G132" s="138"/>
      <c r="H132" s="149"/>
    </row>
    <row r="133" spans="1:8" x14ac:dyDescent="0.2">
      <c r="A133" s="94"/>
      <c r="C133" s="51"/>
      <c r="D133" s="52"/>
      <c r="E133" s="101"/>
      <c r="F133" s="101"/>
      <c r="G133" s="138"/>
      <c r="H133" s="149"/>
    </row>
    <row r="134" spans="1:8" x14ac:dyDescent="0.2">
      <c r="A134" s="94"/>
      <c r="C134" s="56"/>
      <c r="D134" s="52"/>
      <c r="E134" s="101"/>
      <c r="F134" s="101"/>
      <c r="G134" s="138"/>
      <c r="H134" s="149"/>
    </row>
    <row r="135" spans="1:8" x14ac:dyDescent="0.2">
      <c r="A135" s="94"/>
      <c r="C135" s="51"/>
      <c r="D135" s="52"/>
      <c r="E135" s="101"/>
      <c r="F135" s="101"/>
      <c r="G135" s="138"/>
      <c r="H135" s="149"/>
    </row>
    <row r="136" spans="1:8" x14ac:dyDescent="0.2">
      <c r="A136" s="94"/>
      <c r="C136" s="51"/>
      <c r="D136" s="52"/>
      <c r="E136" s="101"/>
      <c r="F136" s="101"/>
      <c r="G136" s="138"/>
      <c r="H136" s="149"/>
    </row>
    <row r="137" spans="1:8" x14ac:dyDescent="0.2">
      <c r="A137" s="94"/>
      <c r="C137" s="56"/>
      <c r="D137" s="52"/>
      <c r="E137" s="101"/>
      <c r="F137" s="101"/>
      <c r="G137" s="138"/>
      <c r="H137" s="149"/>
    </row>
    <row r="138" spans="1:8" x14ac:dyDescent="0.2">
      <c r="A138" s="94"/>
      <c r="C138" s="56"/>
      <c r="D138" s="52"/>
      <c r="E138" s="101"/>
      <c r="F138" s="101"/>
      <c r="G138" s="138"/>
      <c r="H138" s="149"/>
    </row>
    <row r="139" spans="1:8" x14ac:dyDescent="0.2">
      <c r="A139" s="94"/>
      <c r="C139" s="51"/>
      <c r="D139" s="52"/>
      <c r="E139" s="101"/>
      <c r="F139" s="101"/>
      <c r="G139" s="138"/>
      <c r="H139" s="153"/>
    </row>
    <row r="140" spans="1:8" x14ac:dyDescent="0.2">
      <c r="A140" s="94"/>
      <c r="E140" s="91"/>
      <c r="F140" s="91"/>
      <c r="G140" s="91"/>
      <c r="H140" s="149"/>
    </row>
    <row r="141" spans="1:8" x14ac:dyDescent="0.2">
      <c r="A141" s="94"/>
      <c r="C141" s="51"/>
      <c r="D141" s="52"/>
      <c r="E141" s="91"/>
      <c r="F141" s="156"/>
      <c r="G141" s="138"/>
      <c r="H141" s="129"/>
    </row>
    <row r="142" spans="1:8" x14ac:dyDescent="0.2">
      <c r="A142" s="94"/>
      <c r="B142" s="90"/>
      <c r="C142" s="51"/>
      <c r="D142" s="52"/>
      <c r="E142" s="91"/>
      <c r="F142" s="156"/>
      <c r="G142" s="138"/>
      <c r="H142" s="129"/>
    </row>
    <row r="143" spans="1:8" x14ac:dyDescent="0.2">
      <c r="A143" s="95"/>
      <c r="B143" s="90"/>
      <c r="C143" s="51"/>
      <c r="D143" s="52"/>
      <c r="E143" s="91"/>
      <c r="F143" s="156"/>
      <c r="G143" s="138"/>
      <c r="H143" s="129"/>
    </row>
    <row r="144" spans="1:8" x14ac:dyDescent="0.2">
      <c r="A144" s="94"/>
      <c r="C144" s="51"/>
      <c r="D144" s="57"/>
      <c r="E144" s="101"/>
      <c r="F144" s="157"/>
      <c r="G144" s="138"/>
      <c r="H144" s="129"/>
    </row>
    <row r="145" spans="1:10" x14ac:dyDescent="0.2">
      <c r="A145" s="94"/>
      <c r="C145" s="51"/>
      <c r="D145" s="158"/>
      <c r="E145" s="101"/>
      <c r="F145" s="157"/>
      <c r="G145" s="138"/>
      <c r="H145" s="129"/>
    </row>
    <row r="146" spans="1:10" x14ac:dyDescent="0.2">
      <c r="A146" s="94"/>
      <c r="C146" s="51"/>
      <c r="D146" s="158"/>
      <c r="E146" s="153"/>
      <c r="F146" s="159"/>
      <c r="G146" s="138"/>
      <c r="H146" s="129"/>
    </row>
    <row r="147" spans="1:10" x14ac:dyDescent="0.2">
      <c r="A147" s="94"/>
      <c r="C147" s="51"/>
      <c r="D147" s="57"/>
      <c r="E147" s="149"/>
      <c r="F147" s="129"/>
      <c r="G147" s="138"/>
      <c r="H147" s="129"/>
    </row>
    <row r="148" spans="1:10" x14ac:dyDescent="0.2">
      <c r="A148" s="94"/>
      <c r="C148" s="51"/>
      <c r="D148" s="52"/>
      <c r="F148" s="129"/>
      <c r="G148" s="138"/>
      <c r="H148" s="129"/>
    </row>
    <row r="149" spans="1:10" x14ac:dyDescent="0.2">
      <c r="A149" s="94"/>
    </row>
    <row r="150" spans="1:10" x14ac:dyDescent="0.2">
      <c r="A150" s="94"/>
    </row>
    <row r="151" spans="1:10" x14ac:dyDescent="0.2">
      <c r="A151" s="94"/>
    </row>
    <row r="152" spans="1:10" x14ac:dyDescent="0.2">
      <c r="A152" s="94"/>
      <c r="B152" s="90"/>
    </row>
    <row r="153" spans="1:10" x14ac:dyDescent="0.2">
      <c r="A153" s="94"/>
      <c r="B153" s="151"/>
    </row>
    <row r="154" spans="1:10" x14ac:dyDescent="0.2">
      <c r="A154" s="94"/>
      <c r="B154" s="151"/>
    </row>
    <row r="155" spans="1:10" x14ac:dyDescent="0.2">
      <c r="A155" s="94"/>
      <c r="B155" s="151"/>
    </row>
    <row r="156" spans="1:10" x14ac:dyDescent="0.2">
      <c r="A156" s="94"/>
    </row>
    <row r="157" spans="1:10" x14ac:dyDescent="0.2">
      <c r="A157" s="94"/>
      <c r="B157" s="90"/>
    </row>
    <row r="158" spans="1:10" x14ac:dyDescent="0.2">
      <c r="A158" s="94"/>
    </row>
    <row r="159" spans="1:10" x14ac:dyDescent="0.2">
      <c r="A159" s="95"/>
      <c r="C159" s="55"/>
      <c r="D159" s="98"/>
      <c r="G159" s="91"/>
      <c r="H159" s="91"/>
      <c r="I159" s="91"/>
      <c r="J159" s="91"/>
    </row>
    <row r="160" spans="1:10" x14ac:dyDescent="0.2">
      <c r="A160" s="94"/>
      <c r="C160" s="56"/>
      <c r="D160" s="160"/>
      <c r="F160" s="161"/>
      <c r="G160" s="91"/>
      <c r="H160" s="91"/>
      <c r="I160" s="91"/>
      <c r="J160" s="91"/>
    </row>
    <row r="161" spans="1:10" x14ac:dyDescent="0.2">
      <c r="A161" s="94"/>
      <c r="C161" s="51"/>
      <c r="D161" s="160"/>
      <c r="F161" s="161"/>
      <c r="G161" s="91"/>
      <c r="H161" s="91"/>
      <c r="I161" s="91"/>
      <c r="J161" s="91"/>
    </row>
    <row r="162" spans="1:10" x14ac:dyDescent="0.2">
      <c r="A162" s="94"/>
      <c r="C162" s="51"/>
      <c r="D162" s="160"/>
      <c r="F162" s="161"/>
      <c r="G162" s="91"/>
      <c r="H162" s="91"/>
      <c r="I162" s="91"/>
      <c r="J162" s="91"/>
    </row>
    <row r="163" spans="1:10" x14ac:dyDescent="0.2">
      <c r="A163" s="94"/>
      <c r="C163" s="56"/>
      <c r="D163" s="160"/>
      <c r="F163" s="161"/>
      <c r="G163" s="91"/>
      <c r="H163" s="91"/>
      <c r="I163" s="91"/>
      <c r="J163" s="91"/>
    </row>
    <row r="164" spans="1:10" x14ac:dyDescent="0.2">
      <c r="A164" s="94"/>
      <c r="C164" s="51"/>
      <c r="D164" s="160"/>
      <c r="F164" s="161"/>
      <c r="G164" s="91"/>
      <c r="H164" s="91"/>
      <c r="I164" s="91"/>
      <c r="J164" s="91"/>
    </row>
    <row r="165" spans="1:10" x14ac:dyDescent="0.2">
      <c r="A165" s="94"/>
      <c r="C165" s="51"/>
      <c r="D165" s="160"/>
      <c r="F165" s="161"/>
      <c r="G165" s="91"/>
      <c r="H165" s="91"/>
      <c r="I165" s="91"/>
      <c r="J165" s="91"/>
    </row>
    <row r="166" spans="1:10" x14ac:dyDescent="0.2">
      <c r="A166" s="94"/>
      <c r="C166" s="56"/>
      <c r="D166" s="160"/>
      <c r="F166" s="161"/>
      <c r="G166" s="91"/>
      <c r="H166" s="91"/>
      <c r="I166" s="91"/>
      <c r="J166" s="91"/>
    </row>
    <row r="167" spans="1:10" x14ac:dyDescent="0.2">
      <c r="A167" s="94"/>
      <c r="C167" s="51"/>
      <c r="D167" s="160"/>
      <c r="F167" s="161"/>
      <c r="G167" s="91"/>
      <c r="H167" s="91"/>
      <c r="I167" s="91"/>
      <c r="J167" s="91"/>
    </row>
    <row r="168" spans="1:10" x14ac:dyDescent="0.2">
      <c r="A168" s="94"/>
      <c r="C168" s="51"/>
      <c r="D168" s="160"/>
      <c r="F168" s="161"/>
      <c r="G168" s="91"/>
      <c r="H168" s="91"/>
      <c r="I168" s="91"/>
      <c r="J168" s="91"/>
    </row>
    <row r="169" spans="1:10" x14ac:dyDescent="0.2">
      <c r="A169" s="94"/>
      <c r="C169" s="56"/>
      <c r="D169" s="160"/>
      <c r="F169" s="161"/>
      <c r="G169" s="91"/>
      <c r="H169" s="91"/>
      <c r="I169" s="91"/>
      <c r="J169" s="91"/>
    </row>
    <row r="170" spans="1:10" x14ac:dyDescent="0.2">
      <c r="A170" s="94"/>
      <c r="C170" s="56"/>
      <c r="D170" s="160"/>
      <c r="F170" s="161"/>
    </row>
    <row r="171" spans="1:10" x14ac:dyDescent="0.2">
      <c r="A171" s="94"/>
      <c r="C171" s="51"/>
      <c r="D171" s="162"/>
      <c r="F171" s="163"/>
    </row>
    <row r="172" spans="1:10" x14ac:dyDescent="0.2">
      <c r="A172" s="94"/>
      <c r="C172" s="54"/>
      <c r="D172" s="160"/>
    </row>
  </sheetData>
  <pageMargins left="0.75" right="0.75" top="1" bottom="1" header="0.5" footer="0.5"/>
  <pageSetup scale="80" orientation="landscape" cellComments="asDisplayed" r:id="rId1"/>
  <headerFooter alignWithMargins="0">
    <oddHeader>&amp;CSchedule 4
True Up TRR
(Revised 2017 True Up TRR)&amp;RTO2020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C3193-9C1A-4EA9-936E-32B1F5B46E74}">
  <dimension ref="A1:M460"/>
  <sheetViews>
    <sheetView topLeftCell="A37" zoomScaleNormal="100" workbookViewId="0"/>
  </sheetViews>
  <sheetFormatPr defaultRowHeight="12.75" x14ac:dyDescent="0.2"/>
  <cols>
    <col min="1" max="1" width="4.7109375" style="91"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91" bestFit="1" customWidth="1"/>
    <col min="13" max="13" width="13.140625" bestFit="1" customWidth="1"/>
  </cols>
  <sheetData>
    <row r="1" spans="1:12" x14ac:dyDescent="0.2">
      <c r="A1" s="111" t="s">
        <v>900</v>
      </c>
      <c r="K1" s="90"/>
    </row>
    <row r="2" spans="1:12" x14ac:dyDescent="0.2">
      <c r="A2" s="111"/>
      <c r="K2" s="90"/>
    </row>
    <row r="3" spans="1:12" x14ac:dyDescent="0.2">
      <c r="A3" s="111"/>
      <c r="B3" s="151" t="s">
        <v>901</v>
      </c>
      <c r="K3" s="90"/>
    </row>
    <row r="4" spans="1:12" x14ac:dyDescent="0.2">
      <c r="B4" s="151" t="s">
        <v>902</v>
      </c>
      <c r="K4" s="90"/>
      <c r="L4" s="102"/>
    </row>
    <row r="5" spans="1:12" x14ac:dyDescent="0.2">
      <c r="B5" s="151"/>
      <c r="K5" s="90"/>
    </row>
    <row r="6" spans="1:12" x14ac:dyDescent="0.2">
      <c r="A6" s="102"/>
      <c r="B6" s="90" t="s">
        <v>903</v>
      </c>
      <c r="K6" s="90"/>
    </row>
    <row r="7" spans="1:12" x14ac:dyDescent="0.2">
      <c r="A7" s="102"/>
      <c r="B7" s="90"/>
      <c r="D7" s="155" t="s">
        <v>152</v>
      </c>
      <c r="E7" s="155" t="s">
        <v>153</v>
      </c>
      <c r="F7" s="155" t="s">
        <v>154</v>
      </c>
      <c r="G7" s="155" t="s">
        <v>155</v>
      </c>
      <c r="H7" s="155" t="s">
        <v>904</v>
      </c>
      <c r="I7" s="155" t="s">
        <v>905</v>
      </c>
      <c r="J7" s="391"/>
      <c r="K7" s="90"/>
      <c r="L7" s="391"/>
    </row>
    <row r="8" spans="1:12" x14ac:dyDescent="0.2">
      <c r="D8" s="421" t="s">
        <v>906</v>
      </c>
      <c r="J8" s="91"/>
      <c r="K8" s="91"/>
    </row>
    <row r="9" spans="1:12" x14ac:dyDescent="0.2">
      <c r="D9" s="388" t="s">
        <v>907</v>
      </c>
      <c r="J9" s="91"/>
      <c r="K9" s="91"/>
    </row>
    <row r="10" spans="1:12" x14ac:dyDescent="0.2">
      <c r="B10" s="94"/>
      <c r="J10" s="91"/>
      <c r="K10" s="91"/>
    </row>
    <row r="11" spans="1:12" x14ac:dyDescent="0.2">
      <c r="B11" s="94"/>
      <c r="D11" s="94" t="s">
        <v>1</v>
      </c>
      <c r="F11" s="94" t="s">
        <v>908</v>
      </c>
      <c r="G11" s="422" t="s">
        <v>909</v>
      </c>
      <c r="H11" s="422" t="s">
        <v>910</v>
      </c>
      <c r="I11" s="94"/>
      <c r="J11" s="99"/>
      <c r="K11" s="151"/>
    </row>
    <row r="12" spans="1:12" x14ac:dyDescent="0.2">
      <c r="A12" s="136" t="s">
        <v>292</v>
      </c>
      <c r="B12" s="55" t="s">
        <v>16</v>
      </c>
      <c r="C12" s="55" t="s">
        <v>17</v>
      </c>
      <c r="D12" s="98" t="s">
        <v>911</v>
      </c>
      <c r="E12" s="98" t="s">
        <v>912</v>
      </c>
      <c r="F12" s="98" t="s">
        <v>913</v>
      </c>
      <c r="G12" s="423" t="s">
        <v>914</v>
      </c>
      <c r="H12" s="423" t="s">
        <v>915</v>
      </c>
      <c r="I12" s="98" t="s">
        <v>916</v>
      </c>
      <c r="J12" s="135"/>
      <c r="K12" s="151"/>
    </row>
    <row r="13" spans="1:12" x14ac:dyDescent="0.2">
      <c r="A13" s="99">
        <v>1</v>
      </c>
      <c r="B13" s="56" t="s">
        <v>6</v>
      </c>
      <c r="C13" s="424">
        <v>2016</v>
      </c>
      <c r="D13" s="149">
        <f>SUM(E13:I13)+SUM(D33:G33)</f>
        <v>115749706.3</v>
      </c>
      <c r="E13" s="425">
        <v>14915547.51</v>
      </c>
      <c r="F13" s="394">
        <v>0</v>
      </c>
      <c r="G13" s="394">
        <v>4204927.07</v>
      </c>
      <c r="H13" s="394">
        <v>69685244.670000002</v>
      </c>
      <c r="I13" s="394">
        <v>0</v>
      </c>
      <c r="J13" s="426"/>
    </row>
    <row r="14" spans="1:12" x14ac:dyDescent="0.2">
      <c r="A14" s="99">
        <f>A13+1</f>
        <v>2</v>
      </c>
      <c r="B14" s="56" t="s">
        <v>7</v>
      </c>
      <c r="C14" s="424">
        <v>2017</v>
      </c>
      <c r="D14" s="149">
        <f t="shared" ref="D14:D25" si="0">SUM(E14:I14)+SUM(D34:G34)</f>
        <v>117194141.84999999</v>
      </c>
      <c r="E14" s="425">
        <v>15082524.26</v>
      </c>
      <c r="F14" s="394">
        <v>0</v>
      </c>
      <c r="G14" s="394">
        <v>4239930.7699999996</v>
      </c>
      <c r="H14" s="394">
        <v>70177660.219999999</v>
      </c>
      <c r="I14" s="394">
        <v>0</v>
      </c>
      <c r="J14" s="426"/>
    </row>
    <row r="15" spans="1:12" x14ac:dyDescent="0.2">
      <c r="A15" s="99">
        <f t="shared" ref="A15:A26" si="1">A14+1</f>
        <v>3</v>
      </c>
      <c r="B15" s="51" t="s">
        <v>8</v>
      </c>
      <c r="C15" s="424">
        <v>2017</v>
      </c>
      <c r="D15" s="149">
        <f t="shared" si="0"/>
        <v>119164540.84</v>
      </c>
      <c r="E15" s="425">
        <v>15117127.390000001</v>
      </c>
      <c r="F15" s="394">
        <v>0</v>
      </c>
      <c r="G15" s="394">
        <v>4296863.42</v>
      </c>
      <c r="H15" s="394">
        <v>71031101.459999993</v>
      </c>
      <c r="I15" s="394">
        <v>0</v>
      </c>
      <c r="J15" s="426"/>
    </row>
    <row r="16" spans="1:12" x14ac:dyDescent="0.2">
      <c r="A16" s="99">
        <f t="shared" si="1"/>
        <v>4</v>
      </c>
      <c r="B16" s="51" t="s">
        <v>18</v>
      </c>
      <c r="C16" s="424">
        <v>2017</v>
      </c>
      <c r="D16" s="149">
        <f t="shared" si="0"/>
        <v>125730090.70000002</v>
      </c>
      <c r="E16" s="425">
        <v>15123624.76</v>
      </c>
      <c r="F16" s="394">
        <v>0</v>
      </c>
      <c r="G16" s="394">
        <v>4400060.7300000004</v>
      </c>
      <c r="H16" s="394">
        <v>73723203.530000001</v>
      </c>
      <c r="I16" s="394">
        <v>0</v>
      </c>
      <c r="J16" s="426"/>
    </row>
    <row r="17" spans="1:12" x14ac:dyDescent="0.2">
      <c r="A17" s="99">
        <f t="shared" si="1"/>
        <v>5</v>
      </c>
      <c r="B17" s="56" t="s">
        <v>9</v>
      </c>
      <c r="C17" s="424">
        <v>2017</v>
      </c>
      <c r="D17" s="149">
        <f t="shared" si="0"/>
        <v>95419243.700000003</v>
      </c>
      <c r="E17" s="425">
        <v>15192634.41</v>
      </c>
      <c r="F17" s="394">
        <v>0</v>
      </c>
      <c r="G17" s="394">
        <v>4461540.67</v>
      </c>
      <c r="H17" s="394">
        <v>75120415.75</v>
      </c>
      <c r="I17" s="394">
        <v>0</v>
      </c>
      <c r="J17" s="426"/>
    </row>
    <row r="18" spans="1:12" x14ac:dyDescent="0.2">
      <c r="A18" s="99">
        <f t="shared" si="1"/>
        <v>6</v>
      </c>
      <c r="B18" s="51" t="s">
        <v>10</v>
      </c>
      <c r="C18" s="424">
        <v>2017</v>
      </c>
      <c r="D18" s="149">
        <f t="shared" si="0"/>
        <v>82582163</v>
      </c>
      <c r="E18" s="425">
        <v>149717.78</v>
      </c>
      <c r="F18" s="394">
        <v>0</v>
      </c>
      <c r="G18" s="394">
        <v>4476503.9800000004</v>
      </c>
      <c r="H18" s="394">
        <v>77300754.379999995</v>
      </c>
      <c r="I18" s="394">
        <v>0</v>
      </c>
      <c r="J18" s="426"/>
    </row>
    <row r="19" spans="1:12" x14ac:dyDescent="0.2">
      <c r="A19" s="99">
        <f t="shared" si="1"/>
        <v>7</v>
      </c>
      <c r="B19" s="51" t="s">
        <v>917</v>
      </c>
      <c r="C19" s="424">
        <v>2017</v>
      </c>
      <c r="D19" s="149">
        <f t="shared" si="0"/>
        <v>84504679.470000014</v>
      </c>
      <c r="E19" s="425">
        <v>149717.78</v>
      </c>
      <c r="F19" s="394">
        <v>0</v>
      </c>
      <c r="G19" s="394">
        <v>4697237.76</v>
      </c>
      <c r="H19" s="394">
        <v>78966263.950000003</v>
      </c>
      <c r="I19" s="394">
        <v>0</v>
      </c>
      <c r="J19" s="426"/>
    </row>
    <row r="20" spans="1:12" x14ac:dyDescent="0.2">
      <c r="A20" s="99">
        <f t="shared" si="1"/>
        <v>8</v>
      </c>
      <c r="B20" s="56" t="s">
        <v>11</v>
      </c>
      <c r="C20" s="424">
        <v>2017</v>
      </c>
      <c r="D20" s="149">
        <f t="shared" si="0"/>
        <v>85941139.910000011</v>
      </c>
      <c r="E20" s="425">
        <v>149717.78</v>
      </c>
      <c r="F20" s="394">
        <v>0</v>
      </c>
      <c r="G20" s="394">
        <v>4761048.12</v>
      </c>
      <c r="H20" s="394">
        <v>80276384.420000002</v>
      </c>
      <c r="I20" s="394">
        <v>0</v>
      </c>
      <c r="J20" s="426"/>
    </row>
    <row r="21" spans="1:12" x14ac:dyDescent="0.2">
      <c r="A21" s="99">
        <f t="shared" si="1"/>
        <v>9</v>
      </c>
      <c r="B21" s="51" t="s">
        <v>12</v>
      </c>
      <c r="C21" s="424">
        <v>2017</v>
      </c>
      <c r="D21" s="149">
        <f t="shared" si="0"/>
        <v>89338929.129999995</v>
      </c>
      <c r="E21" s="425">
        <v>150128.82999999999</v>
      </c>
      <c r="F21" s="394">
        <v>0</v>
      </c>
      <c r="G21" s="394">
        <v>4777853.08</v>
      </c>
      <c r="H21" s="394">
        <v>83585450.480000004</v>
      </c>
      <c r="I21" s="394">
        <v>0</v>
      </c>
      <c r="J21" s="426"/>
    </row>
    <row r="22" spans="1:12" x14ac:dyDescent="0.2">
      <c r="A22" s="99">
        <f t="shared" si="1"/>
        <v>10</v>
      </c>
      <c r="B22" s="51" t="s">
        <v>13</v>
      </c>
      <c r="C22" s="424">
        <v>2017</v>
      </c>
      <c r="D22" s="149">
        <f t="shared" si="0"/>
        <v>91194894.549999997</v>
      </c>
      <c r="E22" s="425">
        <v>150061.94</v>
      </c>
      <c r="F22" s="394">
        <v>0</v>
      </c>
      <c r="G22" s="394">
        <v>4824268.1100000003</v>
      </c>
      <c r="H22" s="394">
        <v>85335964.900000006</v>
      </c>
      <c r="I22" s="394">
        <v>0</v>
      </c>
      <c r="J22" s="426"/>
    </row>
    <row r="23" spans="1:12" x14ac:dyDescent="0.2">
      <c r="A23" s="99">
        <f t="shared" si="1"/>
        <v>11</v>
      </c>
      <c r="B23" s="56" t="s">
        <v>918</v>
      </c>
      <c r="C23" s="424">
        <v>2017</v>
      </c>
      <c r="D23" s="149">
        <f t="shared" si="0"/>
        <v>91967696.25</v>
      </c>
      <c r="E23" s="425">
        <v>150061.94</v>
      </c>
      <c r="F23" s="394">
        <v>0</v>
      </c>
      <c r="G23" s="394">
        <v>4844917.93</v>
      </c>
      <c r="H23" s="394">
        <v>86972716.379999995</v>
      </c>
      <c r="I23" s="394">
        <v>0</v>
      </c>
      <c r="J23" s="426"/>
    </row>
    <row r="24" spans="1:12" x14ac:dyDescent="0.2">
      <c r="A24" s="99">
        <f t="shared" si="1"/>
        <v>12</v>
      </c>
      <c r="B24" s="56" t="s">
        <v>14</v>
      </c>
      <c r="C24" s="424">
        <v>2017</v>
      </c>
      <c r="D24" s="149">
        <f t="shared" si="0"/>
        <v>134172263.75</v>
      </c>
      <c r="E24" s="425">
        <v>150061.94</v>
      </c>
      <c r="F24" s="394">
        <v>0</v>
      </c>
      <c r="G24" s="394">
        <v>4852268.33</v>
      </c>
      <c r="H24" s="394">
        <v>91066687.480000004</v>
      </c>
      <c r="I24" s="394">
        <v>0</v>
      </c>
      <c r="J24" s="426"/>
    </row>
    <row r="25" spans="1:12" x14ac:dyDescent="0.2">
      <c r="A25" s="99">
        <f t="shared" si="1"/>
        <v>13</v>
      </c>
      <c r="B25" s="56" t="s">
        <v>6</v>
      </c>
      <c r="C25" s="424">
        <v>2017</v>
      </c>
      <c r="D25" s="153">
        <f t="shared" si="0"/>
        <v>150431066.96000001</v>
      </c>
      <c r="E25" s="427">
        <v>150976.49</v>
      </c>
      <c r="F25" s="428">
        <v>0</v>
      </c>
      <c r="G25" s="428">
        <v>4884727.96</v>
      </c>
      <c r="H25" s="428">
        <v>98805811.510000005</v>
      </c>
      <c r="I25" s="428">
        <v>0</v>
      </c>
      <c r="J25" s="426"/>
    </row>
    <row r="26" spans="1:12" x14ac:dyDescent="0.2">
      <c r="A26" s="99">
        <f t="shared" si="1"/>
        <v>14</v>
      </c>
      <c r="B26" s="56"/>
      <c r="C26" s="429" t="s">
        <v>919</v>
      </c>
      <c r="D26" s="430">
        <f t="shared" ref="D26:I26" si="2">SUM(D13:D25)/13</f>
        <v>106414658.18538462</v>
      </c>
      <c r="E26" s="431">
        <f>SUM(E13:E25)/13</f>
        <v>5894761.7546153832</v>
      </c>
      <c r="F26" s="431">
        <f t="shared" si="2"/>
        <v>0</v>
      </c>
      <c r="G26" s="431">
        <f t="shared" si="2"/>
        <v>4594011.3792307694</v>
      </c>
      <c r="H26" s="431">
        <f t="shared" si="2"/>
        <v>80157512.240769237</v>
      </c>
      <c r="I26" s="431">
        <f t="shared" si="2"/>
        <v>0</v>
      </c>
      <c r="J26" s="426"/>
      <c r="K26" s="426"/>
    </row>
    <row r="27" spans="1:12" x14ac:dyDescent="0.2">
      <c r="A27" s="99"/>
      <c r="B27" s="56"/>
      <c r="C27" s="429"/>
      <c r="D27" s="431"/>
      <c r="E27" s="431"/>
      <c r="F27" s="431"/>
      <c r="G27" s="431"/>
      <c r="H27" s="431"/>
      <c r="I27" s="426"/>
      <c r="J27" s="426"/>
      <c r="K27" s="91"/>
      <c r="L27"/>
    </row>
    <row r="28" spans="1:12" x14ac:dyDescent="0.2">
      <c r="A28" s="99"/>
      <c r="B28" s="56"/>
      <c r="C28" s="429"/>
      <c r="D28" s="155" t="s">
        <v>920</v>
      </c>
      <c r="E28" s="155" t="s">
        <v>921</v>
      </c>
      <c r="F28" s="155" t="s">
        <v>922</v>
      </c>
      <c r="G28" s="155" t="s">
        <v>923</v>
      </c>
      <c r="H28" s="155" t="s">
        <v>924</v>
      </c>
      <c r="I28" s="155" t="s">
        <v>925</v>
      </c>
      <c r="J28" s="426"/>
      <c r="K28" s="91"/>
      <c r="L28"/>
    </row>
    <row r="29" spans="1:12" x14ac:dyDescent="0.2">
      <c r="A29" s="99"/>
      <c r="B29" s="56"/>
      <c r="C29" s="429"/>
      <c r="E29" s="432" t="s">
        <v>926</v>
      </c>
      <c r="F29" s="432"/>
      <c r="G29" s="432"/>
      <c r="H29" s="431"/>
      <c r="I29" s="426"/>
      <c r="J29" s="426"/>
      <c r="K29" s="91"/>
      <c r="L29"/>
    </row>
    <row r="30" spans="1:12" x14ac:dyDescent="0.2">
      <c r="B30" s="94"/>
      <c r="D30" s="94" t="s">
        <v>927</v>
      </c>
      <c r="E30" s="94" t="s">
        <v>928</v>
      </c>
      <c r="F30" s="432"/>
      <c r="G30" s="432"/>
      <c r="H30" s="431"/>
      <c r="I30" s="426"/>
      <c r="J30" s="426"/>
      <c r="K30" s="91"/>
      <c r="L30"/>
    </row>
    <row r="31" spans="1:12" x14ac:dyDescent="0.2">
      <c r="B31" s="94"/>
      <c r="D31" s="94" t="s">
        <v>929</v>
      </c>
      <c r="E31" s="94" t="s">
        <v>929</v>
      </c>
      <c r="F31" s="431"/>
      <c r="G31" s="426"/>
      <c r="H31" s="422" t="s">
        <v>930</v>
      </c>
      <c r="I31" s="426"/>
      <c r="J31" s="426"/>
      <c r="K31" s="91"/>
      <c r="L31"/>
    </row>
    <row r="32" spans="1:12" x14ac:dyDescent="0.2">
      <c r="A32" s="136" t="s">
        <v>292</v>
      </c>
      <c r="B32" s="55" t="s">
        <v>16</v>
      </c>
      <c r="C32" s="55" t="s">
        <v>17</v>
      </c>
      <c r="D32" s="98" t="s">
        <v>931</v>
      </c>
      <c r="E32" s="98" t="s">
        <v>931</v>
      </c>
      <c r="F32" s="423" t="s">
        <v>932</v>
      </c>
      <c r="G32" s="423" t="s">
        <v>933</v>
      </c>
      <c r="H32" s="423" t="s">
        <v>934</v>
      </c>
      <c r="I32" s="423"/>
      <c r="J32" s="426"/>
      <c r="K32" s="91"/>
      <c r="L32"/>
    </row>
    <row r="33" spans="1:12" x14ac:dyDescent="0.2">
      <c r="A33" s="99">
        <f>+A26+1</f>
        <v>15</v>
      </c>
      <c r="B33" s="56" t="s">
        <v>6</v>
      </c>
      <c r="C33" s="424">
        <v>2016</v>
      </c>
      <c r="D33" s="394">
        <v>26943987.050000001</v>
      </c>
      <c r="E33" s="394">
        <v>0</v>
      </c>
      <c r="F33" s="394">
        <v>0</v>
      </c>
      <c r="G33" s="394">
        <v>0</v>
      </c>
      <c r="H33" s="433">
        <v>0</v>
      </c>
      <c r="I33" s="434"/>
      <c r="J33" s="426"/>
      <c r="K33" s="91"/>
      <c r="L33"/>
    </row>
    <row r="34" spans="1:12" x14ac:dyDescent="0.2">
      <c r="A34" s="99">
        <f>A33+1</f>
        <v>16</v>
      </c>
      <c r="B34" s="56" t="s">
        <v>7</v>
      </c>
      <c r="C34" s="424">
        <v>2017</v>
      </c>
      <c r="D34" s="394">
        <v>27694026.600000001</v>
      </c>
      <c r="E34" s="394">
        <v>0</v>
      </c>
      <c r="F34" s="394">
        <v>0</v>
      </c>
      <c r="G34" s="394">
        <v>0</v>
      </c>
      <c r="H34" s="433">
        <v>0</v>
      </c>
      <c r="I34" s="434"/>
      <c r="J34" s="426"/>
      <c r="K34" s="91"/>
      <c r="L34"/>
    </row>
    <row r="35" spans="1:12" x14ac:dyDescent="0.2">
      <c r="A35" s="99">
        <f t="shared" ref="A35:A46" si="3">A34+1</f>
        <v>17</v>
      </c>
      <c r="B35" s="51" t="s">
        <v>8</v>
      </c>
      <c r="C35" s="424">
        <v>2017</v>
      </c>
      <c r="D35" s="394">
        <v>28719448.57</v>
      </c>
      <c r="E35" s="394">
        <v>0</v>
      </c>
      <c r="F35" s="394">
        <v>0</v>
      </c>
      <c r="G35" s="394">
        <v>0</v>
      </c>
      <c r="H35" s="433">
        <v>0</v>
      </c>
      <c r="I35" s="434"/>
      <c r="J35" s="426"/>
      <c r="K35" s="91"/>
      <c r="L35"/>
    </row>
    <row r="36" spans="1:12" x14ac:dyDescent="0.2">
      <c r="A36" s="99">
        <f t="shared" si="3"/>
        <v>18</v>
      </c>
      <c r="B36" s="51" t="s">
        <v>18</v>
      </c>
      <c r="C36" s="424">
        <v>2017</v>
      </c>
      <c r="D36" s="394">
        <v>32483201.68</v>
      </c>
      <c r="E36" s="394">
        <v>0</v>
      </c>
      <c r="F36" s="394">
        <v>0</v>
      </c>
      <c r="G36" s="394">
        <v>0</v>
      </c>
      <c r="H36" s="433">
        <v>0</v>
      </c>
      <c r="I36" s="434"/>
      <c r="J36" s="426"/>
      <c r="K36" s="91"/>
      <c r="L36"/>
    </row>
    <row r="37" spans="1:12" x14ac:dyDescent="0.2">
      <c r="A37" s="99">
        <f t="shared" si="3"/>
        <v>19</v>
      </c>
      <c r="B37" s="56" t="s">
        <v>9</v>
      </c>
      <c r="C37" s="424">
        <v>2017</v>
      </c>
      <c r="D37" s="394">
        <v>644652.87</v>
      </c>
      <c r="E37" s="394">
        <v>0</v>
      </c>
      <c r="F37" s="394">
        <v>0</v>
      </c>
      <c r="G37" s="394">
        <v>0</v>
      </c>
      <c r="H37" s="433">
        <v>0</v>
      </c>
      <c r="I37" s="434"/>
      <c r="J37" s="426"/>
      <c r="K37" s="91"/>
      <c r="L37"/>
    </row>
    <row r="38" spans="1:12" x14ac:dyDescent="0.2">
      <c r="A38" s="99">
        <f t="shared" si="3"/>
        <v>20</v>
      </c>
      <c r="B38" s="51" t="s">
        <v>10</v>
      </c>
      <c r="C38" s="424">
        <v>2017</v>
      </c>
      <c r="D38" s="394">
        <v>655186.86</v>
      </c>
      <c r="E38" s="394">
        <v>0</v>
      </c>
      <c r="F38" s="394">
        <v>0</v>
      </c>
      <c r="G38" s="394">
        <v>0</v>
      </c>
      <c r="H38" s="433">
        <v>0</v>
      </c>
      <c r="I38" s="434"/>
      <c r="J38" s="426"/>
      <c r="K38" s="91"/>
      <c r="L38"/>
    </row>
    <row r="39" spans="1:12" x14ac:dyDescent="0.2">
      <c r="A39" s="99">
        <f t="shared" si="3"/>
        <v>21</v>
      </c>
      <c r="B39" s="51" t="s">
        <v>917</v>
      </c>
      <c r="C39" s="424">
        <v>2017</v>
      </c>
      <c r="D39" s="394">
        <v>691459.98</v>
      </c>
      <c r="E39" s="394">
        <v>0</v>
      </c>
      <c r="F39" s="394">
        <v>0</v>
      </c>
      <c r="G39" s="394">
        <v>0</v>
      </c>
      <c r="H39" s="433">
        <v>0</v>
      </c>
      <c r="I39" s="434"/>
      <c r="J39" s="426"/>
      <c r="K39" s="91"/>
      <c r="L39"/>
    </row>
    <row r="40" spans="1:12" x14ac:dyDescent="0.2">
      <c r="A40" s="99">
        <f t="shared" si="3"/>
        <v>22</v>
      </c>
      <c r="B40" s="56" t="s">
        <v>11</v>
      </c>
      <c r="C40" s="424">
        <v>2017</v>
      </c>
      <c r="D40" s="394">
        <v>753989.59</v>
      </c>
      <c r="E40" s="394">
        <v>0</v>
      </c>
      <c r="F40" s="394">
        <v>0</v>
      </c>
      <c r="G40" s="394">
        <v>0</v>
      </c>
      <c r="H40" s="433">
        <v>0</v>
      </c>
      <c r="I40" s="434"/>
      <c r="J40" s="426"/>
      <c r="K40" s="91"/>
      <c r="L40"/>
    </row>
    <row r="41" spans="1:12" x14ac:dyDescent="0.2">
      <c r="A41" s="99">
        <f t="shared" si="3"/>
        <v>23</v>
      </c>
      <c r="B41" s="51" t="s">
        <v>12</v>
      </c>
      <c r="C41" s="424">
        <v>2017</v>
      </c>
      <c r="D41" s="394">
        <v>825496.74</v>
      </c>
      <c r="E41" s="394">
        <v>0</v>
      </c>
      <c r="F41" s="394">
        <v>0</v>
      </c>
      <c r="G41" s="394">
        <v>0</v>
      </c>
      <c r="H41" s="433">
        <v>0</v>
      </c>
      <c r="I41" s="434"/>
      <c r="J41" s="426"/>
      <c r="K41" s="91"/>
      <c r="L41"/>
    </row>
    <row r="42" spans="1:12" x14ac:dyDescent="0.2">
      <c r="A42" s="99">
        <f t="shared" si="3"/>
        <v>24</v>
      </c>
      <c r="B42" s="51" t="s">
        <v>13</v>
      </c>
      <c r="C42" s="424">
        <v>2017</v>
      </c>
      <c r="D42" s="394">
        <v>884599.6</v>
      </c>
      <c r="E42" s="394">
        <v>0</v>
      </c>
      <c r="F42" s="394">
        <v>0</v>
      </c>
      <c r="G42" s="394">
        <v>0</v>
      </c>
      <c r="H42" s="433">
        <v>0</v>
      </c>
      <c r="I42" s="434"/>
      <c r="J42" s="426"/>
      <c r="K42" s="91"/>
      <c r="L42"/>
    </row>
    <row r="43" spans="1:12" ht="13.5" thickBot="1" x14ac:dyDescent="0.25">
      <c r="A43" s="99">
        <f t="shared" si="3"/>
        <v>25</v>
      </c>
      <c r="B43" s="56" t="s">
        <v>918</v>
      </c>
      <c r="C43" s="424">
        <v>2017</v>
      </c>
      <c r="D43" s="394">
        <v>0</v>
      </c>
      <c r="E43" s="394">
        <v>0</v>
      </c>
      <c r="F43" s="394">
        <v>0</v>
      </c>
      <c r="G43" s="394">
        <v>0</v>
      </c>
      <c r="H43" s="433">
        <v>0</v>
      </c>
      <c r="I43" s="434"/>
      <c r="J43" s="426"/>
      <c r="K43" s="91"/>
      <c r="L43"/>
    </row>
    <row r="44" spans="1:12" x14ac:dyDescent="0.2">
      <c r="A44" s="99">
        <f t="shared" si="3"/>
        <v>26</v>
      </c>
      <c r="B44" s="56" t="s">
        <v>14</v>
      </c>
      <c r="C44" s="424">
        <v>2017</v>
      </c>
      <c r="D44" s="394">
        <v>0</v>
      </c>
      <c r="E44" s="394">
        <v>0</v>
      </c>
      <c r="F44" s="435">
        <v>38103246</v>
      </c>
      <c r="G44" s="394">
        <v>0</v>
      </c>
      <c r="H44" s="433">
        <v>0</v>
      </c>
      <c r="I44" s="434"/>
      <c r="J44" s="426"/>
      <c r="K44" s="91"/>
      <c r="L44"/>
    </row>
    <row r="45" spans="1:12" ht="13.5" thickBot="1" x14ac:dyDescent="0.25">
      <c r="A45" s="99">
        <f t="shared" si="3"/>
        <v>27</v>
      </c>
      <c r="B45" s="56" t="s">
        <v>6</v>
      </c>
      <c r="C45" s="424">
        <v>2017</v>
      </c>
      <c r="D45" s="428">
        <v>0</v>
      </c>
      <c r="E45" s="428">
        <v>0</v>
      </c>
      <c r="F45" s="436">
        <v>46589551</v>
      </c>
      <c r="G45" s="428">
        <v>0</v>
      </c>
      <c r="H45" s="437">
        <v>0</v>
      </c>
      <c r="I45" s="434"/>
      <c r="J45" s="426"/>
      <c r="K45" s="91"/>
      <c r="L45"/>
    </row>
    <row r="46" spans="1:12" x14ac:dyDescent="0.2">
      <c r="A46" s="99">
        <f t="shared" si="3"/>
        <v>28</v>
      </c>
      <c r="B46" s="56"/>
      <c r="C46" s="429" t="s">
        <v>919</v>
      </c>
      <c r="D46" s="431">
        <f>SUM(D33:D45)/13</f>
        <v>9253542.2723076921</v>
      </c>
      <c r="E46" s="431">
        <f>SUM(E33:E45)/13</f>
        <v>0</v>
      </c>
      <c r="F46" s="430">
        <f>SUM(F33:F45)/13</f>
        <v>6514830.538461538</v>
      </c>
      <c r="G46" s="431">
        <f>SUM(G33:G45)/13</f>
        <v>0</v>
      </c>
      <c r="H46" s="431">
        <f t="shared" ref="H46" si="4">SUM(H33:H45)/13</f>
        <v>0</v>
      </c>
      <c r="I46" s="438" t="s">
        <v>935</v>
      </c>
      <c r="J46" s="426"/>
      <c r="K46" s="91"/>
      <c r="L46"/>
    </row>
    <row r="48" spans="1:12" x14ac:dyDescent="0.2">
      <c r="B48" s="439" t="s">
        <v>936</v>
      </c>
    </row>
    <row r="49" spans="1:13" x14ac:dyDescent="0.2">
      <c r="B49" s="439"/>
      <c r="D49" s="440" t="s">
        <v>152</v>
      </c>
      <c r="E49" s="440" t="s">
        <v>153</v>
      </c>
      <c r="F49" s="440" t="s">
        <v>154</v>
      </c>
      <c r="G49" s="440" t="s">
        <v>155</v>
      </c>
      <c r="H49" s="440" t="s">
        <v>904</v>
      </c>
      <c r="I49" s="440" t="s">
        <v>905</v>
      </c>
      <c r="J49" s="440" t="s">
        <v>920</v>
      </c>
      <c r="K49" s="440" t="s">
        <v>921</v>
      </c>
    </row>
    <row r="50" spans="1:13" s="442" customFormat="1" x14ac:dyDescent="0.2">
      <c r="A50" s="441"/>
      <c r="D50" s="421" t="s">
        <v>937</v>
      </c>
      <c r="E50" s="421" t="s">
        <v>937</v>
      </c>
      <c r="F50" s="421" t="s">
        <v>937</v>
      </c>
      <c r="G50" s="421" t="s">
        <v>937</v>
      </c>
      <c r="H50" s="421" t="s">
        <v>937</v>
      </c>
      <c r="I50" s="421" t="s">
        <v>937</v>
      </c>
      <c r="J50" s="421" t="s">
        <v>937</v>
      </c>
      <c r="K50" s="421" t="s">
        <v>937</v>
      </c>
      <c r="L50" s="441"/>
    </row>
    <row r="51" spans="1:13" x14ac:dyDescent="0.2">
      <c r="G51" s="94" t="s">
        <v>938</v>
      </c>
      <c r="K51" s="443"/>
    </row>
    <row r="52" spans="1:13" x14ac:dyDescent="0.2">
      <c r="A52" s="443"/>
      <c r="B52" s="443"/>
      <c r="C52" s="443"/>
      <c r="D52" s="443" t="s">
        <v>939</v>
      </c>
      <c r="E52" s="443" t="s">
        <v>940</v>
      </c>
      <c r="F52" s="443" t="s">
        <v>941</v>
      </c>
      <c r="G52" s="443" t="s">
        <v>307</v>
      </c>
      <c r="H52" s="443" t="s">
        <v>942</v>
      </c>
      <c r="I52" s="444" t="s">
        <v>943</v>
      </c>
      <c r="J52" s="443" t="s">
        <v>939</v>
      </c>
      <c r="K52" s="443" t="s">
        <v>944</v>
      </c>
    </row>
    <row r="53" spans="1:13" x14ac:dyDescent="0.2">
      <c r="A53" s="136" t="s">
        <v>292</v>
      </c>
      <c r="B53" s="55" t="s">
        <v>16</v>
      </c>
      <c r="C53" s="55" t="s">
        <v>17</v>
      </c>
      <c r="D53" s="440" t="s">
        <v>945</v>
      </c>
      <c r="E53" s="440" t="s">
        <v>946</v>
      </c>
      <c r="F53" s="440" t="s">
        <v>947</v>
      </c>
      <c r="G53" s="440" t="s">
        <v>948</v>
      </c>
      <c r="H53" s="440" t="s">
        <v>949</v>
      </c>
      <c r="I53" s="440" t="s">
        <v>950</v>
      </c>
      <c r="J53" s="440" t="s">
        <v>951</v>
      </c>
      <c r="K53" s="98" t="s">
        <v>952</v>
      </c>
    </row>
    <row r="54" spans="1:13" x14ac:dyDescent="0.2">
      <c r="A54" s="99">
        <f>A46+1</f>
        <v>29</v>
      </c>
      <c r="B54" s="56" t="s">
        <v>6</v>
      </c>
      <c r="C54" s="424">
        <v>2017</v>
      </c>
      <c r="D54" s="445" t="s">
        <v>935</v>
      </c>
      <c r="E54" s="445" t="s">
        <v>935</v>
      </c>
      <c r="F54" s="445" t="s">
        <v>935</v>
      </c>
      <c r="G54" s="445" t="s">
        <v>935</v>
      </c>
      <c r="H54" s="445" t="s">
        <v>935</v>
      </c>
      <c r="I54" s="445" t="s">
        <v>935</v>
      </c>
      <c r="J54" s="107">
        <f>D25</f>
        <v>150431066.96000001</v>
      </c>
      <c r="K54" s="445" t="s">
        <v>935</v>
      </c>
    </row>
    <row r="55" spans="1:13" x14ac:dyDescent="0.2">
      <c r="A55" s="99">
        <f>A54+1</f>
        <v>30</v>
      </c>
      <c r="B55" s="56" t="s">
        <v>7</v>
      </c>
      <c r="C55" s="424">
        <v>2018</v>
      </c>
      <c r="D55" s="149">
        <f>D89+D122+D153+D186+D217+D250+D281+D314+D345+D378</f>
        <v>9351203.5251600072</v>
      </c>
      <c r="E55" s="149">
        <f t="shared" ref="D55:K70" si="5">E89+E122+E153+E186+E217+E250+E281+E314+E345+E378</f>
        <v>701340.26438700035</v>
      </c>
      <c r="F55" s="149">
        <f t="shared" si="5"/>
        <v>10052543.789547008</v>
      </c>
      <c r="G55" s="149">
        <f t="shared" si="5"/>
        <v>5037315.0016000001</v>
      </c>
      <c r="H55" s="149">
        <f t="shared" si="5"/>
        <v>4098416.9471999994</v>
      </c>
      <c r="I55" s="149">
        <f t="shared" si="5"/>
        <v>70417.354080000048</v>
      </c>
      <c r="J55" s="107">
        <f t="shared" si="5"/>
        <v>155375878.39386705</v>
      </c>
      <c r="K55" s="149">
        <f t="shared" si="5"/>
        <v>4944811.433867014</v>
      </c>
      <c r="L55" s="446"/>
      <c r="M55" s="149"/>
    </row>
    <row r="56" spans="1:13" x14ac:dyDescent="0.2">
      <c r="A56" s="99">
        <f t="shared" ref="A56:A79" si="6">A55+1</f>
        <v>31</v>
      </c>
      <c r="B56" s="51" t="s">
        <v>8</v>
      </c>
      <c r="C56" s="424">
        <v>2018</v>
      </c>
      <c r="D56" s="149">
        <f t="shared" si="5"/>
        <v>10204201.744830003</v>
      </c>
      <c r="E56" s="149">
        <f t="shared" si="5"/>
        <v>765315.13086225023</v>
      </c>
      <c r="F56" s="149">
        <f t="shared" si="5"/>
        <v>10969516.875692254</v>
      </c>
      <c r="G56" s="149">
        <f t="shared" si="5"/>
        <v>1615948.3799999997</v>
      </c>
      <c r="H56" s="149">
        <f t="shared" si="5"/>
        <v>0</v>
      </c>
      <c r="I56" s="149">
        <f t="shared" si="5"/>
        <v>121196.12849999998</v>
      </c>
      <c r="J56" s="107">
        <f t="shared" si="5"/>
        <v>164608250.76105928</v>
      </c>
      <c r="K56" s="149">
        <f t="shared" si="5"/>
        <v>14177183.801059261</v>
      </c>
      <c r="L56" s="446"/>
      <c r="M56" s="149"/>
    </row>
    <row r="57" spans="1:13" x14ac:dyDescent="0.2">
      <c r="A57" s="99">
        <f t="shared" si="6"/>
        <v>32</v>
      </c>
      <c r="B57" s="51" t="s">
        <v>18</v>
      </c>
      <c r="C57" s="424">
        <v>2018</v>
      </c>
      <c r="D57" s="149">
        <f t="shared" si="5"/>
        <v>22153491.458437972</v>
      </c>
      <c r="E57" s="149">
        <f t="shared" si="5"/>
        <v>1661511.8593828478</v>
      </c>
      <c r="F57" s="149">
        <f t="shared" si="5"/>
        <v>23815003.317820817</v>
      </c>
      <c r="G57" s="149">
        <f t="shared" si="5"/>
        <v>1024176.6912</v>
      </c>
      <c r="H57" s="149">
        <f t="shared" si="5"/>
        <v>0</v>
      </c>
      <c r="I57" s="149">
        <f t="shared" si="5"/>
        <v>76813.251840000012</v>
      </c>
      <c r="J57" s="107">
        <f t="shared" si="5"/>
        <v>187322264.13584009</v>
      </c>
      <c r="K57" s="149">
        <f t="shared" si="5"/>
        <v>36891197.17584008</v>
      </c>
      <c r="L57" s="446"/>
      <c r="M57" s="149"/>
    </row>
    <row r="58" spans="1:13" x14ac:dyDescent="0.2">
      <c r="A58" s="99">
        <f t="shared" si="6"/>
        <v>33</v>
      </c>
      <c r="B58" s="56" t="s">
        <v>9</v>
      </c>
      <c r="C58" s="424">
        <v>2018</v>
      </c>
      <c r="D58" s="149">
        <f t="shared" si="5"/>
        <v>9357335.1182040256</v>
      </c>
      <c r="E58" s="149">
        <f t="shared" si="5"/>
        <v>701800.13386530185</v>
      </c>
      <c r="F58" s="149">
        <f t="shared" si="5"/>
        <v>10059135.252069328</v>
      </c>
      <c r="G58" s="149">
        <f t="shared" si="5"/>
        <v>116255.00000000001</v>
      </c>
      <c r="H58" s="149">
        <f t="shared" si="5"/>
        <v>0</v>
      </c>
      <c r="I58" s="149">
        <f t="shared" si="5"/>
        <v>8719.125</v>
      </c>
      <c r="J58" s="107">
        <f t="shared" si="5"/>
        <v>197256425.26290944</v>
      </c>
      <c r="K58" s="149">
        <f t="shared" si="5"/>
        <v>46825358.302909419</v>
      </c>
      <c r="L58" s="446"/>
      <c r="M58" s="149"/>
    </row>
    <row r="59" spans="1:13" x14ac:dyDescent="0.2">
      <c r="A59" s="99">
        <f t="shared" si="6"/>
        <v>34</v>
      </c>
      <c r="B59" s="51" t="s">
        <v>10</v>
      </c>
      <c r="C59" s="424">
        <v>2018</v>
      </c>
      <c r="D59" s="149">
        <f t="shared" si="5"/>
        <v>14954818.094085429</v>
      </c>
      <c r="E59" s="149">
        <f t="shared" si="5"/>
        <v>1121611.357056407</v>
      </c>
      <c r="F59" s="149">
        <f t="shared" si="5"/>
        <v>16076429.451141836</v>
      </c>
      <c r="G59" s="149">
        <f t="shared" si="5"/>
        <v>786000</v>
      </c>
      <c r="H59" s="149">
        <f t="shared" si="5"/>
        <v>0</v>
      </c>
      <c r="I59" s="149">
        <f t="shared" si="5"/>
        <v>58950</v>
      </c>
      <c r="J59" s="107">
        <f t="shared" si="5"/>
        <v>212487904.71405125</v>
      </c>
      <c r="K59" s="149">
        <f t="shared" si="5"/>
        <v>62056837.754051268</v>
      </c>
      <c r="L59" s="446"/>
      <c r="M59" s="149"/>
    </row>
    <row r="60" spans="1:13" x14ac:dyDescent="0.2">
      <c r="A60" s="99">
        <f t="shared" si="6"/>
        <v>35</v>
      </c>
      <c r="B60" s="51" t="s">
        <v>25</v>
      </c>
      <c r="C60" s="424">
        <v>2018</v>
      </c>
      <c r="D60" s="149">
        <f t="shared" si="5"/>
        <v>17718218.694935065</v>
      </c>
      <c r="E60" s="149">
        <f t="shared" si="5"/>
        <v>1328866.4021201301</v>
      </c>
      <c r="F60" s="149">
        <f t="shared" si="5"/>
        <v>19047085.097055193</v>
      </c>
      <c r="G60" s="149">
        <f t="shared" si="5"/>
        <v>3410369.5299999993</v>
      </c>
      <c r="H60" s="149">
        <f t="shared" si="5"/>
        <v>2447557.5500000003</v>
      </c>
      <c r="I60" s="149">
        <f t="shared" si="5"/>
        <v>72210.898499999967</v>
      </c>
      <c r="J60" s="107">
        <f t="shared" si="5"/>
        <v>228052409.38260645</v>
      </c>
      <c r="K60" s="149">
        <f t="shared" si="5"/>
        <v>77621342.422606438</v>
      </c>
      <c r="L60" s="446"/>
      <c r="M60" s="149"/>
    </row>
    <row r="61" spans="1:13" x14ac:dyDescent="0.2">
      <c r="A61" s="99">
        <f t="shared" si="6"/>
        <v>36</v>
      </c>
      <c r="B61" s="56" t="s">
        <v>11</v>
      </c>
      <c r="C61" s="424">
        <v>2018</v>
      </c>
      <c r="D61" s="149">
        <f t="shared" si="5"/>
        <v>12070760.36228192</v>
      </c>
      <c r="E61" s="149">
        <f t="shared" si="5"/>
        <v>905307.02717114403</v>
      </c>
      <c r="F61" s="149">
        <f t="shared" si="5"/>
        <v>12976067.389453067</v>
      </c>
      <c r="G61" s="149">
        <f t="shared" si="5"/>
        <v>548326</v>
      </c>
      <c r="H61" s="149">
        <f t="shared" si="5"/>
        <v>0</v>
      </c>
      <c r="I61" s="149">
        <f t="shared" si="5"/>
        <v>41124.449999999997</v>
      </c>
      <c r="J61" s="107">
        <f t="shared" si="5"/>
        <v>240439026.32205948</v>
      </c>
      <c r="K61" s="149">
        <f t="shared" si="5"/>
        <v>90007959.362059504</v>
      </c>
      <c r="L61" s="446"/>
      <c r="M61" s="149"/>
    </row>
    <row r="62" spans="1:13" x14ac:dyDescent="0.2">
      <c r="A62" s="99">
        <f t="shared" si="6"/>
        <v>37</v>
      </c>
      <c r="B62" s="51" t="s">
        <v>12</v>
      </c>
      <c r="C62" s="424">
        <v>2018</v>
      </c>
      <c r="D62" s="149">
        <f t="shared" si="5"/>
        <v>16798570.912209753</v>
      </c>
      <c r="E62" s="149">
        <f t="shared" si="5"/>
        <v>1259892.8184157314</v>
      </c>
      <c r="F62" s="149">
        <f t="shared" si="5"/>
        <v>18058463.730625484</v>
      </c>
      <c r="G62" s="149">
        <f t="shared" si="5"/>
        <v>297663</v>
      </c>
      <c r="H62" s="149">
        <f t="shared" si="5"/>
        <v>0</v>
      </c>
      <c r="I62" s="149">
        <f t="shared" si="5"/>
        <v>22324.724999999999</v>
      </c>
      <c r="J62" s="107">
        <f t="shared" si="5"/>
        <v>258177502.327685</v>
      </c>
      <c r="K62" s="149">
        <f t="shared" si="5"/>
        <v>107746435.36768499</v>
      </c>
      <c r="L62" s="446"/>
      <c r="M62" s="149"/>
    </row>
    <row r="63" spans="1:13" x14ac:dyDescent="0.2">
      <c r="A63" s="99">
        <f t="shared" si="6"/>
        <v>38</v>
      </c>
      <c r="B63" s="51" t="s">
        <v>13</v>
      </c>
      <c r="C63" s="424">
        <v>2018</v>
      </c>
      <c r="D63" s="149">
        <f t="shared" si="5"/>
        <v>13815046.666871225</v>
      </c>
      <c r="E63" s="149">
        <f t="shared" si="5"/>
        <v>1036128.5000153418</v>
      </c>
      <c r="F63" s="149">
        <f t="shared" si="5"/>
        <v>14851175.166886566</v>
      </c>
      <c r="G63" s="149">
        <f t="shared" si="5"/>
        <v>349971</v>
      </c>
      <c r="H63" s="149">
        <f t="shared" si="5"/>
        <v>0</v>
      </c>
      <c r="I63" s="149">
        <f t="shared" si="5"/>
        <v>26247.825000000001</v>
      </c>
      <c r="J63" s="107">
        <f t="shared" si="5"/>
        <v>272652458.66957158</v>
      </c>
      <c r="K63" s="149">
        <f t="shared" si="5"/>
        <v>122221391.70957156</v>
      </c>
      <c r="L63" s="446"/>
      <c r="M63" s="149"/>
    </row>
    <row r="64" spans="1:13" x14ac:dyDescent="0.2">
      <c r="A64" s="99">
        <f t="shared" si="6"/>
        <v>39</v>
      </c>
      <c r="B64" s="56" t="s">
        <v>15</v>
      </c>
      <c r="C64" s="424">
        <v>2018</v>
      </c>
      <c r="D64" s="149">
        <f t="shared" si="5"/>
        <v>24263779.81418046</v>
      </c>
      <c r="E64" s="149">
        <f t="shared" si="5"/>
        <v>1819783.4860635344</v>
      </c>
      <c r="F64" s="149">
        <f t="shared" si="5"/>
        <v>26083563.300243992</v>
      </c>
      <c r="G64" s="149">
        <f t="shared" si="5"/>
        <v>77673</v>
      </c>
      <c r="H64" s="149">
        <f t="shared" si="5"/>
        <v>0</v>
      </c>
      <c r="I64" s="149">
        <f t="shared" si="5"/>
        <v>5825.4749999999995</v>
      </c>
      <c r="J64" s="107">
        <f t="shared" si="5"/>
        <v>298652523.49481559</v>
      </c>
      <c r="K64" s="149">
        <f t="shared" si="5"/>
        <v>148221456.53481558</v>
      </c>
      <c r="L64" s="446"/>
      <c r="M64" s="149"/>
    </row>
    <row r="65" spans="1:13" x14ac:dyDescent="0.2">
      <c r="A65" s="99">
        <f t="shared" si="6"/>
        <v>40</v>
      </c>
      <c r="B65" s="56" t="s">
        <v>14</v>
      </c>
      <c r="C65" s="424">
        <v>2018</v>
      </c>
      <c r="D65" s="149">
        <f t="shared" si="5"/>
        <v>22781800.740541551</v>
      </c>
      <c r="E65" s="149">
        <f t="shared" si="5"/>
        <v>1708635.0555406166</v>
      </c>
      <c r="F65" s="149">
        <f t="shared" si="5"/>
        <v>24490435.796082173</v>
      </c>
      <c r="G65" s="149">
        <f t="shared" si="5"/>
        <v>47000</v>
      </c>
      <c r="H65" s="149">
        <f t="shared" si="5"/>
        <v>0</v>
      </c>
      <c r="I65" s="149">
        <f t="shared" si="5"/>
        <v>3525</v>
      </c>
      <c r="J65" s="107">
        <f t="shared" si="5"/>
        <v>323092434.29089773</v>
      </c>
      <c r="K65" s="149">
        <f t="shared" si="5"/>
        <v>172661367.33089772</v>
      </c>
      <c r="L65" s="446"/>
      <c r="M65" s="149"/>
    </row>
    <row r="66" spans="1:13" x14ac:dyDescent="0.2">
      <c r="A66" s="99">
        <f t="shared" si="6"/>
        <v>41</v>
      </c>
      <c r="B66" s="56" t="s">
        <v>6</v>
      </c>
      <c r="C66" s="424">
        <v>2018</v>
      </c>
      <c r="D66" s="149">
        <f t="shared" si="5"/>
        <v>27803219.212408446</v>
      </c>
      <c r="E66" s="149">
        <f t="shared" si="5"/>
        <v>2085241.4409306336</v>
      </c>
      <c r="F66" s="149">
        <f t="shared" si="5"/>
        <v>29888460.653339084</v>
      </c>
      <c r="G66" s="149">
        <f t="shared" si="5"/>
        <v>20677884.444288</v>
      </c>
      <c r="H66" s="149">
        <f t="shared" si="5"/>
        <v>8513637.9700000007</v>
      </c>
      <c r="I66" s="149">
        <f t="shared" si="5"/>
        <v>912318.4855715998</v>
      </c>
      <c r="J66" s="107">
        <f t="shared" si="5"/>
        <v>331390692.01437724</v>
      </c>
      <c r="K66" s="149">
        <f t="shared" si="5"/>
        <v>180959625.05437723</v>
      </c>
      <c r="L66" s="446"/>
      <c r="M66" s="149"/>
    </row>
    <row r="67" spans="1:13" x14ac:dyDescent="0.2">
      <c r="A67" s="99">
        <f t="shared" si="6"/>
        <v>42</v>
      </c>
      <c r="B67" s="56" t="s">
        <v>7</v>
      </c>
      <c r="C67" s="424">
        <v>2019</v>
      </c>
      <c r="D67" s="149">
        <f t="shared" si="5"/>
        <v>10509600.680446928</v>
      </c>
      <c r="E67" s="149">
        <f t="shared" si="5"/>
        <v>788220.05103351944</v>
      </c>
      <c r="F67" s="149">
        <f t="shared" si="5"/>
        <v>11297820.731480448</v>
      </c>
      <c r="G67" s="149">
        <f t="shared" si="5"/>
        <v>185930</v>
      </c>
      <c r="H67" s="149">
        <f t="shared" si="5"/>
        <v>0</v>
      </c>
      <c r="I67" s="149">
        <f t="shared" si="5"/>
        <v>13944.75</v>
      </c>
      <c r="J67" s="107">
        <f t="shared" si="5"/>
        <v>342488637.99585772</v>
      </c>
      <c r="K67" s="149">
        <f t="shared" si="5"/>
        <v>192057571.03585768</v>
      </c>
      <c r="L67" s="446"/>
      <c r="M67" s="149"/>
    </row>
    <row r="68" spans="1:13" x14ac:dyDescent="0.2">
      <c r="A68" s="99">
        <f t="shared" si="6"/>
        <v>43</v>
      </c>
      <c r="B68" s="51" t="s">
        <v>8</v>
      </c>
      <c r="C68" s="424">
        <v>2019</v>
      </c>
      <c r="D68" s="149">
        <f t="shared" si="5"/>
        <v>18429547.798468925</v>
      </c>
      <c r="E68" s="149">
        <f t="shared" si="5"/>
        <v>1382216.0848851695</v>
      </c>
      <c r="F68" s="149">
        <f t="shared" si="5"/>
        <v>19811763.883354098</v>
      </c>
      <c r="G68" s="149">
        <f t="shared" si="5"/>
        <v>204642.63</v>
      </c>
      <c r="H68" s="149">
        <f t="shared" si="5"/>
        <v>0</v>
      </c>
      <c r="I68" s="149">
        <f t="shared" si="5"/>
        <v>15348.197249999999</v>
      </c>
      <c r="J68" s="107">
        <f t="shared" si="5"/>
        <v>362080411.05196178</v>
      </c>
      <c r="K68" s="149">
        <f t="shared" si="5"/>
        <v>211649344.09196177</v>
      </c>
      <c r="L68" s="446"/>
      <c r="M68" s="149"/>
    </row>
    <row r="69" spans="1:13" x14ac:dyDescent="0.2">
      <c r="A69" s="99">
        <f t="shared" si="6"/>
        <v>44</v>
      </c>
      <c r="B69" s="51" t="s">
        <v>18</v>
      </c>
      <c r="C69" s="424">
        <v>2019</v>
      </c>
      <c r="D69" s="149">
        <f t="shared" si="5"/>
        <v>20210542.548006929</v>
      </c>
      <c r="E69" s="149">
        <f t="shared" si="5"/>
        <v>1515790.6911005196</v>
      </c>
      <c r="F69" s="149">
        <f t="shared" si="5"/>
        <v>21726333.239107449</v>
      </c>
      <c r="G69" s="149">
        <f t="shared" si="5"/>
        <v>361033.7</v>
      </c>
      <c r="H69" s="149">
        <f t="shared" si="5"/>
        <v>0</v>
      </c>
      <c r="I69" s="149">
        <f t="shared" si="5"/>
        <v>27077.5275</v>
      </c>
      <c r="J69" s="107">
        <f t="shared" si="5"/>
        <v>383418633.06356925</v>
      </c>
      <c r="K69" s="149">
        <f t="shared" si="5"/>
        <v>232987566.10356924</v>
      </c>
      <c r="L69" s="446"/>
      <c r="M69" s="149"/>
    </row>
    <row r="70" spans="1:13" x14ac:dyDescent="0.2">
      <c r="A70" s="99">
        <f t="shared" si="6"/>
        <v>45</v>
      </c>
      <c r="B70" s="56" t="s">
        <v>9</v>
      </c>
      <c r="C70" s="424">
        <v>2019</v>
      </c>
      <c r="D70" s="149">
        <f t="shared" si="5"/>
        <v>18395093.093095724</v>
      </c>
      <c r="E70" s="149">
        <f t="shared" si="5"/>
        <v>1379631.9819821792</v>
      </c>
      <c r="F70" s="149">
        <f t="shared" si="5"/>
        <v>19774725.075077903</v>
      </c>
      <c r="G70" s="149">
        <f t="shared" si="5"/>
        <v>373816.33</v>
      </c>
      <c r="H70" s="149">
        <f t="shared" si="5"/>
        <v>0</v>
      </c>
      <c r="I70" s="149">
        <f t="shared" si="5"/>
        <v>28036.224750000001</v>
      </c>
      <c r="J70" s="107">
        <f t="shared" si="5"/>
        <v>402791505.58389711</v>
      </c>
      <c r="K70" s="149">
        <f t="shared" si="5"/>
        <v>252360438.62389714</v>
      </c>
      <c r="L70" s="446"/>
      <c r="M70" s="149"/>
    </row>
    <row r="71" spans="1:13" x14ac:dyDescent="0.2">
      <c r="A71" s="99">
        <f t="shared" si="6"/>
        <v>46</v>
      </c>
      <c r="B71" s="51" t="s">
        <v>10</v>
      </c>
      <c r="C71" s="424">
        <v>2019</v>
      </c>
      <c r="D71" s="149">
        <f t="shared" ref="D71:K78" si="7">D105+D138+D169+D202+D233+D266+D297+D330+D361+D394</f>
        <v>19070891.887879726</v>
      </c>
      <c r="E71" s="149">
        <f t="shared" si="7"/>
        <v>1430316.8915909794</v>
      </c>
      <c r="F71" s="149">
        <f t="shared" si="7"/>
        <v>20501208.779470704</v>
      </c>
      <c r="G71" s="149">
        <f t="shared" si="7"/>
        <v>400430.52</v>
      </c>
      <c r="H71" s="149">
        <f t="shared" si="7"/>
        <v>0</v>
      </c>
      <c r="I71" s="149">
        <f t="shared" si="7"/>
        <v>30032.289000000001</v>
      </c>
      <c r="J71" s="107">
        <f t="shared" si="7"/>
        <v>422862251.55436784</v>
      </c>
      <c r="K71" s="149">
        <f t="shared" si="7"/>
        <v>272431184.5943678</v>
      </c>
      <c r="L71" s="446"/>
      <c r="M71" s="149"/>
    </row>
    <row r="72" spans="1:13" x14ac:dyDescent="0.2">
      <c r="A72" s="99">
        <f t="shared" si="6"/>
        <v>47</v>
      </c>
      <c r="B72" s="51" t="s">
        <v>25</v>
      </c>
      <c r="C72" s="424">
        <v>2019</v>
      </c>
      <c r="D72" s="149">
        <f t="shared" si="7"/>
        <v>34328458.891959727</v>
      </c>
      <c r="E72" s="149">
        <f t="shared" si="7"/>
        <v>2574634.4168969793</v>
      </c>
      <c r="F72" s="149">
        <f t="shared" si="7"/>
        <v>36903093.308856703</v>
      </c>
      <c r="G72" s="149">
        <f t="shared" si="7"/>
        <v>413213.15</v>
      </c>
      <c r="H72" s="149">
        <f t="shared" si="7"/>
        <v>0</v>
      </c>
      <c r="I72" s="149">
        <f t="shared" si="7"/>
        <v>30990.986250000002</v>
      </c>
      <c r="J72" s="107">
        <f t="shared" si="7"/>
        <v>459321140.72697455</v>
      </c>
      <c r="K72" s="149">
        <f t="shared" si="7"/>
        <v>308890073.76697457</v>
      </c>
      <c r="L72" s="446"/>
      <c r="M72" s="149"/>
    </row>
    <row r="73" spans="1:13" x14ac:dyDescent="0.2">
      <c r="A73" s="99">
        <f t="shared" si="6"/>
        <v>48</v>
      </c>
      <c r="B73" s="56" t="s">
        <v>11</v>
      </c>
      <c r="C73" s="424">
        <v>2019</v>
      </c>
      <c r="D73" s="149">
        <f t="shared" si="7"/>
        <v>21416332.885885727</v>
      </c>
      <c r="E73" s="149">
        <f t="shared" si="7"/>
        <v>1606224.9664414295</v>
      </c>
      <c r="F73" s="149">
        <f t="shared" si="7"/>
        <v>23022557.852327153</v>
      </c>
      <c r="G73" s="149">
        <f t="shared" si="7"/>
        <v>432386.85</v>
      </c>
      <c r="H73" s="149">
        <f t="shared" si="7"/>
        <v>0</v>
      </c>
      <c r="I73" s="149">
        <f t="shared" si="7"/>
        <v>32429.013749999998</v>
      </c>
      <c r="J73" s="107">
        <f t="shared" si="7"/>
        <v>481878882.71555161</v>
      </c>
      <c r="K73" s="149">
        <f t="shared" si="7"/>
        <v>331447815.7555517</v>
      </c>
      <c r="L73" s="446"/>
      <c r="M73" s="149"/>
    </row>
    <row r="74" spans="1:13" x14ac:dyDescent="0.2">
      <c r="A74" s="99">
        <f t="shared" si="6"/>
        <v>49</v>
      </c>
      <c r="B74" s="51" t="s">
        <v>12</v>
      </c>
      <c r="C74" s="424">
        <v>2019</v>
      </c>
      <c r="D74" s="149">
        <f t="shared" si="7"/>
        <v>22238369.516114414</v>
      </c>
      <c r="E74" s="149">
        <f t="shared" si="7"/>
        <v>1667877.7137085809</v>
      </c>
      <c r="F74" s="149">
        <f t="shared" si="7"/>
        <v>23906247.229822993</v>
      </c>
      <c r="G74" s="149">
        <f t="shared" si="7"/>
        <v>14427934.35</v>
      </c>
      <c r="H74" s="149">
        <f t="shared" si="7"/>
        <v>8470082.9399999995</v>
      </c>
      <c r="I74" s="149">
        <f t="shared" si="7"/>
        <v>446838.85574999999</v>
      </c>
      <c r="J74" s="107">
        <f t="shared" si="7"/>
        <v>490910356.73962462</v>
      </c>
      <c r="K74" s="149">
        <f t="shared" si="7"/>
        <v>340479289.7796247</v>
      </c>
      <c r="L74" s="446"/>
      <c r="M74" s="149"/>
    </row>
    <row r="75" spans="1:13" x14ac:dyDescent="0.2">
      <c r="A75" s="99">
        <f t="shared" si="6"/>
        <v>50</v>
      </c>
      <c r="B75" s="51" t="s">
        <v>13</v>
      </c>
      <c r="C75" s="424">
        <v>2019</v>
      </c>
      <c r="D75" s="149">
        <f t="shared" si="7"/>
        <v>24775208.928607386</v>
      </c>
      <c r="E75" s="149">
        <f t="shared" si="7"/>
        <v>1858140.6696455539</v>
      </c>
      <c r="F75" s="149">
        <f t="shared" si="7"/>
        <v>26633349.598252941</v>
      </c>
      <c r="G75" s="149">
        <f t="shared" si="7"/>
        <v>453078.41000000003</v>
      </c>
      <c r="H75" s="149">
        <f t="shared" si="7"/>
        <v>0</v>
      </c>
      <c r="I75" s="149">
        <f t="shared" si="7"/>
        <v>33980.880749999997</v>
      </c>
      <c r="J75" s="107">
        <f t="shared" si="7"/>
        <v>517056647.0471276</v>
      </c>
      <c r="K75" s="401">
        <f t="shared" si="7"/>
        <v>366625580.08712757</v>
      </c>
      <c r="L75" s="446"/>
      <c r="M75" s="149"/>
    </row>
    <row r="76" spans="1:13" x14ac:dyDescent="0.2">
      <c r="A76" s="99">
        <f t="shared" si="6"/>
        <v>51</v>
      </c>
      <c r="B76" s="51" t="s">
        <v>15</v>
      </c>
      <c r="C76" s="424">
        <v>2019</v>
      </c>
      <c r="D76" s="149">
        <f>D110+D143+D174+D207+D238+D271+D302+D335+D366</f>
        <v>23310192.734987721</v>
      </c>
      <c r="E76" s="149">
        <f>E110+E143+E174+E207+E238+E271+E302+E335+E366+E399</f>
        <v>2891631.9551240792</v>
      </c>
      <c r="F76" s="149">
        <f t="shared" si="7"/>
        <v>41446724.690111801</v>
      </c>
      <c r="G76" s="149">
        <f t="shared" si="7"/>
        <v>19987218.269999996</v>
      </c>
      <c r="H76" s="149">
        <f t="shared" si="7"/>
        <v>9341863.8599999994</v>
      </c>
      <c r="I76" s="149">
        <f t="shared" si="7"/>
        <v>798401.58074999985</v>
      </c>
      <c r="J76" s="107">
        <f t="shared" si="7"/>
        <v>537717751.88648951</v>
      </c>
      <c r="K76" s="401">
        <f t="shared" si="7"/>
        <v>387286684.92648947</v>
      </c>
      <c r="L76" s="446"/>
      <c r="M76" s="149"/>
    </row>
    <row r="77" spans="1:13" x14ac:dyDescent="0.2">
      <c r="A77" s="99">
        <f t="shared" si="6"/>
        <v>52</v>
      </c>
      <c r="B77" s="51" t="s">
        <v>14</v>
      </c>
      <c r="C77" s="424">
        <v>2019</v>
      </c>
      <c r="D77" s="149">
        <f>D111+D144+D175+D208+D239+D272+D303+D336+D367</f>
        <v>28594395.182708353</v>
      </c>
      <c r="E77" s="149">
        <f>E111+E144+E175+E208+E239+E272+E303+E336+E367+E400</f>
        <v>2488228.9637031266</v>
      </c>
      <c r="F77" s="149">
        <f t="shared" si="7"/>
        <v>35664615.146411479</v>
      </c>
      <c r="G77" s="149">
        <f t="shared" si="7"/>
        <v>16531554.139999997</v>
      </c>
      <c r="H77" s="149">
        <f t="shared" si="7"/>
        <v>6140181.3599999994</v>
      </c>
      <c r="I77" s="149">
        <f t="shared" si="7"/>
        <v>779352.95849999983</v>
      </c>
      <c r="J77" s="107">
        <f t="shared" si="7"/>
        <v>556071459.93440092</v>
      </c>
      <c r="K77" s="401">
        <f t="shared" si="7"/>
        <v>405640392.97440094</v>
      </c>
      <c r="L77" s="446"/>
      <c r="M77" s="149"/>
    </row>
    <row r="78" spans="1:13" x14ac:dyDescent="0.2">
      <c r="A78" s="99">
        <f t="shared" si="6"/>
        <v>53</v>
      </c>
      <c r="B78" s="51" t="s">
        <v>6</v>
      </c>
      <c r="C78" s="424">
        <v>2019</v>
      </c>
      <c r="D78" s="149">
        <f>D112+D145+D176+D209+D240+D273+D304+D337+D368+D401</f>
        <v>33982790.172716424</v>
      </c>
      <c r="E78" s="149">
        <f>E112+E145+E176+E209+E240+E273+E304+E337+E368+E401</f>
        <v>2548709.2629537322</v>
      </c>
      <c r="F78" s="149">
        <f t="shared" si="7"/>
        <v>36531499.43567016</v>
      </c>
      <c r="G78" s="149">
        <f t="shared" si="7"/>
        <v>5786284.5911999997</v>
      </c>
      <c r="H78" s="149">
        <f t="shared" si="7"/>
        <v>2531642.4799999995</v>
      </c>
      <c r="I78" s="149">
        <f t="shared" si="7"/>
        <v>244098.15833999997</v>
      </c>
      <c r="J78" s="107">
        <f t="shared" si="7"/>
        <v>586572576.62053108</v>
      </c>
      <c r="K78" s="153">
        <f>K112+K145+K176+K209+K240+K273+K304+K337+K368+K401</f>
        <v>436141509.6605311</v>
      </c>
      <c r="L78" s="447"/>
      <c r="M78" s="149"/>
    </row>
    <row r="79" spans="1:13" x14ac:dyDescent="0.2">
      <c r="A79" s="99">
        <f t="shared" si="6"/>
        <v>54</v>
      </c>
      <c r="C79" s="448" t="s">
        <v>953</v>
      </c>
      <c r="K79" s="449">
        <f>AVERAGE(K66:K78)</f>
        <v>301458236.65036392</v>
      </c>
      <c r="L79" s="450"/>
    </row>
    <row r="81" spans="1:11" x14ac:dyDescent="0.2">
      <c r="B81" s="439" t="s">
        <v>954</v>
      </c>
    </row>
    <row r="82" spans="1:11" s="451" customFormat="1" x14ac:dyDescent="0.2">
      <c r="B82" s="452" t="s">
        <v>955</v>
      </c>
      <c r="D82" s="574" t="s">
        <v>912</v>
      </c>
      <c r="E82" s="574"/>
    </row>
    <row r="83" spans="1:11" s="440" customFormat="1" x14ac:dyDescent="0.2">
      <c r="D83" s="440" t="s">
        <v>152</v>
      </c>
      <c r="E83" s="440" t="s">
        <v>153</v>
      </c>
      <c r="F83" s="440" t="s">
        <v>154</v>
      </c>
      <c r="G83" s="440" t="s">
        <v>155</v>
      </c>
      <c r="H83" s="440" t="s">
        <v>904</v>
      </c>
      <c r="I83" s="440" t="s">
        <v>905</v>
      </c>
      <c r="J83" s="440" t="s">
        <v>920</v>
      </c>
      <c r="K83" s="440" t="s">
        <v>921</v>
      </c>
    </row>
    <row r="84" spans="1:11" s="451" customFormat="1" ht="25.9" customHeight="1" x14ac:dyDescent="0.2">
      <c r="D84" s="453"/>
      <c r="E84" s="454" t="s">
        <v>956</v>
      </c>
      <c r="F84" s="445" t="s">
        <v>957</v>
      </c>
      <c r="G84" s="455"/>
      <c r="H84" s="453"/>
      <c r="I84" s="454" t="s">
        <v>958</v>
      </c>
      <c r="J84" s="454" t="s">
        <v>959</v>
      </c>
      <c r="K84" s="454" t="s">
        <v>960</v>
      </c>
    </row>
    <row r="85" spans="1:11" s="451" customFormat="1" x14ac:dyDescent="0.2">
      <c r="D85" s="453"/>
      <c r="E85" s="456"/>
      <c r="F85" s="456"/>
      <c r="G85" s="94" t="str">
        <f>G51</f>
        <v>Unloaded</v>
      </c>
      <c r="H85" s="453"/>
      <c r="I85" s="456"/>
      <c r="J85" s="456"/>
      <c r="K85" s="94"/>
    </row>
    <row r="86" spans="1:11" s="443" customFormat="1" x14ac:dyDescent="0.2">
      <c r="D86" s="443" t="str">
        <f>D$52</f>
        <v>Forecast</v>
      </c>
      <c r="E86" s="443" t="str">
        <f t="shared" ref="E86:J86" si="8">E$52</f>
        <v>Corporate</v>
      </c>
      <c r="F86" s="443" t="str">
        <f t="shared" si="8"/>
        <v xml:space="preserve">Total </v>
      </c>
      <c r="G86" s="94" t="str">
        <f>G52</f>
        <v>Total</v>
      </c>
      <c r="H86" s="443" t="str">
        <f t="shared" si="8"/>
        <v>Prior Period</v>
      </c>
      <c r="I86" s="443" t="str">
        <f t="shared" si="8"/>
        <v>Over Heads</v>
      </c>
      <c r="J86" s="443" t="str">
        <f t="shared" si="8"/>
        <v>Forecast</v>
      </c>
      <c r="K86" s="94" t="str">
        <f>K$52</f>
        <v>Forecast Period</v>
      </c>
    </row>
    <row r="87" spans="1:11" s="451" customFormat="1" x14ac:dyDescent="0.2">
      <c r="A87" s="136" t="s">
        <v>292</v>
      </c>
      <c r="B87" s="55" t="s">
        <v>16</v>
      </c>
      <c r="C87" s="55" t="s">
        <v>17</v>
      </c>
      <c r="D87" s="440" t="str">
        <f>D$53</f>
        <v>Expenditures</v>
      </c>
      <c r="E87" s="440" t="str">
        <f t="shared" ref="E87:J87" si="9">E$53</f>
        <v>Overheads</v>
      </c>
      <c r="F87" s="440" t="str">
        <f t="shared" si="9"/>
        <v>CWIP Exp</v>
      </c>
      <c r="G87" s="98" t="str">
        <f>G53</f>
        <v>Plant Adds</v>
      </c>
      <c r="H87" s="440" t="str">
        <f t="shared" si="9"/>
        <v>CWIP Closed</v>
      </c>
      <c r="I87" s="440" t="str">
        <f t="shared" si="9"/>
        <v>Closed to PIS</v>
      </c>
      <c r="J87" s="440" t="str">
        <f t="shared" si="9"/>
        <v>Period CWIP</v>
      </c>
      <c r="K87" s="440" t="str">
        <f>K$53</f>
        <v>Incremental CWIP</v>
      </c>
    </row>
    <row r="88" spans="1:11" s="451" customFormat="1" x14ac:dyDescent="0.2">
      <c r="A88" s="99">
        <f>A79+1</f>
        <v>55</v>
      </c>
      <c r="B88" s="56" t="s">
        <v>6</v>
      </c>
      <c r="C88" s="424">
        <v>2017</v>
      </c>
      <c r="D88" s="445" t="s">
        <v>935</v>
      </c>
      <c r="E88" s="445" t="s">
        <v>935</v>
      </c>
      <c r="F88" s="445" t="s">
        <v>935</v>
      </c>
      <c r="G88" s="445" t="s">
        <v>935</v>
      </c>
      <c r="H88" s="445" t="s">
        <v>935</v>
      </c>
      <c r="I88" s="445" t="s">
        <v>935</v>
      </c>
      <c r="J88" s="101">
        <f>E25</f>
        <v>150976.49</v>
      </c>
      <c r="K88" s="445" t="s">
        <v>935</v>
      </c>
    </row>
    <row r="89" spans="1:11" s="451" customFormat="1" x14ac:dyDescent="0.2">
      <c r="A89" s="99">
        <f>A88+1</f>
        <v>56</v>
      </c>
      <c r="B89" s="56" t="s">
        <v>7</v>
      </c>
      <c r="C89" s="424">
        <v>2018</v>
      </c>
      <c r="D89" s="394">
        <v>426481</v>
      </c>
      <c r="E89" s="101">
        <f>D89*'[17]16-PlantAdditions'!$E$103</f>
        <v>31986.074999999997</v>
      </c>
      <c r="F89" s="101">
        <f>E89+D89</f>
        <v>458467.07500000001</v>
      </c>
      <c r="G89" s="394">
        <v>191116.00000000003</v>
      </c>
      <c r="H89" s="394">
        <v>0</v>
      </c>
      <c r="I89" s="101">
        <f>(G89-H89)*'[17]16-PlantAdditions'!$E$103</f>
        <v>14333.700000000003</v>
      </c>
      <c r="J89" s="101">
        <f>J88+F89-G89-I89</f>
        <v>403993.86499999993</v>
      </c>
      <c r="K89" s="101">
        <f>J89-$J$88</f>
        <v>253017.37499999994</v>
      </c>
    </row>
    <row r="90" spans="1:11" s="451" customFormat="1" x14ac:dyDescent="0.2">
      <c r="A90" s="99">
        <f t="shared" ref="A90:A108" si="10">A89+1</f>
        <v>57</v>
      </c>
      <c r="B90" s="51" t="s">
        <v>8</v>
      </c>
      <c r="C90" s="424">
        <v>2018</v>
      </c>
      <c r="D90" s="394">
        <v>659259</v>
      </c>
      <c r="E90" s="101">
        <f>D90*'[17]16-PlantAdditions'!$E$103</f>
        <v>49444.424999999996</v>
      </c>
      <c r="F90" s="101">
        <f t="shared" ref="F90:F112" si="11">E90+D90</f>
        <v>708703.42500000005</v>
      </c>
      <c r="G90" s="394">
        <v>891972</v>
      </c>
      <c r="H90" s="394">
        <v>0</v>
      </c>
      <c r="I90" s="101">
        <f>(G90-H90)*'[17]16-PlantAdditions'!$E$103</f>
        <v>66897.899999999994</v>
      </c>
      <c r="J90" s="101">
        <f t="shared" ref="J90:J108" si="12">J89+F90-G90-I90</f>
        <v>153827.39000000004</v>
      </c>
      <c r="K90" s="101">
        <f t="shared" ref="K90:K112" si="13">J90-$J$88</f>
        <v>2850.9000000000524</v>
      </c>
    </row>
    <row r="91" spans="1:11" s="451" customFormat="1" x14ac:dyDescent="0.2">
      <c r="A91" s="99">
        <f t="shared" si="10"/>
        <v>58</v>
      </c>
      <c r="B91" s="51" t="s">
        <v>18</v>
      </c>
      <c r="C91" s="424">
        <v>2018</v>
      </c>
      <c r="D91" s="394">
        <v>589704.00000000012</v>
      </c>
      <c r="E91" s="101">
        <f>D91*'[17]16-PlantAdditions'!$E$103</f>
        <v>44227.80000000001</v>
      </c>
      <c r="F91" s="101">
        <f t="shared" si="11"/>
        <v>633931.80000000016</v>
      </c>
      <c r="G91" s="394">
        <v>588345.00000000012</v>
      </c>
      <c r="H91" s="394">
        <v>0</v>
      </c>
      <c r="I91" s="101">
        <f>(G91-H91)*'[17]16-PlantAdditions'!$E$103</f>
        <v>44125.875000000007</v>
      </c>
      <c r="J91" s="101">
        <f t="shared" si="12"/>
        <v>155288.31500000006</v>
      </c>
      <c r="K91" s="101">
        <f t="shared" si="13"/>
        <v>4311.8250000000698</v>
      </c>
    </row>
    <row r="92" spans="1:11" s="451" customFormat="1" x14ac:dyDescent="0.2">
      <c r="A92" s="99">
        <f t="shared" si="10"/>
        <v>59</v>
      </c>
      <c r="B92" s="56" t="s">
        <v>9</v>
      </c>
      <c r="C92" s="424">
        <v>2018</v>
      </c>
      <c r="D92" s="394">
        <v>82255.000000000015</v>
      </c>
      <c r="E92" s="101">
        <f>D92*'[17]16-PlantAdditions'!$E$103</f>
        <v>6169.1250000000009</v>
      </c>
      <c r="F92" s="101">
        <f t="shared" si="11"/>
        <v>88424.125000000015</v>
      </c>
      <c r="G92" s="394">
        <v>80255.000000000015</v>
      </c>
      <c r="H92" s="394">
        <v>0</v>
      </c>
      <c r="I92" s="101">
        <f>(G92-H92)*'[17]16-PlantAdditions'!$E$103</f>
        <v>6019.1250000000009</v>
      </c>
      <c r="J92" s="101">
        <f t="shared" si="12"/>
        <v>157438.31500000006</v>
      </c>
      <c r="K92" s="101">
        <f t="shared" si="13"/>
        <v>6461.8250000000698</v>
      </c>
    </row>
    <row r="93" spans="1:11" s="451" customFormat="1" x14ac:dyDescent="0.2">
      <c r="A93" s="99">
        <f t="shared" si="10"/>
        <v>60</v>
      </c>
      <c r="B93" s="51" t="s">
        <v>10</v>
      </c>
      <c r="C93" s="424">
        <v>2018</v>
      </c>
      <c r="D93" s="394">
        <v>788000</v>
      </c>
      <c r="E93" s="101">
        <f>D93*'[17]16-PlantAdditions'!$E$103</f>
        <v>59100</v>
      </c>
      <c r="F93" s="101">
        <f t="shared" si="11"/>
        <v>847100</v>
      </c>
      <c r="G93" s="394">
        <v>786000</v>
      </c>
      <c r="H93" s="394">
        <v>0</v>
      </c>
      <c r="I93" s="101">
        <f>(G93-H93)*'[17]16-PlantAdditions'!$E$103</f>
        <v>58950</v>
      </c>
      <c r="J93" s="101">
        <f t="shared" si="12"/>
        <v>159588.31500000006</v>
      </c>
      <c r="K93" s="101">
        <f t="shared" si="13"/>
        <v>8611.8250000000698</v>
      </c>
    </row>
    <row r="94" spans="1:11" s="451" customFormat="1" x14ac:dyDescent="0.2">
      <c r="A94" s="99">
        <f t="shared" si="10"/>
        <v>61</v>
      </c>
      <c r="B94" s="51" t="s">
        <v>25</v>
      </c>
      <c r="C94" s="424">
        <v>2018</v>
      </c>
      <c r="D94" s="394">
        <v>703326</v>
      </c>
      <c r="E94" s="101">
        <f>D94*'[17]16-PlantAdditions'!$E$103</f>
        <v>52749.45</v>
      </c>
      <c r="F94" s="101">
        <f t="shared" si="11"/>
        <v>756075.45</v>
      </c>
      <c r="G94" s="394">
        <v>862313.49</v>
      </c>
      <c r="H94" s="394">
        <v>150976.49</v>
      </c>
      <c r="I94" s="101">
        <f>(G94-H94)*'[17]16-PlantAdditions'!$E$103</f>
        <v>53350.275000000001</v>
      </c>
      <c r="J94" s="101">
        <f t="shared" si="12"/>
        <v>0</v>
      </c>
      <c r="K94" s="101">
        <f t="shared" si="13"/>
        <v>-150976.49</v>
      </c>
    </row>
    <row r="95" spans="1:11" s="451" customFormat="1" x14ac:dyDescent="0.2">
      <c r="A95" s="99">
        <f t="shared" si="10"/>
        <v>62</v>
      </c>
      <c r="B95" s="56" t="s">
        <v>11</v>
      </c>
      <c r="C95" s="424">
        <v>2018</v>
      </c>
      <c r="D95" s="394">
        <v>503326</v>
      </c>
      <c r="E95" s="101">
        <f>D95*'[17]16-PlantAdditions'!$E$103</f>
        <v>37749.449999999997</v>
      </c>
      <c r="F95" s="101">
        <f t="shared" si="11"/>
        <v>541075.44999999995</v>
      </c>
      <c r="G95" s="394">
        <v>503326</v>
      </c>
      <c r="H95" s="394">
        <v>0</v>
      </c>
      <c r="I95" s="101">
        <f>(G95-H95)*'[17]16-PlantAdditions'!$E$103</f>
        <v>37749.449999999997</v>
      </c>
      <c r="J95" s="101">
        <f t="shared" si="12"/>
        <v>0</v>
      </c>
      <c r="K95" s="101">
        <f t="shared" si="13"/>
        <v>-150976.49</v>
      </c>
    </row>
    <row r="96" spans="1:11" s="451" customFormat="1" x14ac:dyDescent="0.2">
      <c r="A96" s="99">
        <f t="shared" si="10"/>
        <v>63</v>
      </c>
      <c r="B96" s="51" t="s">
        <v>12</v>
      </c>
      <c r="C96" s="424">
        <v>2018</v>
      </c>
      <c r="D96" s="394">
        <v>252663</v>
      </c>
      <c r="E96" s="101">
        <f>D96*'[17]16-PlantAdditions'!$E$103</f>
        <v>18949.724999999999</v>
      </c>
      <c r="F96" s="101">
        <f t="shared" si="11"/>
        <v>271612.72499999998</v>
      </c>
      <c r="G96" s="394">
        <v>252663</v>
      </c>
      <c r="H96" s="394">
        <v>0</v>
      </c>
      <c r="I96" s="101">
        <f>(G96-H96)*'[17]16-PlantAdditions'!$E$103</f>
        <v>18949.724999999999</v>
      </c>
      <c r="J96" s="101">
        <f t="shared" si="12"/>
        <v>0</v>
      </c>
      <c r="K96" s="101">
        <f t="shared" si="13"/>
        <v>-150976.49</v>
      </c>
    </row>
    <row r="97" spans="1:11" s="451" customFormat="1" x14ac:dyDescent="0.2">
      <c r="A97" s="99">
        <f t="shared" si="10"/>
        <v>64</v>
      </c>
      <c r="B97" s="51" t="s">
        <v>13</v>
      </c>
      <c r="C97" s="424">
        <v>2018</v>
      </c>
      <c r="D97" s="394">
        <v>304971</v>
      </c>
      <c r="E97" s="101">
        <f>D97*'[17]16-PlantAdditions'!$E$103</f>
        <v>22872.825000000001</v>
      </c>
      <c r="F97" s="101">
        <f t="shared" si="11"/>
        <v>327843.82500000001</v>
      </c>
      <c r="G97" s="394">
        <v>304971</v>
      </c>
      <c r="H97" s="394">
        <v>0</v>
      </c>
      <c r="I97" s="101">
        <f>(G97-H97)*'[17]16-PlantAdditions'!$E$103</f>
        <v>22872.825000000001</v>
      </c>
      <c r="J97" s="101">
        <f t="shared" si="12"/>
        <v>0</v>
      </c>
      <c r="K97" s="101">
        <f t="shared" si="13"/>
        <v>-150976.49</v>
      </c>
    </row>
    <row r="98" spans="1:11" s="451" customFormat="1" x14ac:dyDescent="0.2">
      <c r="A98" s="99">
        <f t="shared" si="10"/>
        <v>65</v>
      </c>
      <c r="B98" s="56" t="s">
        <v>15</v>
      </c>
      <c r="C98" s="424">
        <v>2018</v>
      </c>
      <c r="D98" s="394">
        <v>2000</v>
      </c>
      <c r="E98" s="101">
        <f>D98*'[17]16-PlantAdditions'!$E$103</f>
        <v>150</v>
      </c>
      <c r="F98" s="101">
        <f t="shared" si="11"/>
        <v>2150</v>
      </c>
      <c r="G98" s="394">
        <v>2000</v>
      </c>
      <c r="H98" s="394">
        <v>0</v>
      </c>
      <c r="I98" s="101">
        <f>(G98-H98)*'[17]16-PlantAdditions'!$E$103</f>
        <v>150</v>
      </c>
      <c r="J98" s="101">
        <f t="shared" si="12"/>
        <v>0</v>
      </c>
      <c r="K98" s="101">
        <f t="shared" si="13"/>
        <v>-150976.49</v>
      </c>
    </row>
    <row r="99" spans="1:11" s="451" customFormat="1" x14ac:dyDescent="0.2">
      <c r="A99" s="99">
        <f t="shared" si="10"/>
        <v>66</v>
      </c>
      <c r="B99" s="56" t="s">
        <v>14</v>
      </c>
      <c r="C99" s="424">
        <v>2018</v>
      </c>
      <c r="D99" s="394">
        <v>2000</v>
      </c>
      <c r="E99" s="101">
        <f>D99*'[17]16-PlantAdditions'!$E$103</f>
        <v>150</v>
      </c>
      <c r="F99" s="101">
        <f t="shared" si="11"/>
        <v>2150</v>
      </c>
      <c r="G99" s="394">
        <v>2000</v>
      </c>
      <c r="H99" s="394">
        <v>0</v>
      </c>
      <c r="I99" s="101">
        <f>(G99-H99)*'[17]16-PlantAdditions'!$E$103</f>
        <v>150</v>
      </c>
      <c r="J99" s="101">
        <f t="shared" si="12"/>
        <v>0</v>
      </c>
      <c r="K99" s="101">
        <f t="shared" si="13"/>
        <v>-150976.49</v>
      </c>
    </row>
    <row r="100" spans="1:11" s="451" customFormat="1" x14ac:dyDescent="0.2">
      <c r="A100" s="99">
        <f t="shared" si="10"/>
        <v>67</v>
      </c>
      <c r="B100" s="56" t="s">
        <v>6</v>
      </c>
      <c r="C100" s="424">
        <v>2018</v>
      </c>
      <c r="D100" s="394">
        <v>2161291</v>
      </c>
      <c r="E100" s="101">
        <f>D100*'[17]16-PlantAdditions'!$E$103</f>
        <v>162096.82499999998</v>
      </c>
      <c r="F100" s="101">
        <f t="shared" si="11"/>
        <v>2323387.8250000002</v>
      </c>
      <c r="G100" s="394">
        <v>2161291</v>
      </c>
      <c r="H100" s="394">
        <v>0</v>
      </c>
      <c r="I100" s="101">
        <f>(G100-H100)*'[17]16-PlantAdditions'!$E$103</f>
        <v>162096.82499999998</v>
      </c>
      <c r="J100" s="101">
        <f t="shared" si="12"/>
        <v>0</v>
      </c>
      <c r="K100" s="101">
        <f t="shared" si="13"/>
        <v>-150976.49</v>
      </c>
    </row>
    <row r="101" spans="1:11" s="451" customFormat="1" x14ac:dyDescent="0.2">
      <c r="A101" s="99">
        <f t="shared" si="10"/>
        <v>68</v>
      </c>
      <c r="B101" s="56" t="s">
        <v>7</v>
      </c>
      <c r="C101" s="424">
        <v>2019</v>
      </c>
      <c r="D101" s="394">
        <v>0</v>
      </c>
      <c r="E101" s="101">
        <f>D101*'[17]16-PlantAdditions'!$E$103</f>
        <v>0</v>
      </c>
      <c r="F101" s="101">
        <f t="shared" si="11"/>
        <v>0</v>
      </c>
      <c r="G101" s="394">
        <v>0</v>
      </c>
      <c r="H101" s="394">
        <v>0</v>
      </c>
      <c r="I101" s="101">
        <f>(G101-H101)*'[17]16-PlantAdditions'!$E$103</f>
        <v>0</v>
      </c>
      <c r="J101" s="101">
        <f t="shared" si="12"/>
        <v>0</v>
      </c>
      <c r="K101" s="101">
        <f t="shared" si="13"/>
        <v>-150976.49</v>
      </c>
    </row>
    <row r="102" spans="1:11" s="451" customFormat="1" x14ac:dyDescent="0.2">
      <c r="A102" s="99">
        <f t="shared" si="10"/>
        <v>69</v>
      </c>
      <c r="B102" s="51" t="s">
        <v>8</v>
      </c>
      <c r="C102" s="424">
        <v>2019</v>
      </c>
      <c r="D102" s="394">
        <v>0</v>
      </c>
      <c r="E102" s="101">
        <f>D102*'[17]16-PlantAdditions'!$E$103</f>
        <v>0</v>
      </c>
      <c r="F102" s="101">
        <f t="shared" si="11"/>
        <v>0</v>
      </c>
      <c r="G102" s="394">
        <v>0</v>
      </c>
      <c r="H102" s="394">
        <v>0</v>
      </c>
      <c r="I102" s="101">
        <f>(G102-H102)*'[17]16-PlantAdditions'!$E$103</f>
        <v>0</v>
      </c>
      <c r="J102" s="101">
        <f t="shared" si="12"/>
        <v>0</v>
      </c>
      <c r="K102" s="101">
        <f t="shared" si="13"/>
        <v>-150976.49</v>
      </c>
    </row>
    <row r="103" spans="1:11" s="451" customFormat="1" x14ac:dyDescent="0.2">
      <c r="A103" s="99">
        <f t="shared" si="10"/>
        <v>70</v>
      </c>
      <c r="B103" s="51" t="s">
        <v>18</v>
      </c>
      <c r="C103" s="424">
        <v>2019</v>
      </c>
      <c r="D103" s="394">
        <v>0</v>
      </c>
      <c r="E103" s="101">
        <f>D103*'[17]16-PlantAdditions'!$E$103</f>
        <v>0</v>
      </c>
      <c r="F103" s="101">
        <f t="shared" si="11"/>
        <v>0</v>
      </c>
      <c r="G103" s="394">
        <v>0</v>
      </c>
      <c r="H103" s="394">
        <v>0</v>
      </c>
      <c r="I103" s="101">
        <f>(G103-H103)*'[17]16-PlantAdditions'!$E$103</f>
        <v>0</v>
      </c>
      <c r="J103" s="101">
        <f t="shared" si="12"/>
        <v>0</v>
      </c>
      <c r="K103" s="101">
        <f t="shared" si="13"/>
        <v>-150976.49</v>
      </c>
    </row>
    <row r="104" spans="1:11" s="451" customFormat="1" x14ac:dyDescent="0.2">
      <c r="A104" s="99">
        <f t="shared" si="10"/>
        <v>71</v>
      </c>
      <c r="B104" s="56" t="s">
        <v>9</v>
      </c>
      <c r="C104" s="424">
        <v>2019</v>
      </c>
      <c r="D104" s="394">
        <v>0</v>
      </c>
      <c r="E104" s="101">
        <f>D104*'[17]16-PlantAdditions'!$E$103</f>
        <v>0</v>
      </c>
      <c r="F104" s="101">
        <f t="shared" si="11"/>
        <v>0</v>
      </c>
      <c r="G104" s="394">
        <v>0</v>
      </c>
      <c r="H104" s="394">
        <v>0</v>
      </c>
      <c r="I104" s="101">
        <f>(G104-H104)*'[17]16-PlantAdditions'!$E$103</f>
        <v>0</v>
      </c>
      <c r="J104" s="101">
        <f t="shared" si="12"/>
        <v>0</v>
      </c>
      <c r="K104" s="101">
        <f t="shared" si="13"/>
        <v>-150976.49</v>
      </c>
    </row>
    <row r="105" spans="1:11" s="451" customFormat="1" x14ac:dyDescent="0.2">
      <c r="A105" s="99">
        <f t="shared" si="10"/>
        <v>72</v>
      </c>
      <c r="B105" s="51" t="s">
        <v>10</v>
      </c>
      <c r="C105" s="424">
        <v>2019</v>
      </c>
      <c r="D105" s="394">
        <v>0</v>
      </c>
      <c r="E105" s="101">
        <f>D105*'[17]16-PlantAdditions'!$E$103</f>
        <v>0</v>
      </c>
      <c r="F105" s="101">
        <f t="shared" si="11"/>
        <v>0</v>
      </c>
      <c r="G105" s="394">
        <v>0</v>
      </c>
      <c r="H105" s="394">
        <v>0</v>
      </c>
      <c r="I105" s="101">
        <f>(G105-H105)*'[17]16-PlantAdditions'!$E$103</f>
        <v>0</v>
      </c>
      <c r="J105" s="101">
        <f t="shared" si="12"/>
        <v>0</v>
      </c>
      <c r="K105" s="101">
        <f t="shared" si="13"/>
        <v>-150976.49</v>
      </c>
    </row>
    <row r="106" spans="1:11" s="451" customFormat="1" x14ac:dyDescent="0.2">
      <c r="A106" s="99">
        <f t="shared" si="10"/>
        <v>73</v>
      </c>
      <c r="B106" s="51" t="s">
        <v>25</v>
      </c>
      <c r="C106" s="424">
        <v>2019</v>
      </c>
      <c r="D106" s="394">
        <v>0</v>
      </c>
      <c r="E106" s="101">
        <f>D106*'[17]16-PlantAdditions'!$E$103</f>
        <v>0</v>
      </c>
      <c r="F106" s="101">
        <f t="shared" si="11"/>
        <v>0</v>
      </c>
      <c r="G106" s="394">
        <v>0</v>
      </c>
      <c r="H106" s="394">
        <v>0</v>
      </c>
      <c r="I106" s="101">
        <f>(G106-H106)*'[17]16-PlantAdditions'!$E$103</f>
        <v>0</v>
      </c>
      <c r="J106" s="101">
        <f t="shared" si="12"/>
        <v>0</v>
      </c>
      <c r="K106" s="101">
        <f t="shared" si="13"/>
        <v>-150976.49</v>
      </c>
    </row>
    <row r="107" spans="1:11" s="451" customFormat="1" x14ac:dyDescent="0.2">
      <c r="A107" s="99">
        <f t="shared" si="10"/>
        <v>74</v>
      </c>
      <c r="B107" s="56" t="s">
        <v>11</v>
      </c>
      <c r="C107" s="424">
        <v>2019</v>
      </c>
      <c r="D107" s="394">
        <v>0</v>
      </c>
      <c r="E107" s="101">
        <f>D107*'[17]16-PlantAdditions'!$E$103</f>
        <v>0</v>
      </c>
      <c r="F107" s="101">
        <f t="shared" si="11"/>
        <v>0</v>
      </c>
      <c r="G107" s="394">
        <v>0</v>
      </c>
      <c r="H107" s="394">
        <v>0</v>
      </c>
      <c r="I107" s="101">
        <f>(G107-H107)*'[17]16-PlantAdditions'!$E$103</f>
        <v>0</v>
      </c>
      <c r="J107" s="101">
        <f t="shared" si="12"/>
        <v>0</v>
      </c>
      <c r="K107" s="101">
        <f t="shared" si="13"/>
        <v>-150976.49</v>
      </c>
    </row>
    <row r="108" spans="1:11" s="451" customFormat="1" x14ac:dyDescent="0.2">
      <c r="A108" s="99">
        <f t="shared" si="10"/>
        <v>75</v>
      </c>
      <c r="B108" s="51" t="s">
        <v>12</v>
      </c>
      <c r="C108" s="424">
        <v>2019</v>
      </c>
      <c r="D108" s="394">
        <v>0</v>
      </c>
      <c r="E108" s="101">
        <f>D108*'[17]16-PlantAdditions'!$E$103</f>
        <v>0</v>
      </c>
      <c r="F108" s="101">
        <f t="shared" si="11"/>
        <v>0</v>
      </c>
      <c r="G108" s="394">
        <v>0</v>
      </c>
      <c r="H108" s="394">
        <v>0</v>
      </c>
      <c r="I108" s="101">
        <f>(G108-H108)*'[17]16-PlantAdditions'!$E$103</f>
        <v>0</v>
      </c>
      <c r="J108" s="101">
        <f t="shared" si="12"/>
        <v>0</v>
      </c>
      <c r="K108" s="101">
        <f t="shared" si="13"/>
        <v>-150976.49</v>
      </c>
    </row>
    <row r="109" spans="1:11" s="451" customFormat="1" x14ac:dyDescent="0.2">
      <c r="A109" s="99">
        <f>A108+1</f>
        <v>76</v>
      </c>
      <c r="B109" s="51" t="s">
        <v>13</v>
      </c>
      <c r="C109" s="424">
        <v>2019</v>
      </c>
      <c r="D109" s="394">
        <v>0</v>
      </c>
      <c r="E109" s="101">
        <f>D109*'[17]16-PlantAdditions'!$E$103</f>
        <v>0</v>
      </c>
      <c r="F109" s="101">
        <f t="shared" si="11"/>
        <v>0</v>
      </c>
      <c r="G109" s="394">
        <v>0</v>
      </c>
      <c r="H109" s="394">
        <v>0</v>
      </c>
      <c r="I109" s="101">
        <f>(G109-H109)*'[17]16-PlantAdditions'!$E$103</f>
        <v>0</v>
      </c>
      <c r="J109" s="101">
        <f>J108+F109-G109-I109</f>
        <v>0</v>
      </c>
      <c r="K109" s="101">
        <f t="shared" si="13"/>
        <v>-150976.49</v>
      </c>
    </row>
    <row r="110" spans="1:11" s="451" customFormat="1" x14ac:dyDescent="0.2">
      <c r="A110" s="99">
        <f t="shared" ref="A110:A113" si="14">A109+1</f>
        <v>77</v>
      </c>
      <c r="B110" s="51" t="s">
        <v>15</v>
      </c>
      <c r="C110" s="424">
        <v>2019</v>
      </c>
      <c r="D110" s="394">
        <v>0</v>
      </c>
      <c r="E110" s="101">
        <f>D110*'[17]16-PlantAdditions'!$E$103</f>
        <v>0</v>
      </c>
      <c r="F110" s="101">
        <f t="shared" si="11"/>
        <v>0</v>
      </c>
      <c r="G110" s="394">
        <v>0</v>
      </c>
      <c r="H110" s="394">
        <v>0</v>
      </c>
      <c r="I110" s="101">
        <f>(G110-H110)*'[17]16-PlantAdditions'!$E$103</f>
        <v>0</v>
      </c>
      <c r="J110" s="101">
        <f t="shared" ref="J110:J112" si="15">J109+F110-G110-I110</f>
        <v>0</v>
      </c>
      <c r="K110" s="101">
        <f t="shared" si="13"/>
        <v>-150976.49</v>
      </c>
    </row>
    <row r="111" spans="1:11" s="451" customFormat="1" x14ac:dyDescent="0.2">
      <c r="A111" s="99">
        <f t="shared" si="14"/>
        <v>78</v>
      </c>
      <c r="B111" s="51" t="s">
        <v>14</v>
      </c>
      <c r="C111" s="424">
        <v>2019</v>
      </c>
      <c r="D111" s="394">
        <v>0</v>
      </c>
      <c r="E111" s="101">
        <f>D111*'[17]16-PlantAdditions'!$E$103</f>
        <v>0</v>
      </c>
      <c r="F111" s="101">
        <f t="shared" si="11"/>
        <v>0</v>
      </c>
      <c r="G111" s="394">
        <v>0</v>
      </c>
      <c r="H111" s="394">
        <v>0</v>
      </c>
      <c r="I111" s="101">
        <f>(G111-H111)*'[17]16-PlantAdditions'!$E$103</f>
        <v>0</v>
      </c>
      <c r="J111" s="101">
        <f t="shared" si="15"/>
        <v>0</v>
      </c>
      <c r="K111" s="101">
        <f t="shared" si="13"/>
        <v>-150976.49</v>
      </c>
    </row>
    <row r="112" spans="1:11" s="451" customFormat="1" x14ac:dyDescent="0.2">
      <c r="A112" s="99">
        <f t="shared" si="14"/>
        <v>79</v>
      </c>
      <c r="B112" s="51" t="s">
        <v>6</v>
      </c>
      <c r="C112" s="424">
        <v>2019</v>
      </c>
      <c r="D112" s="394">
        <v>0</v>
      </c>
      <c r="E112" s="101">
        <f>D112*'[17]16-PlantAdditions'!$E$103</f>
        <v>0</v>
      </c>
      <c r="F112" s="101">
        <f t="shared" si="11"/>
        <v>0</v>
      </c>
      <c r="G112" s="394">
        <v>0</v>
      </c>
      <c r="H112" s="394">
        <v>0</v>
      </c>
      <c r="I112" s="101">
        <f>(G112-H112)*'[17]16-PlantAdditions'!$E$103</f>
        <v>0</v>
      </c>
      <c r="J112" s="101">
        <f t="shared" si="15"/>
        <v>0</v>
      </c>
      <c r="K112" s="109">
        <f t="shared" si="13"/>
        <v>-150976.49</v>
      </c>
    </row>
    <row r="113" spans="1:11" s="451" customFormat="1" x14ac:dyDescent="0.2">
      <c r="A113" s="99">
        <f t="shared" si="14"/>
        <v>80</v>
      </c>
      <c r="B113"/>
      <c r="C113" s="448" t="s">
        <v>953</v>
      </c>
      <c r="D113"/>
      <c r="E113"/>
      <c r="F113"/>
      <c r="G113"/>
      <c r="H113"/>
      <c r="I113"/>
      <c r="J113"/>
      <c r="K113" s="449">
        <f>AVERAGE(K100:K112)</f>
        <v>-150976.49</v>
      </c>
    </row>
    <row r="114" spans="1:11" s="451" customFormat="1" x14ac:dyDescent="0.2">
      <c r="A114" s="99"/>
      <c r="B114"/>
      <c r="C114" s="448"/>
      <c r="D114"/>
      <c r="E114"/>
      <c r="F114"/>
      <c r="G114"/>
      <c r="H114"/>
      <c r="I114"/>
      <c r="J114"/>
      <c r="K114" s="449"/>
    </row>
    <row r="115" spans="1:11" s="451" customFormat="1" x14ac:dyDescent="0.2">
      <c r="B115" s="452" t="s">
        <v>961</v>
      </c>
      <c r="D115" s="574" t="s">
        <v>962</v>
      </c>
      <c r="E115" s="574"/>
    </row>
    <row r="116" spans="1:11" s="451" customFormat="1" x14ac:dyDescent="0.2">
      <c r="A116" s="440"/>
      <c r="B116" s="440"/>
      <c r="C116" s="440"/>
      <c r="D116" s="440" t="s">
        <v>152</v>
      </c>
      <c r="E116" s="440" t="s">
        <v>153</v>
      </c>
      <c r="F116" s="440" t="s">
        <v>154</v>
      </c>
      <c r="G116" s="440" t="s">
        <v>155</v>
      </c>
      <c r="H116" s="440" t="s">
        <v>904</v>
      </c>
      <c r="I116" s="440" t="s">
        <v>905</v>
      </c>
      <c r="J116" s="440" t="s">
        <v>920</v>
      </c>
      <c r="K116" s="440" t="s">
        <v>921</v>
      </c>
    </row>
    <row r="117" spans="1:11" s="451" customFormat="1" ht="38.25" x14ac:dyDescent="0.2">
      <c r="D117" s="453"/>
      <c r="E117" s="454" t="s">
        <v>956</v>
      </c>
      <c r="F117" s="445" t="s">
        <v>957</v>
      </c>
      <c r="G117" s="455"/>
      <c r="H117" s="453"/>
      <c r="I117" s="454" t="s">
        <v>958</v>
      </c>
      <c r="J117" s="454" t="s">
        <v>959</v>
      </c>
      <c r="K117" s="454" t="s">
        <v>960</v>
      </c>
    </row>
    <row r="118" spans="1:11" s="451" customFormat="1" x14ac:dyDescent="0.2">
      <c r="D118" s="453"/>
      <c r="E118" s="453"/>
      <c r="F118" s="453"/>
      <c r="G118" s="94" t="str">
        <f>G51</f>
        <v>Unloaded</v>
      </c>
      <c r="H118" s="453"/>
      <c r="I118" s="453"/>
    </row>
    <row r="119" spans="1:11" s="451" customFormat="1" x14ac:dyDescent="0.2">
      <c r="A119" s="443"/>
      <c r="B119" s="443"/>
      <c r="C119" s="443"/>
      <c r="D119" s="443" t="str">
        <f>D$52</f>
        <v>Forecast</v>
      </c>
      <c r="E119" s="443" t="str">
        <f t="shared" ref="E119:J119" si="16">E$52</f>
        <v>Corporate</v>
      </c>
      <c r="F119" s="443" t="str">
        <f t="shared" si="16"/>
        <v xml:space="preserve">Total </v>
      </c>
      <c r="G119" s="94" t="str">
        <f>G52</f>
        <v>Total</v>
      </c>
      <c r="H119" s="443" t="str">
        <f t="shared" si="16"/>
        <v>Prior Period</v>
      </c>
      <c r="I119" s="443" t="str">
        <f t="shared" si="16"/>
        <v>Over Heads</v>
      </c>
      <c r="J119" s="443" t="str">
        <f t="shared" si="16"/>
        <v>Forecast</v>
      </c>
      <c r="K119" s="94" t="str">
        <f>K$52</f>
        <v>Forecast Period</v>
      </c>
    </row>
    <row r="120" spans="1:11" s="451" customFormat="1" x14ac:dyDescent="0.2">
      <c r="A120" s="136" t="s">
        <v>292</v>
      </c>
      <c r="B120" s="55" t="s">
        <v>16</v>
      </c>
      <c r="C120" s="55" t="s">
        <v>17</v>
      </c>
      <c r="D120" s="440" t="str">
        <f>D$53</f>
        <v>Expenditures</v>
      </c>
      <c r="E120" s="440" t="str">
        <f t="shared" ref="E120:J120" si="17">E$53</f>
        <v>Overheads</v>
      </c>
      <c r="F120" s="440" t="str">
        <f t="shared" si="17"/>
        <v>CWIP Exp</v>
      </c>
      <c r="G120" s="98" t="str">
        <f>G53</f>
        <v>Plant Adds</v>
      </c>
      <c r="H120" s="440" t="str">
        <f t="shared" si="17"/>
        <v>CWIP Closed</v>
      </c>
      <c r="I120" s="440" t="str">
        <f t="shared" si="17"/>
        <v>Closed to PIS</v>
      </c>
      <c r="J120" s="440" t="str">
        <f t="shared" si="17"/>
        <v>Period CWIP</v>
      </c>
      <c r="K120" s="440" t="str">
        <f>K$53</f>
        <v>Incremental CWIP</v>
      </c>
    </row>
    <row r="121" spans="1:11" s="451" customFormat="1" x14ac:dyDescent="0.2">
      <c r="A121" s="99">
        <f>A113+1</f>
        <v>81</v>
      </c>
      <c r="B121" s="56" t="s">
        <v>6</v>
      </c>
      <c r="C121" s="424">
        <v>2017</v>
      </c>
      <c r="D121" s="445" t="s">
        <v>935</v>
      </c>
      <c r="E121" s="445" t="s">
        <v>935</v>
      </c>
      <c r="F121" s="445" t="s">
        <v>935</v>
      </c>
      <c r="G121" s="445" t="s">
        <v>935</v>
      </c>
      <c r="H121" s="445" t="s">
        <v>935</v>
      </c>
      <c r="I121" s="445" t="s">
        <v>935</v>
      </c>
      <c r="J121" s="101">
        <f>F25</f>
        <v>0</v>
      </c>
      <c r="K121" s="445" t="s">
        <v>935</v>
      </c>
    </row>
    <row r="122" spans="1:11" s="451" customFormat="1" x14ac:dyDescent="0.2">
      <c r="A122" s="99">
        <f>A121+1</f>
        <v>82</v>
      </c>
      <c r="B122" s="56" t="s">
        <v>7</v>
      </c>
      <c r="C122" s="424">
        <v>2018</v>
      </c>
      <c r="D122" s="394">
        <v>0</v>
      </c>
      <c r="E122" s="101">
        <f>D122*'[17]16-PlantAdditions'!$E$103</f>
        <v>0</v>
      </c>
      <c r="F122" s="101">
        <f>E122+D122</f>
        <v>0</v>
      </c>
      <c r="G122" s="394">
        <v>0</v>
      </c>
      <c r="H122" s="394">
        <v>0</v>
      </c>
      <c r="I122" s="101">
        <f>(G122-H122)*'[17]16-PlantAdditions'!$E$103</f>
        <v>0</v>
      </c>
      <c r="J122" s="101">
        <f>J121+F122-G122-I122</f>
        <v>0</v>
      </c>
      <c r="K122" s="116">
        <f>J122-$J$121</f>
        <v>0</v>
      </c>
    </row>
    <row r="123" spans="1:11" s="451" customFormat="1" x14ac:dyDescent="0.2">
      <c r="A123" s="99">
        <f t="shared" ref="A123:A146" si="18">A122+1</f>
        <v>83</v>
      </c>
      <c r="B123" s="51" t="s">
        <v>8</v>
      </c>
      <c r="C123" s="424">
        <v>2018</v>
      </c>
      <c r="D123" s="394">
        <v>0</v>
      </c>
      <c r="E123" s="101">
        <f>D123*'[17]16-PlantAdditions'!$E$103</f>
        <v>0</v>
      </c>
      <c r="F123" s="101">
        <f t="shared" ref="F123:F145" si="19">E123+D123</f>
        <v>0</v>
      </c>
      <c r="G123" s="394">
        <v>0</v>
      </c>
      <c r="H123" s="394">
        <v>0</v>
      </c>
      <c r="I123" s="101">
        <f>(G123-H123)*'[17]16-PlantAdditions'!$E$103</f>
        <v>0</v>
      </c>
      <c r="J123" s="101">
        <f t="shared" ref="J123:J145" si="20">J122+F123-G123-I123</f>
        <v>0</v>
      </c>
      <c r="K123" s="116">
        <f t="shared" ref="K123:K145" si="21">J123-$J$121</f>
        <v>0</v>
      </c>
    </row>
    <row r="124" spans="1:11" s="451" customFormat="1" x14ac:dyDescent="0.2">
      <c r="A124" s="99">
        <f t="shared" si="18"/>
        <v>84</v>
      </c>
      <c r="B124" s="51" t="s">
        <v>18</v>
      </c>
      <c r="C124" s="424">
        <v>2018</v>
      </c>
      <c r="D124" s="394">
        <v>0</v>
      </c>
      <c r="E124" s="101">
        <f>D124*'[17]16-PlantAdditions'!$E$103</f>
        <v>0</v>
      </c>
      <c r="F124" s="101">
        <f t="shared" si="19"/>
        <v>0</v>
      </c>
      <c r="G124" s="394">
        <v>0</v>
      </c>
      <c r="H124" s="394">
        <v>0</v>
      </c>
      <c r="I124" s="101">
        <f>(G124-H124)*'[17]16-PlantAdditions'!$E$103</f>
        <v>0</v>
      </c>
      <c r="J124" s="101">
        <f t="shared" si="20"/>
        <v>0</v>
      </c>
      <c r="K124" s="116">
        <f t="shared" si="21"/>
        <v>0</v>
      </c>
    </row>
    <row r="125" spans="1:11" s="451" customFormat="1" x14ac:dyDescent="0.2">
      <c r="A125" s="99">
        <f t="shared" si="18"/>
        <v>85</v>
      </c>
      <c r="B125" s="56" t="s">
        <v>9</v>
      </c>
      <c r="C125" s="424">
        <v>2018</v>
      </c>
      <c r="D125" s="394">
        <v>0</v>
      </c>
      <c r="E125" s="101">
        <f>D125*'[17]16-PlantAdditions'!$E$103</f>
        <v>0</v>
      </c>
      <c r="F125" s="101">
        <f t="shared" si="19"/>
        <v>0</v>
      </c>
      <c r="G125" s="394">
        <v>0</v>
      </c>
      <c r="H125" s="394">
        <v>0</v>
      </c>
      <c r="I125" s="101">
        <f>(G125-H125)*'[17]16-PlantAdditions'!$E$103</f>
        <v>0</v>
      </c>
      <c r="J125" s="101">
        <f t="shared" si="20"/>
        <v>0</v>
      </c>
      <c r="K125" s="116">
        <f t="shared" si="21"/>
        <v>0</v>
      </c>
    </row>
    <row r="126" spans="1:11" s="451" customFormat="1" x14ac:dyDescent="0.2">
      <c r="A126" s="99">
        <f t="shared" si="18"/>
        <v>86</v>
      </c>
      <c r="B126" s="51" t="s">
        <v>10</v>
      </c>
      <c r="C126" s="424">
        <v>2018</v>
      </c>
      <c r="D126" s="394">
        <v>0</v>
      </c>
      <c r="E126" s="101">
        <f>D126*'[17]16-PlantAdditions'!$E$103</f>
        <v>0</v>
      </c>
      <c r="F126" s="101">
        <f t="shared" si="19"/>
        <v>0</v>
      </c>
      <c r="G126" s="394">
        <v>0</v>
      </c>
      <c r="H126" s="394">
        <v>0</v>
      </c>
      <c r="I126" s="101">
        <f>(G126-H126)*'[17]16-PlantAdditions'!$E$103</f>
        <v>0</v>
      </c>
      <c r="J126" s="101">
        <f t="shared" si="20"/>
        <v>0</v>
      </c>
      <c r="K126" s="116">
        <f t="shared" si="21"/>
        <v>0</v>
      </c>
    </row>
    <row r="127" spans="1:11" s="451" customFormat="1" x14ac:dyDescent="0.2">
      <c r="A127" s="99">
        <f t="shared" si="18"/>
        <v>87</v>
      </c>
      <c r="B127" s="51" t="s">
        <v>25</v>
      </c>
      <c r="C127" s="424">
        <v>2018</v>
      </c>
      <c r="D127" s="394">
        <v>0</v>
      </c>
      <c r="E127" s="101">
        <f>D127*'[17]16-PlantAdditions'!$E$103</f>
        <v>0</v>
      </c>
      <c r="F127" s="101">
        <f t="shared" si="19"/>
        <v>0</v>
      </c>
      <c r="G127" s="394">
        <v>0</v>
      </c>
      <c r="H127" s="394">
        <v>0</v>
      </c>
      <c r="I127" s="101">
        <f>(G127-H127)*'[17]16-PlantAdditions'!$E$103</f>
        <v>0</v>
      </c>
      <c r="J127" s="101">
        <f t="shared" si="20"/>
        <v>0</v>
      </c>
      <c r="K127" s="116">
        <f t="shared" si="21"/>
        <v>0</v>
      </c>
    </row>
    <row r="128" spans="1:11" s="451" customFormat="1" x14ac:dyDescent="0.2">
      <c r="A128" s="99">
        <f t="shared" si="18"/>
        <v>88</v>
      </c>
      <c r="B128" s="56" t="s">
        <v>11</v>
      </c>
      <c r="C128" s="424">
        <v>2018</v>
      </c>
      <c r="D128" s="394">
        <v>0</v>
      </c>
      <c r="E128" s="101">
        <f>D128*'[17]16-PlantAdditions'!$E$103</f>
        <v>0</v>
      </c>
      <c r="F128" s="101">
        <f t="shared" si="19"/>
        <v>0</v>
      </c>
      <c r="G128" s="394">
        <v>0</v>
      </c>
      <c r="H128" s="394">
        <v>0</v>
      </c>
      <c r="I128" s="101">
        <f>(G128-H128)*'[17]16-PlantAdditions'!$E$103</f>
        <v>0</v>
      </c>
      <c r="J128" s="101">
        <f t="shared" si="20"/>
        <v>0</v>
      </c>
      <c r="K128" s="116">
        <f t="shared" si="21"/>
        <v>0</v>
      </c>
    </row>
    <row r="129" spans="1:11" s="451" customFormat="1" x14ac:dyDescent="0.2">
      <c r="A129" s="99">
        <f t="shared" si="18"/>
        <v>89</v>
      </c>
      <c r="B129" s="51" t="s">
        <v>12</v>
      </c>
      <c r="C129" s="424">
        <v>2018</v>
      </c>
      <c r="D129" s="394">
        <v>0</v>
      </c>
      <c r="E129" s="101">
        <f>D129*'[17]16-PlantAdditions'!$E$103</f>
        <v>0</v>
      </c>
      <c r="F129" s="101">
        <f t="shared" si="19"/>
        <v>0</v>
      </c>
      <c r="G129" s="394">
        <v>0</v>
      </c>
      <c r="H129" s="394">
        <v>0</v>
      </c>
      <c r="I129" s="101">
        <f>(G129-H129)*'[17]16-PlantAdditions'!$E$103</f>
        <v>0</v>
      </c>
      <c r="J129" s="101">
        <f t="shared" si="20"/>
        <v>0</v>
      </c>
      <c r="K129" s="116">
        <f t="shared" si="21"/>
        <v>0</v>
      </c>
    </row>
    <row r="130" spans="1:11" s="451" customFormat="1" x14ac:dyDescent="0.2">
      <c r="A130" s="99">
        <f t="shared" si="18"/>
        <v>90</v>
      </c>
      <c r="B130" s="51" t="s">
        <v>13</v>
      </c>
      <c r="C130" s="424">
        <v>2018</v>
      </c>
      <c r="D130" s="394">
        <v>0</v>
      </c>
      <c r="E130" s="101">
        <f>D130*'[17]16-PlantAdditions'!$E$103</f>
        <v>0</v>
      </c>
      <c r="F130" s="101">
        <f t="shared" si="19"/>
        <v>0</v>
      </c>
      <c r="G130" s="394">
        <v>0</v>
      </c>
      <c r="H130" s="394">
        <v>0</v>
      </c>
      <c r="I130" s="101">
        <f>(G130-H130)*'[17]16-PlantAdditions'!$E$103</f>
        <v>0</v>
      </c>
      <c r="J130" s="101">
        <f t="shared" si="20"/>
        <v>0</v>
      </c>
      <c r="K130" s="116">
        <f t="shared" si="21"/>
        <v>0</v>
      </c>
    </row>
    <row r="131" spans="1:11" s="451" customFormat="1" x14ac:dyDescent="0.2">
      <c r="A131" s="99">
        <f t="shared" si="18"/>
        <v>91</v>
      </c>
      <c r="B131" s="56" t="s">
        <v>15</v>
      </c>
      <c r="C131" s="424">
        <v>2018</v>
      </c>
      <c r="D131" s="394">
        <v>0</v>
      </c>
      <c r="E131" s="101">
        <f>D131*'[17]16-PlantAdditions'!$E$103</f>
        <v>0</v>
      </c>
      <c r="F131" s="101">
        <f t="shared" si="19"/>
        <v>0</v>
      </c>
      <c r="G131" s="394">
        <v>0</v>
      </c>
      <c r="H131" s="394">
        <v>0</v>
      </c>
      <c r="I131" s="101">
        <f>(G131-H131)*'[17]16-PlantAdditions'!$E$103</f>
        <v>0</v>
      </c>
      <c r="J131" s="101">
        <f t="shared" si="20"/>
        <v>0</v>
      </c>
      <c r="K131" s="116">
        <f t="shared" si="21"/>
        <v>0</v>
      </c>
    </row>
    <row r="132" spans="1:11" s="451" customFormat="1" x14ac:dyDescent="0.2">
      <c r="A132" s="99">
        <f t="shared" si="18"/>
        <v>92</v>
      </c>
      <c r="B132" s="56" t="s">
        <v>14</v>
      </c>
      <c r="C132" s="424">
        <v>2018</v>
      </c>
      <c r="D132" s="394">
        <v>0</v>
      </c>
      <c r="E132" s="101">
        <f>D132*'[17]16-PlantAdditions'!$E$103</f>
        <v>0</v>
      </c>
      <c r="F132" s="101">
        <f t="shared" si="19"/>
        <v>0</v>
      </c>
      <c r="G132" s="394">
        <v>0</v>
      </c>
      <c r="H132" s="394">
        <v>0</v>
      </c>
      <c r="I132" s="101">
        <f>(G132-H132)*'[17]16-PlantAdditions'!$E$103</f>
        <v>0</v>
      </c>
      <c r="J132" s="101">
        <f t="shared" si="20"/>
        <v>0</v>
      </c>
      <c r="K132" s="116">
        <f t="shared" si="21"/>
        <v>0</v>
      </c>
    </row>
    <row r="133" spans="1:11" s="451" customFormat="1" x14ac:dyDescent="0.2">
      <c r="A133" s="99">
        <f t="shared" si="18"/>
        <v>93</v>
      </c>
      <c r="B133" s="56" t="s">
        <v>6</v>
      </c>
      <c r="C133" s="424">
        <v>2018</v>
      </c>
      <c r="D133" s="394">
        <v>0</v>
      </c>
      <c r="E133" s="101">
        <f>D133*'[17]16-PlantAdditions'!$E$103</f>
        <v>0</v>
      </c>
      <c r="F133" s="101">
        <f t="shared" si="19"/>
        <v>0</v>
      </c>
      <c r="G133" s="394">
        <v>0</v>
      </c>
      <c r="H133" s="394">
        <v>0</v>
      </c>
      <c r="I133" s="101">
        <f>(G133-H133)*'[17]16-PlantAdditions'!$E$103</f>
        <v>0</v>
      </c>
      <c r="J133" s="101">
        <f t="shared" si="20"/>
        <v>0</v>
      </c>
      <c r="K133" s="116">
        <f t="shared" si="21"/>
        <v>0</v>
      </c>
    </row>
    <row r="134" spans="1:11" s="451" customFormat="1" x14ac:dyDescent="0.2">
      <c r="A134" s="99">
        <f t="shared" si="18"/>
        <v>94</v>
      </c>
      <c r="B134" s="56" t="s">
        <v>7</v>
      </c>
      <c r="C134" s="424">
        <v>2019</v>
      </c>
      <c r="D134" s="394">
        <v>0</v>
      </c>
      <c r="E134" s="101">
        <f>D134*'[17]16-PlantAdditions'!$E$103</f>
        <v>0</v>
      </c>
      <c r="F134" s="101">
        <f t="shared" si="19"/>
        <v>0</v>
      </c>
      <c r="G134" s="394">
        <v>0</v>
      </c>
      <c r="H134" s="394">
        <v>0</v>
      </c>
      <c r="I134" s="101">
        <f>(G134-H134)*'[17]16-PlantAdditions'!$E$103</f>
        <v>0</v>
      </c>
      <c r="J134" s="101">
        <f t="shared" si="20"/>
        <v>0</v>
      </c>
      <c r="K134" s="116">
        <f t="shared" si="21"/>
        <v>0</v>
      </c>
    </row>
    <row r="135" spans="1:11" s="451" customFormat="1" x14ac:dyDescent="0.2">
      <c r="A135" s="99">
        <f t="shared" si="18"/>
        <v>95</v>
      </c>
      <c r="B135" s="51" t="s">
        <v>8</v>
      </c>
      <c r="C135" s="424">
        <v>2019</v>
      </c>
      <c r="D135" s="394">
        <v>0</v>
      </c>
      <c r="E135" s="101">
        <f>D135*'[17]16-PlantAdditions'!$E$103</f>
        <v>0</v>
      </c>
      <c r="F135" s="101">
        <f t="shared" si="19"/>
        <v>0</v>
      </c>
      <c r="G135" s="394">
        <v>0</v>
      </c>
      <c r="H135" s="394">
        <v>0</v>
      </c>
      <c r="I135" s="101">
        <f>(G135-H135)*'[17]16-PlantAdditions'!$E$103</f>
        <v>0</v>
      </c>
      <c r="J135" s="101">
        <f t="shared" si="20"/>
        <v>0</v>
      </c>
      <c r="K135" s="116">
        <f t="shared" si="21"/>
        <v>0</v>
      </c>
    </row>
    <row r="136" spans="1:11" s="451" customFormat="1" x14ac:dyDescent="0.2">
      <c r="A136" s="99">
        <f t="shared" si="18"/>
        <v>96</v>
      </c>
      <c r="B136" s="51" t="s">
        <v>18</v>
      </c>
      <c r="C136" s="424">
        <v>2019</v>
      </c>
      <c r="D136" s="394">
        <v>0</v>
      </c>
      <c r="E136" s="101">
        <f>D136*'[17]16-PlantAdditions'!$E$103</f>
        <v>0</v>
      </c>
      <c r="F136" s="101">
        <f t="shared" si="19"/>
        <v>0</v>
      </c>
      <c r="G136" s="394">
        <v>0</v>
      </c>
      <c r="H136" s="394">
        <v>0</v>
      </c>
      <c r="I136" s="101">
        <f>(G136-H136)*'[17]16-PlantAdditions'!$E$103</f>
        <v>0</v>
      </c>
      <c r="J136" s="101">
        <f t="shared" si="20"/>
        <v>0</v>
      </c>
      <c r="K136" s="116">
        <f t="shared" si="21"/>
        <v>0</v>
      </c>
    </row>
    <row r="137" spans="1:11" s="451" customFormat="1" x14ac:dyDescent="0.2">
      <c r="A137" s="99">
        <f t="shared" si="18"/>
        <v>97</v>
      </c>
      <c r="B137" s="56" t="s">
        <v>9</v>
      </c>
      <c r="C137" s="424">
        <v>2019</v>
      </c>
      <c r="D137" s="394">
        <v>0</v>
      </c>
      <c r="E137" s="101">
        <f>D137*'[17]16-PlantAdditions'!$E$103</f>
        <v>0</v>
      </c>
      <c r="F137" s="101">
        <f t="shared" si="19"/>
        <v>0</v>
      </c>
      <c r="G137" s="394">
        <v>0</v>
      </c>
      <c r="H137" s="394">
        <v>0</v>
      </c>
      <c r="I137" s="101">
        <f>(G137-H137)*'[17]16-PlantAdditions'!$E$103</f>
        <v>0</v>
      </c>
      <c r="J137" s="101">
        <f t="shared" si="20"/>
        <v>0</v>
      </c>
      <c r="K137" s="116">
        <f t="shared" si="21"/>
        <v>0</v>
      </c>
    </row>
    <row r="138" spans="1:11" s="451" customFormat="1" x14ac:dyDescent="0.2">
      <c r="A138" s="99">
        <f t="shared" si="18"/>
        <v>98</v>
      </c>
      <c r="B138" s="51" t="s">
        <v>10</v>
      </c>
      <c r="C138" s="424">
        <v>2019</v>
      </c>
      <c r="D138" s="394">
        <v>0</v>
      </c>
      <c r="E138" s="101">
        <f>D138*'[17]16-PlantAdditions'!$E$103</f>
        <v>0</v>
      </c>
      <c r="F138" s="101">
        <f t="shared" si="19"/>
        <v>0</v>
      </c>
      <c r="G138" s="394">
        <v>0</v>
      </c>
      <c r="H138" s="394">
        <v>0</v>
      </c>
      <c r="I138" s="101">
        <f>(G138-H138)*'[17]16-PlantAdditions'!$E$103</f>
        <v>0</v>
      </c>
      <c r="J138" s="101">
        <f t="shared" si="20"/>
        <v>0</v>
      </c>
      <c r="K138" s="116">
        <f t="shared" si="21"/>
        <v>0</v>
      </c>
    </row>
    <row r="139" spans="1:11" s="451" customFormat="1" x14ac:dyDescent="0.2">
      <c r="A139" s="99">
        <f t="shared" si="18"/>
        <v>99</v>
      </c>
      <c r="B139" s="51" t="s">
        <v>25</v>
      </c>
      <c r="C139" s="424">
        <v>2019</v>
      </c>
      <c r="D139" s="394">
        <v>0</v>
      </c>
      <c r="E139" s="101">
        <f>D139*'[17]16-PlantAdditions'!$E$103</f>
        <v>0</v>
      </c>
      <c r="F139" s="101">
        <f t="shared" si="19"/>
        <v>0</v>
      </c>
      <c r="G139" s="394">
        <v>0</v>
      </c>
      <c r="H139" s="394">
        <v>0</v>
      </c>
      <c r="I139" s="101">
        <f>(G139-H139)*'[17]16-PlantAdditions'!$E$103</f>
        <v>0</v>
      </c>
      <c r="J139" s="101">
        <f t="shared" si="20"/>
        <v>0</v>
      </c>
      <c r="K139" s="116">
        <f t="shared" si="21"/>
        <v>0</v>
      </c>
    </row>
    <row r="140" spans="1:11" s="451" customFormat="1" x14ac:dyDescent="0.2">
      <c r="A140" s="99">
        <f t="shared" si="18"/>
        <v>100</v>
      </c>
      <c r="B140" s="56" t="s">
        <v>11</v>
      </c>
      <c r="C140" s="424">
        <v>2019</v>
      </c>
      <c r="D140" s="394">
        <v>0</v>
      </c>
      <c r="E140" s="101">
        <f>D140*'[17]16-PlantAdditions'!$E$103</f>
        <v>0</v>
      </c>
      <c r="F140" s="101">
        <f t="shared" si="19"/>
        <v>0</v>
      </c>
      <c r="G140" s="394">
        <v>0</v>
      </c>
      <c r="H140" s="394">
        <v>0</v>
      </c>
      <c r="I140" s="101">
        <f>(G140-H140)*'[17]16-PlantAdditions'!$E$103</f>
        <v>0</v>
      </c>
      <c r="J140" s="101">
        <f t="shared" si="20"/>
        <v>0</v>
      </c>
      <c r="K140" s="116">
        <f t="shared" si="21"/>
        <v>0</v>
      </c>
    </row>
    <row r="141" spans="1:11" s="451" customFormat="1" x14ac:dyDescent="0.2">
      <c r="A141" s="99">
        <f t="shared" si="18"/>
        <v>101</v>
      </c>
      <c r="B141" s="51" t="s">
        <v>12</v>
      </c>
      <c r="C141" s="424">
        <v>2019</v>
      </c>
      <c r="D141" s="394">
        <v>0</v>
      </c>
      <c r="E141" s="101">
        <f>D141*'[17]16-PlantAdditions'!$E$103</f>
        <v>0</v>
      </c>
      <c r="F141" s="101">
        <f t="shared" si="19"/>
        <v>0</v>
      </c>
      <c r="G141" s="394">
        <v>0</v>
      </c>
      <c r="H141" s="394">
        <v>0</v>
      </c>
      <c r="I141" s="101">
        <f>(G141-H141)*'[17]16-PlantAdditions'!$E$103</f>
        <v>0</v>
      </c>
      <c r="J141" s="101">
        <f t="shared" si="20"/>
        <v>0</v>
      </c>
      <c r="K141" s="116">
        <f t="shared" si="21"/>
        <v>0</v>
      </c>
    </row>
    <row r="142" spans="1:11" s="451" customFormat="1" x14ac:dyDescent="0.2">
      <c r="A142" s="99">
        <f t="shared" si="18"/>
        <v>102</v>
      </c>
      <c r="B142" s="51" t="s">
        <v>13</v>
      </c>
      <c r="C142" s="424">
        <v>2019</v>
      </c>
      <c r="D142" s="394">
        <v>0</v>
      </c>
      <c r="E142" s="101">
        <f>D142*'[17]16-PlantAdditions'!$E$103</f>
        <v>0</v>
      </c>
      <c r="F142" s="101">
        <f t="shared" si="19"/>
        <v>0</v>
      </c>
      <c r="G142" s="394">
        <v>0</v>
      </c>
      <c r="H142" s="394">
        <v>0</v>
      </c>
      <c r="I142" s="101">
        <f>(G142-H142)*'[17]16-PlantAdditions'!$E$103</f>
        <v>0</v>
      </c>
      <c r="J142" s="101">
        <f t="shared" si="20"/>
        <v>0</v>
      </c>
      <c r="K142" s="116">
        <f t="shared" si="21"/>
        <v>0</v>
      </c>
    </row>
    <row r="143" spans="1:11" s="451" customFormat="1" x14ac:dyDescent="0.2">
      <c r="A143" s="99">
        <f t="shared" si="18"/>
        <v>103</v>
      </c>
      <c r="B143" s="51" t="s">
        <v>15</v>
      </c>
      <c r="C143" s="424">
        <v>2019</v>
      </c>
      <c r="D143" s="394">
        <v>0</v>
      </c>
      <c r="E143" s="101">
        <f>D143*'[17]16-PlantAdditions'!$E$103</f>
        <v>0</v>
      </c>
      <c r="F143" s="101">
        <f t="shared" si="19"/>
        <v>0</v>
      </c>
      <c r="G143" s="394">
        <v>0</v>
      </c>
      <c r="H143" s="394">
        <v>0</v>
      </c>
      <c r="I143" s="101">
        <f>(G143-H143)*'[17]16-PlantAdditions'!$E$103</f>
        <v>0</v>
      </c>
      <c r="J143" s="101">
        <f t="shared" si="20"/>
        <v>0</v>
      </c>
      <c r="K143" s="116">
        <f t="shared" si="21"/>
        <v>0</v>
      </c>
    </row>
    <row r="144" spans="1:11" s="451" customFormat="1" x14ac:dyDescent="0.2">
      <c r="A144" s="99">
        <f t="shared" si="18"/>
        <v>104</v>
      </c>
      <c r="B144" s="51" t="s">
        <v>14</v>
      </c>
      <c r="C144" s="424">
        <v>2019</v>
      </c>
      <c r="D144" s="394">
        <v>0</v>
      </c>
      <c r="E144" s="101">
        <f>D144*'[17]16-PlantAdditions'!$E$103</f>
        <v>0</v>
      </c>
      <c r="F144" s="101">
        <f t="shared" si="19"/>
        <v>0</v>
      </c>
      <c r="G144" s="394">
        <v>0</v>
      </c>
      <c r="H144" s="394">
        <v>0</v>
      </c>
      <c r="I144" s="101">
        <f>(G144-H144)*'[17]16-PlantAdditions'!$E$103</f>
        <v>0</v>
      </c>
      <c r="J144" s="101">
        <f t="shared" si="20"/>
        <v>0</v>
      </c>
      <c r="K144" s="116">
        <f t="shared" si="21"/>
        <v>0</v>
      </c>
    </row>
    <row r="145" spans="1:11" s="451" customFormat="1" x14ac:dyDescent="0.2">
      <c r="A145" s="99">
        <f t="shared" si="18"/>
        <v>105</v>
      </c>
      <c r="B145" s="51" t="s">
        <v>6</v>
      </c>
      <c r="C145" s="424">
        <v>2019</v>
      </c>
      <c r="D145" s="394">
        <v>0</v>
      </c>
      <c r="E145" s="101">
        <f>D145*'[17]16-PlantAdditions'!$E$103</f>
        <v>0</v>
      </c>
      <c r="F145" s="101">
        <f t="shared" si="19"/>
        <v>0</v>
      </c>
      <c r="G145" s="394">
        <v>0</v>
      </c>
      <c r="H145" s="394">
        <v>0</v>
      </c>
      <c r="I145" s="101">
        <f>(G145-H145)*'[17]16-PlantAdditions'!$E$103</f>
        <v>0</v>
      </c>
      <c r="J145" s="101">
        <f t="shared" si="20"/>
        <v>0</v>
      </c>
      <c r="K145" s="109">
        <f t="shared" si="21"/>
        <v>0</v>
      </c>
    </row>
    <row r="146" spans="1:11" s="451" customFormat="1" x14ac:dyDescent="0.2">
      <c r="A146" s="99">
        <f t="shared" si="18"/>
        <v>106</v>
      </c>
      <c r="B146"/>
      <c r="C146" s="448" t="s">
        <v>953</v>
      </c>
      <c r="D146"/>
      <c r="E146"/>
      <c r="F146"/>
      <c r="G146"/>
      <c r="H146"/>
      <c r="I146"/>
      <c r="J146"/>
      <c r="K146" s="449">
        <f>AVERAGE(K133:K145)</f>
        <v>0</v>
      </c>
    </row>
    <row r="147" spans="1:11" s="451" customFormat="1" x14ac:dyDescent="0.2">
      <c r="A147" s="99"/>
      <c r="B147"/>
      <c r="C147" s="448"/>
      <c r="D147"/>
      <c r="E147"/>
      <c r="F147"/>
      <c r="G147"/>
      <c r="H147"/>
      <c r="I147"/>
      <c r="J147"/>
      <c r="K147" s="449"/>
    </row>
    <row r="148" spans="1:11" s="451" customFormat="1" x14ac:dyDescent="0.2">
      <c r="B148" s="452" t="s">
        <v>963</v>
      </c>
      <c r="D148" s="574" t="s">
        <v>964</v>
      </c>
      <c r="E148" s="574"/>
    </row>
    <row r="149" spans="1:11" s="451" customFormat="1" x14ac:dyDescent="0.2">
      <c r="D149" s="453"/>
      <c r="E149" s="453"/>
      <c r="F149" s="453"/>
      <c r="G149" s="94" t="str">
        <f>G51</f>
        <v>Unloaded</v>
      </c>
      <c r="H149" s="453"/>
      <c r="I149" s="453"/>
    </row>
    <row r="150" spans="1:11" s="451" customFormat="1" x14ac:dyDescent="0.2">
      <c r="A150" s="443"/>
      <c r="B150" s="443"/>
      <c r="C150" s="443"/>
      <c r="D150" s="443" t="str">
        <f>D$52</f>
        <v>Forecast</v>
      </c>
      <c r="E150" s="443" t="str">
        <f t="shared" ref="E150:J150" si="22">E$52</f>
        <v>Corporate</v>
      </c>
      <c r="F150" s="443" t="str">
        <f t="shared" si="22"/>
        <v xml:space="preserve">Total </v>
      </c>
      <c r="G150" s="94" t="str">
        <f>G52</f>
        <v>Total</v>
      </c>
      <c r="H150" s="443" t="str">
        <f t="shared" si="22"/>
        <v>Prior Period</v>
      </c>
      <c r="I150" s="443" t="str">
        <f t="shared" si="22"/>
        <v>Over Heads</v>
      </c>
      <c r="J150" s="443" t="str">
        <f t="shared" si="22"/>
        <v>Forecast</v>
      </c>
      <c r="K150" s="94" t="str">
        <f>K$52</f>
        <v>Forecast Period</v>
      </c>
    </row>
    <row r="151" spans="1:11" s="451" customFormat="1" x14ac:dyDescent="0.2">
      <c r="A151" s="136" t="s">
        <v>292</v>
      </c>
      <c r="B151" s="55" t="s">
        <v>16</v>
      </c>
      <c r="C151" s="55" t="s">
        <v>17</v>
      </c>
      <c r="D151" s="440" t="str">
        <f>D$53</f>
        <v>Expenditures</v>
      </c>
      <c r="E151" s="440" t="str">
        <f t="shared" ref="E151:J151" si="23">E$53</f>
        <v>Overheads</v>
      </c>
      <c r="F151" s="440" t="str">
        <f t="shared" si="23"/>
        <v>CWIP Exp</v>
      </c>
      <c r="G151" s="98" t="str">
        <f>G53</f>
        <v>Plant Adds</v>
      </c>
      <c r="H151" s="440" t="str">
        <f t="shared" si="23"/>
        <v>CWIP Closed</v>
      </c>
      <c r="I151" s="440" t="str">
        <f t="shared" si="23"/>
        <v>Closed to PIS</v>
      </c>
      <c r="J151" s="440" t="str">
        <f t="shared" si="23"/>
        <v>Period CWIP</v>
      </c>
      <c r="K151" s="440" t="str">
        <f>K$53</f>
        <v>Incremental CWIP</v>
      </c>
    </row>
    <row r="152" spans="1:11" s="451" customFormat="1" x14ac:dyDescent="0.2">
      <c r="A152" s="99">
        <f>A146+1</f>
        <v>107</v>
      </c>
      <c r="B152" s="56" t="s">
        <v>6</v>
      </c>
      <c r="C152" s="424">
        <v>2017</v>
      </c>
      <c r="D152" s="445" t="s">
        <v>935</v>
      </c>
      <c r="E152" s="445" t="s">
        <v>935</v>
      </c>
      <c r="F152" s="445" t="s">
        <v>935</v>
      </c>
      <c r="G152" s="445" t="s">
        <v>935</v>
      </c>
      <c r="H152" s="445" t="s">
        <v>935</v>
      </c>
      <c r="I152" s="445" t="s">
        <v>935</v>
      </c>
      <c r="J152" s="101">
        <f>G25</f>
        <v>4884727.96</v>
      </c>
      <c r="K152" s="445" t="s">
        <v>935</v>
      </c>
    </row>
    <row r="153" spans="1:11" s="451" customFormat="1" x14ac:dyDescent="0.2">
      <c r="A153" s="99">
        <f>A152+1</f>
        <v>108</v>
      </c>
      <c r="B153" s="56" t="s">
        <v>7</v>
      </c>
      <c r="C153" s="424">
        <v>2018</v>
      </c>
      <c r="D153" s="394">
        <v>11515</v>
      </c>
      <c r="E153" s="101">
        <f>D153*'[17]16-PlantAdditions'!$E$103</f>
        <v>863.625</v>
      </c>
      <c r="F153" s="101">
        <f>E153+D153</f>
        <v>12378.625</v>
      </c>
      <c r="G153" s="394">
        <v>0</v>
      </c>
      <c r="H153" s="394">
        <v>0</v>
      </c>
      <c r="I153" s="101">
        <f>(G153-H153)*'[17]16-PlantAdditions'!$E$103</f>
        <v>0</v>
      </c>
      <c r="J153" s="101">
        <f>J152+F153-G153-I153</f>
        <v>4897106.585</v>
      </c>
      <c r="K153" s="101">
        <f>J153-$J$152</f>
        <v>12378.625</v>
      </c>
    </row>
    <row r="154" spans="1:11" s="451" customFormat="1" x14ac:dyDescent="0.2">
      <c r="A154" s="99">
        <f t="shared" ref="A154:A177" si="24">A153+1</f>
        <v>109</v>
      </c>
      <c r="B154" s="51" t="s">
        <v>8</v>
      </c>
      <c r="C154" s="424">
        <v>2018</v>
      </c>
      <c r="D154" s="394">
        <v>11776</v>
      </c>
      <c r="E154" s="101">
        <f>D154*'[17]16-PlantAdditions'!$E$103</f>
        <v>883.19999999999993</v>
      </c>
      <c r="F154" s="101">
        <f t="shared" ref="F154:F176" si="25">E154+D154</f>
        <v>12659.2</v>
      </c>
      <c r="G154" s="394">
        <v>0</v>
      </c>
      <c r="H154" s="394">
        <v>0</v>
      </c>
      <c r="I154" s="101">
        <f>(G154-H154)*'[17]16-PlantAdditions'!$E$103</f>
        <v>0</v>
      </c>
      <c r="J154" s="101">
        <f t="shared" ref="J154:J176" si="26">J153+F154-G154-I154</f>
        <v>4909765.7850000001</v>
      </c>
      <c r="K154" s="101">
        <f t="shared" ref="K154:K176" si="27">J154-$J$152</f>
        <v>25037.825000000186</v>
      </c>
    </row>
    <row r="155" spans="1:11" s="451" customFormat="1" x14ac:dyDescent="0.2">
      <c r="A155" s="99">
        <f t="shared" si="24"/>
        <v>110</v>
      </c>
      <c r="B155" s="51" t="s">
        <v>18</v>
      </c>
      <c r="C155" s="424">
        <v>2018</v>
      </c>
      <c r="D155" s="394">
        <v>11286</v>
      </c>
      <c r="E155" s="101">
        <f>D155*'[17]16-PlantAdditions'!$E$103</f>
        <v>846.44999999999993</v>
      </c>
      <c r="F155" s="101">
        <f t="shared" si="25"/>
        <v>12132.45</v>
      </c>
      <c r="G155" s="394">
        <v>0</v>
      </c>
      <c r="H155" s="394">
        <v>0</v>
      </c>
      <c r="I155" s="101">
        <f>(G155-H155)*'[17]16-PlantAdditions'!$E$103</f>
        <v>0</v>
      </c>
      <c r="J155" s="101">
        <f t="shared" si="26"/>
        <v>4921898.2350000003</v>
      </c>
      <c r="K155" s="101">
        <f t="shared" si="27"/>
        <v>37170.275000000373</v>
      </c>
    </row>
    <row r="156" spans="1:11" s="451" customFormat="1" x14ac:dyDescent="0.2">
      <c r="A156" s="99">
        <f t="shared" si="24"/>
        <v>111</v>
      </c>
      <c r="B156" s="56" t="s">
        <v>9</v>
      </c>
      <c r="C156" s="424">
        <v>2018</v>
      </c>
      <c r="D156" s="394">
        <v>18380</v>
      </c>
      <c r="E156" s="101">
        <f>D156*'[17]16-PlantAdditions'!$E$103</f>
        <v>1378.5</v>
      </c>
      <c r="F156" s="101">
        <f t="shared" si="25"/>
        <v>19758.5</v>
      </c>
      <c r="G156" s="394">
        <v>0</v>
      </c>
      <c r="H156" s="394">
        <v>0</v>
      </c>
      <c r="I156" s="101">
        <f>(G156-H156)*'[17]16-PlantAdditions'!$E$103</f>
        <v>0</v>
      </c>
      <c r="J156" s="101">
        <f t="shared" si="26"/>
        <v>4941656.7350000003</v>
      </c>
      <c r="K156" s="101">
        <f t="shared" si="27"/>
        <v>56928.775000000373</v>
      </c>
    </row>
    <row r="157" spans="1:11" s="451" customFormat="1" x14ac:dyDescent="0.2">
      <c r="A157" s="99">
        <f t="shared" si="24"/>
        <v>112</v>
      </c>
      <c r="B157" s="51" t="s">
        <v>10</v>
      </c>
      <c r="C157" s="424">
        <v>2018</v>
      </c>
      <c r="D157" s="394">
        <v>18380</v>
      </c>
      <c r="E157" s="101">
        <f>D157*'[17]16-PlantAdditions'!$E$103</f>
        <v>1378.5</v>
      </c>
      <c r="F157" s="101">
        <f t="shared" si="25"/>
        <v>19758.5</v>
      </c>
      <c r="G157" s="394">
        <v>0</v>
      </c>
      <c r="H157" s="394">
        <v>0</v>
      </c>
      <c r="I157" s="101">
        <f>(G157-H157)*'[17]16-PlantAdditions'!$E$103</f>
        <v>0</v>
      </c>
      <c r="J157" s="101">
        <f t="shared" si="26"/>
        <v>4961415.2350000003</v>
      </c>
      <c r="K157" s="101">
        <f t="shared" si="27"/>
        <v>76687.275000000373</v>
      </c>
    </row>
    <row r="158" spans="1:11" s="451" customFormat="1" x14ac:dyDescent="0.2">
      <c r="A158" s="99">
        <f t="shared" si="24"/>
        <v>113</v>
      </c>
      <c r="B158" s="51" t="s">
        <v>25</v>
      </c>
      <c r="C158" s="424">
        <v>2018</v>
      </c>
      <c r="D158" s="394">
        <v>18380</v>
      </c>
      <c r="E158" s="101">
        <f>D158*'[17]16-PlantAdditions'!$E$103</f>
        <v>1378.5</v>
      </c>
      <c r="F158" s="101">
        <f t="shared" si="25"/>
        <v>19758.5</v>
      </c>
      <c r="G158" s="394">
        <v>0</v>
      </c>
      <c r="H158" s="394">
        <v>0</v>
      </c>
      <c r="I158" s="101">
        <f>(G158-H158)*'[17]16-PlantAdditions'!$E$103</f>
        <v>0</v>
      </c>
      <c r="J158" s="101">
        <f t="shared" si="26"/>
        <v>4981173.7350000003</v>
      </c>
      <c r="K158" s="101">
        <f t="shared" si="27"/>
        <v>96445.775000000373</v>
      </c>
    </row>
    <row r="159" spans="1:11" s="451" customFormat="1" x14ac:dyDescent="0.2">
      <c r="A159" s="99">
        <f t="shared" si="24"/>
        <v>114</v>
      </c>
      <c r="B159" s="56" t="s">
        <v>11</v>
      </c>
      <c r="C159" s="424">
        <v>2018</v>
      </c>
      <c r="D159" s="394">
        <v>18380</v>
      </c>
      <c r="E159" s="101">
        <f>D159*'[17]16-PlantAdditions'!$E$103</f>
        <v>1378.5</v>
      </c>
      <c r="F159" s="101">
        <f t="shared" si="25"/>
        <v>19758.5</v>
      </c>
      <c r="G159" s="394">
        <v>0</v>
      </c>
      <c r="H159" s="394">
        <v>0</v>
      </c>
      <c r="I159" s="101">
        <f>(G159-H159)*'[17]16-PlantAdditions'!$E$103</f>
        <v>0</v>
      </c>
      <c r="J159" s="101">
        <f t="shared" si="26"/>
        <v>5000932.2350000003</v>
      </c>
      <c r="K159" s="101">
        <f t="shared" si="27"/>
        <v>116204.27500000037</v>
      </c>
    </row>
    <row r="160" spans="1:11" s="451" customFormat="1" x14ac:dyDescent="0.2">
      <c r="A160" s="99">
        <f t="shared" si="24"/>
        <v>115</v>
      </c>
      <c r="B160" s="51" t="s">
        <v>12</v>
      </c>
      <c r="C160" s="424">
        <v>2018</v>
      </c>
      <c r="D160" s="394">
        <v>18380</v>
      </c>
      <c r="E160" s="101">
        <f>D160*'[17]16-PlantAdditions'!$E$103</f>
        <v>1378.5</v>
      </c>
      <c r="F160" s="101">
        <f t="shared" si="25"/>
        <v>19758.5</v>
      </c>
      <c r="G160" s="394">
        <v>0</v>
      </c>
      <c r="H160" s="394">
        <v>0</v>
      </c>
      <c r="I160" s="101">
        <f>(G160-H160)*'[17]16-PlantAdditions'!$E$103</f>
        <v>0</v>
      </c>
      <c r="J160" s="101">
        <f t="shared" si="26"/>
        <v>5020690.7350000003</v>
      </c>
      <c r="K160" s="101">
        <f t="shared" si="27"/>
        <v>135962.77500000037</v>
      </c>
    </row>
    <row r="161" spans="1:11" s="451" customFormat="1" x14ac:dyDescent="0.2">
      <c r="A161" s="99">
        <f t="shared" si="24"/>
        <v>116</v>
      </c>
      <c r="B161" s="51" t="s">
        <v>13</v>
      </c>
      <c r="C161" s="424">
        <v>2018</v>
      </c>
      <c r="D161" s="394">
        <v>18380</v>
      </c>
      <c r="E161" s="101">
        <f>D161*'[17]16-PlantAdditions'!$E$103</f>
        <v>1378.5</v>
      </c>
      <c r="F161" s="101">
        <f t="shared" si="25"/>
        <v>19758.5</v>
      </c>
      <c r="G161" s="394">
        <v>0</v>
      </c>
      <c r="H161" s="394">
        <v>0</v>
      </c>
      <c r="I161" s="101">
        <f>(G161-H161)*'[17]16-PlantAdditions'!$E$103</f>
        <v>0</v>
      </c>
      <c r="J161" s="101">
        <f t="shared" si="26"/>
        <v>5040449.2350000003</v>
      </c>
      <c r="K161" s="101">
        <f t="shared" si="27"/>
        <v>155721.27500000037</v>
      </c>
    </row>
    <row r="162" spans="1:11" s="451" customFormat="1" x14ac:dyDescent="0.2">
      <c r="A162" s="99">
        <f t="shared" si="24"/>
        <v>117</v>
      </c>
      <c r="B162" s="56" t="s">
        <v>15</v>
      </c>
      <c r="C162" s="424">
        <v>2018</v>
      </c>
      <c r="D162" s="394">
        <v>18380</v>
      </c>
      <c r="E162" s="101">
        <f>D162*'[17]16-PlantAdditions'!$E$103</f>
        <v>1378.5</v>
      </c>
      <c r="F162" s="101">
        <f t="shared" si="25"/>
        <v>19758.5</v>
      </c>
      <c r="G162" s="394">
        <v>0</v>
      </c>
      <c r="H162" s="394">
        <v>0</v>
      </c>
      <c r="I162" s="101">
        <f>(G162-H162)*'[17]16-PlantAdditions'!$E$103</f>
        <v>0</v>
      </c>
      <c r="J162" s="101">
        <f t="shared" si="26"/>
        <v>5060207.7350000003</v>
      </c>
      <c r="K162" s="101">
        <f t="shared" si="27"/>
        <v>175479.77500000037</v>
      </c>
    </row>
    <row r="163" spans="1:11" s="451" customFormat="1" x14ac:dyDescent="0.2">
      <c r="A163" s="99">
        <f t="shared" si="24"/>
        <v>118</v>
      </c>
      <c r="B163" s="56" t="s">
        <v>14</v>
      </c>
      <c r="C163" s="424">
        <v>2018</v>
      </c>
      <c r="D163" s="394">
        <v>18380</v>
      </c>
      <c r="E163" s="101">
        <f>D163*'[17]16-PlantAdditions'!$E$103</f>
        <v>1378.5</v>
      </c>
      <c r="F163" s="101">
        <f t="shared" si="25"/>
        <v>19758.5</v>
      </c>
      <c r="G163" s="394">
        <v>0</v>
      </c>
      <c r="H163" s="394">
        <v>0</v>
      </c>
      <c r="I163" s="101">
        <f>(G163-H163)*'[17]16-PlantAdditions'!$E$103</f>
        <v>0</v>
      </c>
      <c r="J163" s="101">
        <f t="shared" si="26"/>
        <v>5079966.2350000003</v>
      </c>
      <c r="K163" s="101">
        <f t="shared" si="27"/>
        <v>195238.27500000037</v>
      </c>
    </row>
    <row r="164" spans="1:11" s="451" customFormat="1" x14ac:dyDescent="0.2">
      <c r="A164" s="99">
        <f t="shared" si="24"/>
        <v>119</v>
      </c>
      <c r="B164" s="56" t="s">
        <v>6</v>
      </c>
      <c r="C164" s="424">
        <v>2018</v>
      </c>
      <c r="D164" s="394">
        <v>18383</v>
      </c>
      <c r="E164" s="101">
        <f>D164*'[17]16-PlantAdditions'!$E$103</f>
        <v>1378.7249999999999</v>
      </c>
      <c r="F164" s="101">
        <f t="shared" si="25"/>
        <v>19761.724999999999</v>
      </c>
      <c r="G164" s="394">
        <v>0</v>
      </c>
      <c r="H164" s="394">
        <v>0</v>
      </c>
      <c r="I164" s="101">
        <f>(G164-H164)*'[17]16-PlantAdditions'!$E$103</f>
        <v>0</v>
      </c>
      <c r="J164" s="101">
        <f t="shared" si="26"/>
        <v>5099727.96</v>
      </c>
      <c r="K164" s="101">
        <f t="shared" si="27"/>
        <v>215000</v>
      </c>
    </row>
    <row r="165" spans="1:11" s="451" customFormat="1" x14ac:dyDescent="0.2">
      <c r="A165" s="99">
        <f t="shared" si="24"/>
        <v>120</v>
      </c>
      <c r="B165" s="56" t="s">
        <v>7</v>
      </c>
      <c r="C165" s="424">
        <v>2019</v>
      </c>
      <c r="D165" s="394">
        <v>25000</v>
      </c>
      <c r="E165" s="101">
        <f>D165*'[17]16-PlantAdditions'!$E$103</f>
        <v>1875</v>
      </c>
      <c r="F165" s="101">
        <f t="shared" si="25"/>
        <v>26875</v>
      </c>
      <c r="G165" s="394">
        <v>0</v>
      </c>
      <c r="H165" s="394">
        <v>0</v>
      </c>
      <c r="I165" s="101">
        <f>(G165-H165)*'[17]16-PlantAdditions'!$E$103</f>
        <v>0</v>
      </c>
      <c r="J165" s="101">
        <f t="shared" si="26"/>
        <v>5126602.96</v>
      </c>
      <c r="K165" s="101">
        <f t="shared" si="27"/>
        <v>241875</v>
      </c>
    </row>
    <row r="166" spans="1:11" s="451" customFormat="1" x14ac:dyDescent="0.2">
      <c r="A166" s="99">
        <f t="shared" si="24"/>
        <v>121</v>
      </c>
      <c r="B166" s="51" t="s">
        <v>8</v>
      </c>
      <c r="C166" s="424">
        <v>2019</v>
      </c>
      <c r="D166" s="394">
        <v>25000</v>
      </c>
      <c r="E166" s="101">
        <f>D166*'[17]16-PlantAdditions'!$E$103</f>
        <v>1875</v>
      </c>
      <c r="F166" s="101">
        <f t="shared" si="25"/>
        <v>26875</v>
      </c>
      <c r="G166" s="394">
        <v>0</v>
      </c>
      <c r="H166" s="394">
        <v>0</v>
      </c>
      <c r="I166" s="101">
        <f>(G166-H166)*'[17]16-PlantAdditions'!$E$103</f>
        <v>0</v>
      </c>
      <c r="J166" s="101">
        <f t="shared" si="26"/>
        <v>5153477.96</v>
      </c>
      <c r="K166" s="101">
        <f t="shared" si="27"/>
        <v>268750</v>
      </c>
    </row>
    <row r="167" spans="1:11" s="451" customFormat="1" x14ac:dyDescent="0.2">
      <c r="A167" s="99">
        <f t="shared" si="24"/>
        <v>122</v>
      </c>
      <c r="B167" s="51" t="s">
        <v>18</v>
      </c>
      <c r="C167" s="424">
        <v>2019</v>
      </c>
      <c r="D167" s="394">
        <v>25000</v>
      </c>
      <c r="E167" s="101">
        <f>D167*'[17]16-PlantAdditions'!$E$103</f>
        <v>1875</v>
      </c>
      <c r="F167" s="101">
        <f t="shared" si="25"/>
        <v>26875</v>
      </c>
      <c r="G167" s="394">
        <v>0</v>
      </c>
      <c r="H167" s="394">
        <v>0</v>
      </c>
      <c r="I167" s="101">
        <f>(G167-H167)*'[17]16-PlantAdditions'!$E$103</f>
        <v>0</v>
      </c>
      <c r="J167" s="101">
        <f t="shared" si="26"/>
        <v>5180352.96</v>
      </c>
      <c r="K167" s="101">
        <f t="shared" si="27"/>
        <v>295625</v>
      </c>
    </row>
    <row r="168" spans="1:11" s="451" customFormat="1" x14ac:dyDescent="0.2">
      <c r="A168" s="99">
        <f t="shared" si="24"/>
        <v>123</v>
      </c>
      <c r="B168" s="56" t="s">
        <v>9</v>
      </c>
      <c r="C168" s="424">
        <v>2019</v>
      </c>
      <c r="D168" s="394">
        <v>25000</v>
      </c>
      <c r="E168" s="101">
        <f>D168*'[17]16-PlantAdditions'!$E$103</f>
        <v>1875</v>
      </c>
      <c r="F168" s="101">
        <f t="shared" si="25"/>
        <v>26875</v>
      </c>
      <c r="G168" s="394">
        <v>0</v>
      </c>
      <c r="H168" s="394">
        <v>0</v>
      </c>
      <c r="I168" s="101">
        <f>(G168-H168)*'[17]16-PlantAdditions'!$E$103</f>
        <v>0</v>
      </c>
      <c r="J168" s="101">
        <f t="shared" si="26"/>
        <v>5207227.96</v>
      </c>
      <c r="K168" s="101">
        <f t="shared" si="27"/>
        <v>322500</v>
      </c>
    </row>
    <row r="169" spans="1:11" s="451" customFormat="1" x14ac:dyDescent="0.2">
      <c r="A169" s="99">
        <f t="shared" si="24"/>
        <v>124</v>
      </c>
      <c r="B169" s="51" t="s">
        <v>10</v>
      </c>
      <c r="C169" s="424">
        <v>2019</v>
      </c>
      <c r="D169" s="394">
        <v>25000</v>
      </c>
      <c r="E169" s="101">
        <f>D169*'[17]16-PlantAdditions'!$E$103</f>
        <v>1875</v>
      </c>
      <c r="F169" s="101">
        <f t="shared" si="25"/>
        <v>26875</v>
      </c>
      <c r="G169" s="394">
        <v>0</v>
      </c>
      <c r="H169" s="394">
        <v>0</v>
      </c>
      <c r="I169" s="101">
        <f>(G169-H169)*'[17]16-PlantAdditions'!$E$103</f>
        <v>0</v>
      </c>
      <c r="J169" s="101">
        <f t="shared" si="26"/>
        <v>5234102.96</v>
      </c>
      <c r="K169" s="101">
        <f t="shared" si="27"/>
        <v>349375</v>
      </c>
    </row>
    <row r="170" spans="1:11" s="451" customFormat="1" x14ac:dyDescent="0.2">
      <c r="A170" s="99">
        <f t="shared" si="24"/>
        <v>125</v>
      </c>
      <c r="B170" s="51" t="s">
        <v>25</v>
      </c>
      <c r="C170" s="424">
        <v>2019</v>
      </c>
      <c r="D170" s="394">
        <v>25000</v>
      </c>
      <c r="E170" s="101">
        <f>D170*'[17]16-PlantAdditions'!$E$103</f>
        <v>1875</v>
      </c>
      <c r="F170" s="101">
        <f t="shared" si="25"/>
        <v>26875</v>
      </c>
      <c r="G170" s="394">
        <v>0</v>
      </c>
      <c r="H170" s="394">
        <v>0</v>
      </c>
      <c r="I170" s="101">
        <f>(G170-H170)*'[17]16-PlantAdditions'!$E$103</f>
        <v>0</v>
      </c>
      <c r="J170" s="101">
        <f t="shared" si="26"/>
        <v>5260977.96</v>
      </c>
      <c r="K170" s="101">
        <f t="shared" si="27"/>
        <v>376250</v>
      </c>
    </row>
    <row r="171" spans="1:11" s="451" customFormat="1" x14ac:dyDescent="0.2">
      <c r="A171" s="99">
        <f t="shared" si="24"/>
        <v>126</v>
      </c>
      <c r="B171" s="56" t="s">
        <v>11</v>
      </c>
      <c r="C171" s="424">
        <v>2019</v>
      </c>
      <c r="D171" s="394">
        <v>25000</v>
      </c>
      <c r="E171" s="101">
        <f>D171*'[17]16-PlantAdditions'!$E$103</f>
        <v>1875</v>
      </c>
      <c r="F171" s="101">
        <f t="shared" si="25"/>
        <v>26875</v>
      </c>
      <c r="G171" s="394">
        <v>0</v>
      </c>
      <c r="H171" s="394">
        <v>0</v>
      </c>
      <c r="I171" s="101">
        <f>(G171-H171)*'[17]16-PlantAdditions'!$E$103</f>
        <v>0</v>
      </c>
      <c r="J171" s="101">
        <f t="shared" si="26"/>
        <v>5287852.96</v>
      </c>
      <c r="K171" s="101">
        <f t="shared" si="27"/>
        <v>403125</v>
      </c>
    </row>
    <row r="172" spans="1:11" s="451" customFormat="1" x14ac:dyDescent="0.2">
      <c r="A172" s="99">
        <f t="shared" si="24"/>
        <v>127</v>
      </c>
      <c r="B172" s="51" t="s">
        <v>12</v>
      </c>
      <c r="C172" s="424">
        <v>2019</v>
      </c>
      <c r="D172" s="394">
        <v>125000</v>
      </c>
      <c r="E172" s="101">
        <f>D172*'[17]16-PlantAdditions'!$E$103</f>
        <v>9375</v>
      </c>
      <c r="F172" s="101">
        <f t="shared" si="25"/>
        <v>134375</v>
      </c>
      <c r="G172" s="394">
        <v>0</v>
      </c>
      <c r="H172" s="394">
        <v>0</v>
      </c>
      <c r="I172" s="101">
        <f>(G172-H172)*'[17]16-PlantAdditions'!$E$103</f>
        <v>0</v>
      </c>
      <c r="J172" s="101">
        <f t="shared" si="26"/>
        <v>5422227.96</v>
      </c>
      <c r="K172" s="101">
        <f t="shared" si="27"/>
        <v>537500</v>
      </c>
    </row>
    <row r="173" spans="1:11" s="451" customFormat="1" x14ac:dyDescent="0.2">
      <c r="A173" s="99">
        <f t="shared" si="24"/>
        <v>128</v>
      </c>
      <c r="B173" s="51" t="s">
        <v>13</v>
      </c>
      <c r="C173" s="424">
        <v>2019</v>
      </c>
      <c r="D173" s="394">
        <v>250000</v>
      </c>
      <c r="E173" s="101">
        <f>D173*'[17]16-PlantAdditions'!$E$103</f>
        <v>18750</v>
      </c>
      <c r="F173" s="101">
        <f t="shared" si="25"/>
        <v>268750</v>
      </c>
      <c r="G173" s="394">
        <v>0</v>
      </c>
      <c r="H173" s="394">
        <v>0</v>
      </c>
      <c r="I173" s="101">
        <f>(G173-H173)*'[17]16-PlantAdditions'!$E$103</f>
        <v>0</v>
      </c>
      <c r="J173" s="101">
        <f t="shared" si="26"/>
        <v>5690977.96</v>
      </c>
      <c r="K173" s="101">
        <f t="shared" si="27"/>
        <v>806250</v>
      </c>
    </row>
    <row r="174" spans="1:11" s="451" customFormat="1" x14ac:dyDescent="0.2">
      <c r="A174" s="99">
        <f t="shared" si="24"/>
        <v>129</v>
      </c>
      <c r="B174" s="51" t="s">
        <v>15</v>
      </c>
      <c r="C174" s="424">
        <v>2019</v>
      </c>
      <c r="D174" s="394">
        <v>250000</v>
      </c>
      <c r="E174" s="101">
        <f>D174*'[17]16-PlantAdditions'!$E$103</f>
        <v>18750</v>
      </c>
      <c r="F174" s="101">
        <f t="shared" si="25"/>
        <v>268750</v>
      </c>
      <c r="G174" s="394">
        <v>0</v>
      </c>
      <c r="H174" s="394">
        <v>0</v>
      </c>
      <c r="I174" s="101">
        <f>(G174-H174)*'[17]16-PlantAdditions'!$E$103</f>
        <v>0</v>
      </c>
      <c r="J174" s="101">
        <f t="shared" si="26"/>
        <v>5959727.96</v>
      </c>
      <c r="K174" s="101">
        <f t="shared" si="27"/>
        <v>1075000</v>
      </c>
    </row>
    <row r="175" spans="1:11" s="451" customFormat="1" x14ac:dyDescent="0.2">
      <c r="A175" s="99">
        <f t="shared" si="24"/>
        <v>130</v>
      </c>
      <c r="B175" s="51" t="s">
        <v>14</v>
      </c>
      <c r="C175" s="424">
        <v>2019</v>
      </c>
      <c r="D175" s="394">
        <v>250000</v>
      </c>
      <c r="E175" s="101">
        <f>D175*'[17]16-PlantAdditions'!$E$103</f>
        <v>18750</v>
      </c>
      <c r="F175" s="101">
        <f t="shared" si="25"/>
        <v>268750</v>
      </c>
      <c r="G175" s="394">
        <v>0</v>
      </c>
      <c r="H175" s="394">
        <v>0</v>
      </c>
      <c r="I175" s="101">
        <f>(G175-H175)*'[17]16-PlantAdditions'!$E$103</f>
        <v>0</v>
      </c>
      <c r="J175" s="101">
        <f t="shared" si="26"/>
        <v>6228477.96</v>
      </c>
      <c r="K175" s="101">
        <f t="shared" si="27"/>
        <v>1343750</v>
      </c>
    </row>
    <row r="176" spans="1:11" s="451" customFormat="1" x14ac:dyDescent="0.2">
      <c r="A176" s="99">
        <f t="shared" si="24"/>
        <v>131</v>
      </c>
      <c r="B176" s="51" t="s">
        <v>6</v>
      </c>
      <c r="C176" s="424">
        <v>2019</v>
      </c>
      <c r="D176" s="394">
        <v>545000</v>
      </c>
      <c r="E176" s="101">
        <f>D176*'[17]16-PlantAdditions'!$E$103</f>
        <v>40875</v>
      </c>
      <c r="F176" s="101">
        <f t="shared" si="25"/>
        <v>585875</v>
      </c>
      <c r="G176" s="394">
        <v>0</v>
      </c>
      <c r="H176" s="394">
        <v>0</v>
      </c>
      <c r="I176" s="101">
        <f>(G176-H176)*'[17]16-PlantAdditions'!$E$103</f>
        <v>0</v>
      </c>
      <c r="J176" s="101">
        <f t="shared" si="26"/>
        <v>6814352.96</v>
      </c>
      <c r="K176" s="109">
        <f t="shared" si="27"/>
        <v>1929625</v>
      </c>
    </row>
    <row r="177" spans="1:11" s="451" customFormat="1" x14ac:dyDescent="0.2">
      <c r="A177" s="99">
        <f t="shared" si="24"/>
        <v>132</v>
      </c>
      <c r="B177"/>
      <c r="C177" s="448" t="s">
        <v>953</v>
      </c>
      <c r="D177"/>
      <c r="E177"/>
      <c r="F177"/>
      <c r="G177"/>
      <c r="H177"/>
      <c r="I177"/>
      <c r="J177"/>
      <c r="K177" s="449">
        <f>AVERAGE(K164:K176)</f>
        <v>628048.07692307688</v>
      </c>
    </row>
    <row r="178" spans="1:11" s="451" customFormat="1" x14ac:dyDescent="0.2">
      <c r="A178" s="99"/>
      <c r="B178"/>
      <c r="C178" s="448"/>
      <c r="D178"/>
      <c r="E178"/>
      <c r="F178"/>
      <c r="G178"/>
      <c r="H178"/>
      <c r="I178"/>
      <c r="J178"/>
      <c r="K178" s="449"/>
    </row>
    <row r="179" spans="1:11" s="451" customFormat="1" x14ac:dyDescent="0.2">
      <c r="B179" s="452" t="s">
        <v>965</v>
      </c>
      <c r="D179" s="574" t="s">
        <v>966</v>
      </c>
      <c r="E179" s="574"/>
    </row>
    <row r="180" spans="1:11" s="451" customFormat="1" x14ac:dyDescent="0.2">
      <c r="A180" s="440"/>
      <c r="B180" s="440"/>
      <c r="C180" s="440"/>
      <c r="D180" s="440" t="s">
        <v>152</v>
      </c>
      <c r="E180" s="440" t="s">
        <v>153</v>
      </c>
      <c r="F180" s="440" t="s">
        <v>154</v>
      </c>
      <c r="G180" s="440" t="s">
        <v>155</v>
      </c>
      <c r="H180" s="440" t="s">
        <v>904</v>
      </c>
      <c r="I180" s="440" t="s">
        <v>905</v>
      </c>
      <c r="J180" s="440" t="s">
        <v>920</v>
      </c>
      <c r="K180" s="440" t="s">
        <v>921</v>
      </c>
    </row>
    <row r="181" spans="1:11" s="451" customFormat="1" ht="38.25" x14ac:dyDescent="0.2">
      <c r="D181" s="453"/>
      <c r="E181" s="454" t="s">
        <v>956</v>
      </c>
      <c r="F181" s="445" t="s">
        <v>957</v>
      </c>
      <c r="G181" s="455"/>
      <c r="H181" s="453"/>
      <c r="I181" s="454" t="s">
        <v>958</v>
      </c>
      <c r="J181" s="454" t="s">
        <v>959</v>
      </c>
      <c r="K181" s="454" t="s">
        <v>960</v>
      </c>
    </row>
    <row r="182" spans="1:11" s="451" customFormat="1" x14ac:dyDescent="0.2">
      <c r="D182" s="453"/>
      <c r="E182" s="454"/>
      <c r="F182" s="445"/>
      <c r="G182" s="154" t="str">
        <f>G51</f>
        <v>Unloaded</v>
      </c>
      <c r="H182" s="453"/>
      <c r="I182" s="454"/>
      <c r="J182" s="454"/>
      <c r="K182" s="454"/>
    </row>
    <row r="183" spans="1:11" s="451" customFormat="1" x14ac:dyDescent="0.2">
      <c r="A183" s="443"/>
      <c r="B183" s="443"/>
      <c r="C183" s="443"/>
      <c r="D183" s="443" t="str">
        <f>D$52</f>
        <v>Forecast</v>
      </c>
      <c r="E183" s="443" t="str">
        <f t="shared" ref="E183:J183" si="28">E$52</f>
        <v>Corporate</v>
      </c>
      <c r="F183" s="443" t="str">
        <f t="shared" si="28"/>
        <v xml:space="preserve">Total </v>
      </c>
      <c r="G183" s="154" t="str">
        <f>G52</f>
        <v>Total</v>
      </c>
      <c r="H183" s="443" t="str">
        <f t="shared" si="28"/>
        <v>Prior Period</v>
      </c>
      <c r="I183" s="443" t="str">
        <f t="shared" si="28"/>
        <v>Over Heads</v>
      </c>
      <c r="J183" s="443" t="str">
        <f t="shared" si="28"/>
        <v>Forecast</v>
      </c>
      <c r="K183" s="94" t="str">
        <f>K$52</f>
        <v>Forecast Period</v>
      </c>
    </row>
    <row r="184" spans="1:11" s="451" customFormat="1" x14ac:dyDescent="0.2">
      <c r="A184" s="136" t="s">
        <v>292</v>
      </c>
      <c r="B184" s="55" t="s">
        <v>16</v>
      </c>
      <c r="C184" s="55" t="s">
        <v>17</v>
      </c>
      <c r="D184" s="440" t="str">
        <f>D$53</f>
        <v>Expenditures</v>
      </c>
      <c r="E184" s="440" t="str">
        <f t="shared" ref="E184:J184" si="29">E$53</f>
        <v>Overheads</v>
      </c>
      <c r="F184" s="440" t="str">
        <f t="shared" si="29"/>
        <v>CWIP Exp</v>
      </c>
      <c r="G184" s="155" t="str">
        <f>G53</f>
        <v>Plant Adds</v>
      </c>
      <c r="H184" s="440" t="str">
        <f t="shared" si="29"/>
        <v>CWIP Closed</v>
      </c>
      <c r="I184" s="440" t="str">
        <f t="shared" si="29"/>
        <v>Closed to PIS</v>
      </c>
      <c r="J184" s="440" t="str">
        <f t="shared" si="29"/>
        <v>Period CWIP</v>
      </c>
      <c r="K184" s="440" t="str">
        <f>K$53</f>
        <v>Incremental CWIP</v>
      </c>
    </row>
    <row r="185" spans="1:11" s="451" customFormat="1" x14ac:dyDescent="0.2">
      <c r="A185" s="99">
        <f>A177+1</f>
        <v>133</v>
      </c>
      <c r="B185" s="56" t="s">
        <v>6</v>
      </c>
      <c r="C185" s="424">
        <v>2017</v>
      </c>
      <c r="D185" s="445" t="s">
        <v>935</v>
      </c>
      <c r="E185" s="445" t="s">
        <v>935</v>
      </c>
      <c r="F185" s="445" t="s">
        <v>935</v>
      </c>
      <c r="G185" s="445" t="s">
        <v>935</v>
      </c>
      <c r="H185" s="445" t="s">
        <v>935</v>
      </c>
      <c r="I185" s="445" t="s">
        <v>935</v>
      </c>
      <c r="J185" s="101">
        <f>H25</f>
        <v>98805811.510000005</v>
      </c>
      <c r="K185" s="445" t="s">
        <v>935</v>
      </c>
    </row>
    <row r="186" spans="1:11" s="451" customFormat="1" x14ac:dyDescent="0.2">
      <c r="A186" s="99">
        <f>A185+1</f>
        <v>134</v>
      </c>
      <c r="B186" s="56" t="s">
        <v>7</v>
      </c>
      <c r="C186" s="424">
        <v>2018</v>
      </c>
      <c r="D186" s="394">
        <v>588166.99999999988</v>
      </c>
      <c r="E186" s="101">
        <f>D186*'[17]16-PlantAdditions'!$E$103</f>
        <v>44112.524999999987</v>
      </c>
      <c r="F186" s="101">
        <f>E186+D186</f>
        <v>632279.52499999991</v>
      </c>
      <c r="G186" s="394">
        <v>0</v>
      </c>
      <c r="H186" s="394">
        <v>0</v>
      </c>
      <c r="I186" s="101">
        <f>(G186-H186)*'[17]16-PlantAdditions'!$E$103</f>
        <v>0</v>
      </c>
      <c r="J186" s="101">
        <f>J185+F186-G186-I186</f>
        <v>99438091.035000011</v>
      </c>
      <c r="K186" s="101">
        <f>J186-$J$185</f>
        <v>632279.52500000596</v>
      </c>
    </row>
    <row r="187" spans="1:11" s="451" customFormat="1" x14ac:dyDescent="0.2">
      <c r="A187" s="99">
        <f t="shared" ref="A187:A210" si="30">A186+1</f>
        <v>135</v>
      </c>
      <c r="B187" s="51" t="s">
        <v>8</v>
      </c>
      <c r="C187" s="424">
        <v>2018</v>
      </c>
      <c r="D187" s="394">
        <v>2503299.9999999995</v>
      </c>
      <c r="E187" s="101">
        <f>D187*'[17]16-PlantAdditions'!$E$103</f>
        <v>187747.49999999997</v>
      </c>
      <c r="F187" s="101">
        <f t="shared" ref="F187:F209" si="31">E187+D187</f>
        <v>2691047.4999999995</v>
      </c>
      <c r="G187" s="394">
        <v>0</v>
      </c>
      <c r="H187" s="394">
        <v>0</v>
      </c>
      <c r="I187" s="101">
        <f>(G187-H187)*'[17]16-PlantAdditions'!$E$103</f>
        <v>0</v>
      </c>
      <c r="J187" s="101">
        <f t="shared" ref="J187:J209" si="32">J186+F187-G187-I187</f>
        <v>102129138.53500001</v>
      </c>
      <c r="K187" s="101">
        <f t="shared" ref="K187:K209" si="33">J187-$J$185</f>
        <v>3323327.025000006</v>
      </c>
    </row>
    <row r="188" spans="1:11" s="451" customFormat="1" x14ac:dyDescent="0.2">
      <c r="A188" s="99">
        <f t="shared" si="30"/>
        <v>136</v>
      </c>
      <c r="B188" s="51" t="s">
        <v>18</v>
      </c>
      <c r="C188" s="424">
        <v>2018</v>
      </c>
      <c r="D188" s="394">
        <v>4798387</v>
      </c>
      <c r="E188" s="101">
        <f>D188*'[17]16-PlantAdditions'!$E$103</f>
        <v>359879.02499999997</v>
      </c>
      <c r="F188" s="101">
        <f t="shared" si="31"/>
        <v>5158266.0250000004</v>
      </c>
      <c r="G188" s="394">
        <v>0</v>
      </c>
      <c r="H188" s="394">
        <v>0</v>
      </c>
      <c r="I188" s="101">
        <f>(G188-H188)*'[17]16-PlantAdditions'!$E$103</f>
        <v>0</v>
      </c>
      <c r="J188" s="101">
        <f t="shared" si="32"/>
        <v>107287404.56000002</v>
      </c>
      <c r="K188" s="101">
        <f t="shared" si="33"/>
        <v>8481593.0500000119</v>
      </c>
    </row>
    <row r="189" spans="1:11" s="451" customFormat="1" x14ac:dyDescent="0.2">
      <c r="A189" s="99">
        <f t="shared" si="30"/>
        <v>137</v>
      </c>
      <c r="B189" s="56" t="s">
        <v>9</v>
      </c>
      <c r="C189" s="424">
        <v>2018</v>
      </c>
      <c r="D189" s="394">
        <v>5648177</v>
      </c>
      <c r="E189" s="101">
        <f>D189*'[17]16-PlantAdditions'!$E$103</f>
        <v>423613.27499999997</v>
      </c>
      <c r="F189" s="101">
        <f t="shared" si="31"/>
        <v>6071790.2750000004</v>
      </c>
      <c r="G189" s="394">
        <v>0</v>
      </c>
      <c r="H189" s="394">
        <v>0</v>
      </c>
      <c r="I189" s="101">
        <f>(G189-H189)*'[17]16-PlantAdditions'!$E$103</f>
        <v>0</v>
      </c>
      <c r="J189" s="101">
        <f t="shared" si="32"/>
        <v>113359194.83500002</v>
      </c>
      <c r="K189" s="101">
        <f t="shared" si="33"/>
        <v>14553383.325000018</v>
      </c>
    </row>
    <row r="190" spans="1:11" s="451" customFormat="1" x14ac:dyDescent="0.2">
      <c r="A190" s="99">
        <f t="shared" si="30"/>
        <v>138</v>
      </c>
      <c r="B190" s="51" t="s">
        <v>10</v>
      </c>
      <c r="C190" s="424">
        <v>2018</v>
      </c>
      <c r="D190" s="394">
        <v>5573177</v>
      </c>
      <c r="E190" s="101">
        <f>D190*'[17]16-PlantAdditions'!$E$103</f>
        <v>417988.27499999997</v>
      </c>
      <c r="F190" s="101">
        <f t="shared" si="31"/>
        <v>5991165.2750000004</v>
      </c>
      <c r="G190" s="394">
        <v>0</v>
      </c>
      <c r="H190" s="394">
        <v>0</v>
      </c>
      <c r="I190" s="101">
        <f>(G190-H190)*'[17]16-PlantAdditions'!$E$103</f>
        <v>0</v>
      </c>
      <c r="J190" s="101">
        <f t="shared" si="32"/>
        <v>119350360.11000003</v>
      </c>
      <c r="K190" s="101">
        <f t="shared" si="33"/>
        <v>20544548.600000024</v>
      </c>
    </row>
    <row r="191" spans="1:11" s="451" customFormat="1" x14ac:dyDescent="0.2">
      <c r="A191" s="99">
        <f t="shared" si="30"/>
        <v>139</v>
      </c>
      <c r="B191" s="51" t="s">
        <v>25</v>
      </c>
      <c r="C191" s="424">
        <v>2018</v>
      </c>
      <c r="D191" s="394">
        <v>6499929</v>
      </c>
      <c r="E191" s="101">
        <f>D191*'[17]16-PlantAdditions'!$E$103</f>
        <v>487494.67499999999</v>
      </c>
      <c r="F191" s="101">
        <f t="shared" si="31"/>
        <v>6987423.6749999998</v>
      </c>
      <c r="G191" s="394">
        <v>2458050.5399999996</v>
      </c>
      <c r="H191" s="394">
        <v>2207008.54</v>
      </c>
      <c r="I191" s="101">
        <f>(G191-H191)*'[17]16-PlantAdditions'!$E$103</f>
        <v>18828.149999999965</v>
      </c>
      <c r="J191" s="101">
        <f t="shared" si="32"/>
        <v>123860905.09500001</v>
      </c>
      <c r="K191" s="101">
        <f t="shared" si="33"/>
        <v>25055093.585000008</v>
      </c>
    </row>
    <row r="192" spans="1:11" s="451" customFormat="1" x14ac:dyDescent="0.2">
      <c r="A192" s="99">
        <f t="shared" si="30"/>
        <v>140</v>
      </c>
      <c r="B192" s="56" t="s">
        <v>11</v>
      </c>
      <c r="C192" s="424">
        <v>2018</v>
      </c>
      <c r="D192" s="394">
        <v>5781065</v>
      </c>
      <c r="E192" s="101">
        <f>D192*'[17]16-PlantAdditions'!$E$103</f>
        <v>433579.875</v>
      </c>
      <c r="F192" s="101">
        <f t="shared" si="31"/>
        <v>6214644.875</v>
      </c>
      <c r="G192" s="394">
        <v>45000</v>
      </c>
      <c r="H192" s="394">
        <v>0</v>
      </c>
      <c r="I192" s="101">
        <f>(G192-H192)*'[17]16-PlantAdditions'!$E$103</f>
        <v>3375</v>
      </c>
      <c r="J192" s="101">
        <f t="shared" si="32"/>
        <v>130027174.97000001</v>
      </c>
      <c r="K192" s="101">
        <f t="shared" si="33"/>
        <v>31221363.460000008</v>
      </c>
    </row>
    <row r="193" spans="1:11" s="451" customFormat="1" x14ac:dyDescent="0.2">
      <c r="A193" s="99">
        <f t="shared" si="30"/>
        <v>141</v>
      </c>
      <c r="B193" s="51" t="s">
        <v>12</v>
      </c>
      <c r="C193" s="424">
        <v>2018</v>
      </c>
      <c r="D193" s="394">
        <v>7660609</v>
      </c>
      <c r="E193" s="101">
        <f>D193*'[17]16-PlantAdditions'!$E$103</f>
        <v>574545.67499999993</v>
      </c>
      <c r="F193" s="101">
        <f t="shared" si="31"/>
        <v>8235154.6749999998</v>
      </c>
      <c r="G193" s="394">
        <v>45000</v>
      </c>
      <c r="H193" s="394">
        <v>0</v>
      </c>
      <c r="I193" s="101">
        <f>(G193-H193)*'[17]16-PlantAdditions'!$E$103</f>
        <v>3375</v>
      </c>
      <c r="J193" s="101">
        <f t="shared" si="32"/>
        <v>138213954.64500001</v>
      </c>
      <c r="K193" s="101">
        <f t="shared" si="33"/>
        <v>39408143.135000005</v>
      </c>
    </row>
    <row r="194" spans="1:11" s="451" customFormat="1" x14ac:dyDescent="0.2">
      <c r="A194" s="99">
        <f t="shared" si="30"/>
        <v>142</v>
      </c>
      <c r="B194" s="51" t="s">
        <v>13</v>
      </c>
      <c r="C194" s="424">
        <v>2018</v>
      </c>
      <c r="D194" s="394">
        <v>7537297</v>
      </c>
      <c r="E194" s="101">
        <f>D194*'[17]16-PlantAdditions'!$E$103</f>
        <v>565297.27500000002</v>
      </c>
      <c r="F194" s="101">
        <f t="shared" si="31"/>
        <v>8102594.2750000004</v>
      </c>
      <c r="G194" s="394">
        <v>45000</v>
      </c>
      <c r="H194" s="394">
        <v>0</v>
      </c>
      <c r="I194" s="101">
        <f>(G194-H194)*'[17]16-PlantAdditions'!$E$103</f>
        <v>3375</v>
      </c>
      <c r="J194" s="101">
        <f t="shared" si="32"/>
        <v>146268173.92000002</v>
      </c>
      <c r="K194" s="101">
        <f t="shared" si="33"/>
        <v>47462362.410000011</v>
      </c>
    </row>
    <row r="195" spans="1:11" s="451" customFormat="1" x14ac:dyDescent="0.2">
      <c r="A195" s="99">
        <f t="shared" si="30"/>
        <v>143</v>
      </c>
      <c r="B195" s="56" t="s">
        <v>15</v>
      </c>
      <c r="C195" s="424">
        <v>2018</v>
      </c>
      <c r="D195" s="394">
        <v>18313481</v>
      </c>
      <c r="E195" s="101">
        <f>D195*'[17]16-PlantAdditions'!$E$103</f>
        <v>1373511.075</v>
      </c>
      <c r="F195" s="101">
        <f t="shared" si="31"/>
        <v>19686992.074999999</v>
      </c>
      <c r="G195" s="394">
        <v>75673</v>
      </c>
      <c r="H195" s="394">
        <v>0</v>
      </c>
      <c r="I195" s="101">
        <f>(G195-H195)*'[17]16-PlantAdditions'!$E$103</f>
        <v>5675.4749999999995</v>
      </c>
      <c r="J195" s="101">
        <f t="shared" si="32"/>
        <v>165873817.52000001</v>
      </c>
      <c r="K195" s="101">
        <f t="shared" si="33"/>
        <v>67068006.010000005</v>
      </c>
    </row>
    <row r="196" spans="1:11" s="451" customFormat="1" x14ac:dyDescent="0.2">
      <c r="A196" s="99">
        <f t="shared" si="30"/>
        <v>144</v>
      </c>
      <c r="B196" s="56" t="s">
        <v>14</v>
      </c>
      <c r="C196" s="424">
        <v>2018</v>
      </c>
      <c r="D196" s="394">
        <v>19079066</v>
      </c>
      <c r="E196" s="101">
        <f>D196*'[17]16-PlantAdditions'!$E$103</f>
        <v>1430929.95</v>
      </c>
      <c r="F196" s="101">
        <f t="shared" si="31"/>
        <v>20509995.949999999</v>
      </c>
      <c r="G196" s="394">
        <v>45000</v>
      </c>
      <c r="H196" s="394">
        <v>0</v>
      </c>
      <c r="I196" s="101">
        <f>(G196-H196)*'[17]16-PlantAdditions'!$E$103</f>
        <v>3375</v>
      </c>
      <c r="J196" s="101">
        <f t="shared" si="32"/>
        <v>186335438.47</v>
      </c>
      <c r="K196" s="101">
        <f t="shared" si="33"/>
        <v>87529626.959999993</v>
      </c>
    </row>
    <row r="197" spans="1:11" s="451" customFormat="1" x14ac:dyDescent="0.2">
      <c r="A197" s="99">
        <f t="shared" si="30"/>
        <v>145</v>
      </c>
      <c r="B197" s="56" t="s">
        <v>6</v>
      </c>
      <c r="C197" s="424">
        <v>2018</v>
      </c>
      <c r="D197" s="394">
        <v>20045129.999999996</v>
      </c>
      <c r="E197" s="101">
        <f>D197*'[17]16-PlantAdditions'!$E$103</f>
        <v>1503384.7499999998</v>
      </c>
      <c r="F197" s="101">
        <f t="shared" si="31"/>
        <v>21548514.749999996</v>
      </c>
      <c r="G197" s="394">
        <v>18456121.27</v>
      </c>
      <c r="H197" s="394">
        <v>8497680.2700000014</v>
      </c>
      <c r="I197" s="101">
        <f>(G197-H197)*'[17]16-PlantAdditions'!$E$103</f>
        <v>746883.07499999984</v>
      </c>
      <c r="J197" s="101">
        <f t="shared" si="32"/>
        <v>188680948.875</v>
      </c>
      <c r="K197" s="101">
        <f t="shared" si="33"/>
        <v>89875137.364999995</v>
      </c>
    </row>
    <row r="198" spans="1:11" s="451" customFormat="1" x14ac:dyDescent="0.2">
      <c r="A198" s="99">
        <f t="shared" si="30"/>
        <v>146</v>
      </c>
      <c r="B198" s="56" t="s">
        <v>7</v>
      </c>
      <c r="C198" s="424">
        <v>2019</v>
      </c>
      <c r="D198" s="394">
        <v>4609602</v>
      </c>
      <c r="E198" s="101">
        <f>D198*'[17]16-PlantAdditions'!$E$103</f>
        <v>345720.14999999997</v>
      </c>
      <c r="F198" s="101">
        <f t="shared" si="31"/>
        <v>4955322.1500000004</v>
      </c>
      <c r="G198" s="394">
        <v>185000</v>
      </c>
      <c r="H198" s="394">
        <v>0</v>
      </c>
      <c r="I198" s="101">
        <f>(G198-H198)*'[17]16-PlantAdditions'!$E$103</f>
        <v>13875</v>
      </c>
      <c r="J198" s="101">
        <f t="shared" si="32"/>
        <v>193437396.02500001</v>
      </c>
      <c r="K198" s="101">
        <f t="shared" si="33"/>
        <v>94631584.515000001</v>
      </c>
    </row>
    <row r="199" spans="1:11" s="451" customFormat="1" x14ac:dyDescent="0.2">
      <c r="A199" s="99">
        <f t="shared" si="30"/>
        <v>147</v>
      </c>
      <c r="B199" s="51" t="s">
        <v>8</v>
      </c>
      <c r="C199" s="424">
        <v>2019</v>
      </c>
      <c r="D199" s="394">
        <v>5236167</v>
      </c>
      <c r="E199" s="101">
        <f>D199*'[17]16-PlantAdditions'!$E$103</f>
        <v>392712.52499999997</v>
      </c>
      <c r="F199" s="101">
        <f t="shared" si="31"/>
        <v>5628879.5250000004</v>
      </c>
      <c r="G199" s="394">
        <v>190000</v>
      </c>
      <c r="H199" s="394">
        <v>0</v>
      </c>
      <c r="I199" s="101">
        <f>(G199-H199)*'[17]16-PlantAdditions'!$E$103</f>
        <v>14250</v>
      </c>
      <c r="J199" s="101">
        <f t="shared" si="32"/>
        <v>198862025.55000001</v>
      </c>
      <c r="K199" s="101">
        <f t="shared" si="33"/>
        <v>100056214.04000001</v>
      </c>
    </row>
    <row r="200" spans="1:11" s="451" customFormat="1" x14ac:dyDescent="0.2">
      <c r="A200" s="99">
        <f t="shared" si="30"/>
        <v>148</v>
      </c>
      <c r="B200" s="51" t="s">
        <v>18</v>
      </c>
      <c r="C200" s="424">
        <v>2019</v>
      </c>
      <c r="D200" s="394">
        <v>11290424</v>
      </c>
      <c r="E200" s="101">
        <f>D200*'[17]16-PlantAdditions'!$E$103</f>
        <v>846781.79999999993</v>
      </c>
      <c r="F200" s="101">
        <f t="shared" si="31"/>
        <v>12137205.800000001</v>
      </c>
      <c r="G200" s="394">
        <v>340000</v>
      </c>
      <c r="H200" s="394">
        <v>0</v>
      </c>
      <c r="I200" s="101">
        <f>(G200-H200)*'[17]16-PlantAdditions'!$E$103</f>
        <v>25500</v>
      </c>
      <c r="J200" s="101">
        <f t="shared" si="32"/>
        <v>210633731.35000002</v>
      </c>
      <c r="K200" s="101">
        <f t="shared" si="33"/>
        <v>111827919.84000002</v>
      </c>
    </row>
    <row r="201" spans="1:11" s="451" customFormat="1" x14ac:dyDescent="0.2">
      <c r="A201" s="99">
        <f t="shared" si="30"/>
        <v>149</v>
      </c>
      <c r="B201" s="56" t="s">
        <v>9</v>
      </c>
      <c r="C201" s="424">
        <v>2019</v>
      </c>
      <c r="D201" s="394">
        <v>12835520</v>
      </c>
      <c r="E201" s="101">
        <f>D201*'[17]16-PlantAdditions'!$E$103</f>
        <v>962664</v>
      </c>
      <c r="F201" s="101">
        <f t="shared" si="31"/>
        <v>13798184</v>
      </c>
      <c r="G201" s="394">
        <v>340000</v>
      </c>
      <c r="H201" s="394">
        <v>0</v>
      </c>
      <c r="I201" s="101">
        <f>(G201-H201)*'[17]16-PlantAdditions'!$E$103</f>
        <v>25500</v>
      </c>
      <c r="J201" s="101">
        <f t="shared" si="32"/>
        <v>224066415.35000002</v>
      </c>
      <c r="K201" s="101">
        <f t="shared" si="33"/>
        <v>125260603.84000002</v>
      </c>
    </row>
    <row r="202" spans="1:11" s="451" customFormat="1" x14ac:dyDescent="0.2">
      <c r="A202" s="99">
        <f t="shared" si="30"/>
        <v>150</v>
      </c>
      <c r="B202" s="51" t="s">
        <v>10</v>
      </c>
      <c r="C202" s="424">
        <v>2019</v>
      </c>
      <c r="D202" s="394">
        <v>13428006</v>
      </c>
      <c r="E202" s="101">
        <f>D202*'[17]16-PlantAdditions'!$E$103</f>
        <v>1007100.45</v>
      </c>
      <c r="F202" s="101">
        <f t="shared" si="31"/>
        <v>14435106.449999999</v>
      </c>
      <c r="G202" s="394">
        <v>340000</v>
      </c>
      <c r="H202" s="394">
        <v>0</v>
      </c>
      <c r="I202" s="101">
        <f>(G202-H202)*'[17]16-PlantAdditions'!$E$103</f>
        <v>25500</v>
      </c>
      <c r="J202" s="101">
        <f t="shared" si="32"/>
        <v>238136021.80000001</v>
      </c>
      <c r="K202" s="101">
        <f t="shared" si="33"/>
        <v>139330210.29000002</v>
      </c>
    </row>
    <row r="203" spans="1:11" s="451" customFormat="1" x14ac:dyDescent="0.2">
      <c r="A203" s="99">
        <f t="shared" si="30"/>
        <v>151</v>
      </c>
      <c r="B203" s="51" t="s">
        <v>25</v>
      </c>
      <c r="C203" s="424">
        <v>2019</v>
      </c>
      <c r="D203" s="394">
        <v>14204694</v>
      </c>
      <c r="E203" s="101">
        <f>D203*'[17]16-PlantAdditions'!$E$103</f>
        <v>1065352.05</v>
      </c>
      <c r="F203" s="101">
        <f t="shared" si="31"/>
        <v>15270046.050000001</v>
      </c>
      <c r="G203" s="394">
        <v>340000</v>
      </c>
      <c r="H203" s="394">
        <v>0</v>
      </c>
      <c r="I203" s="101">
        <f>(G203-H203)*'[17]16-PlantAdditions'!$E$103</f>
        <v>25500</v>
      </c>
      <c r="J203" s="101">
        <f t="shared" si="32"/>
        <v>253040567.85000002</v>
      </c>
      <c r="K203" s="101">
        <f t="shared" si="33"/>
        <v>154234756.34000003</v>
      </c>
    </row>
    <row r="204" spans="1:11" s="451" customFormat="1" x14ac:dyDescent="0.2">
      <c r="A204" s="99">
        <f t="shared" si="30"/>
        <v>152</v>
      </c>
      <c r="B204" s="56" t="s">
        <v>11</v>
      </c>
      <c r="C204" s="424">
        <v>2019</v>
      </c>
      <c r="D204" s="394">
        <v>14472486</v>
      </c>
      <c r="E204" s="101">
        <f>D204*'[17]16-PlantAdditions'!$E$103</f>
        <v>1085436.45</v>
      </c>
      <c r="F204" s="101">
        <f t="shared" si="31"/>
        <v>15557922.449999999</v>
      </c>
      <c r="G204" s="394">
        <v>340000</v>
      </c>
      <c r="H204" s="394">
        <v>0</v>
      </c>
      <c r="I204" s="101">
        <f>(G204-H204)*'[17]16-PlantAdditions'!$E$103</f>
        <v>25500</v>
      </c>
      <c r="J204" s="101">
        <f t="shared" si="32"/>
        <v>268232990.30000001</v>
      </c>
      <c r="K204" s="101">
        <f t="shared" si="33"/>
        <v>169427178.79000002</v>
      </c>
    </row>
    <row r="205" spans="1:11" s="451" customFormat="1" x14ac:dyDescent="0.2">
      <c r="A205" s="99">
        <f t="shared" si="30"/>
        <v>153</v>
      </c>
      <c r="B205" s="51" t="s">
        <v>12</v>
      </c>
      <c r="C205" s="424">
        <v>2019</v>
      </c>
      <c r="D205" s="394">
        <v>14642486</v>
      </c>
      <c r="E205" s="101">
        <f>D205*'[17]16-PlantAdditions'!$E$103</f>
        <v>1098186.45</v>
      </c>
      <c r="F205" s="101">
        <f t="shared" si="31"/>
        <v>15740672.449999999</v>
      </c>
      <c r="G205" s="394">
        <v>340000</v>
      </c>
      <c r="H205" s="394">
        <v>0</v>
      </c>
      <c r="I205" s="101">
        <f>(G205-H205)*'[17]16-PlantAdditions'!$E$103</f>
        <v>25500</v>
      </c>
      <c r="J205" s="101">
        <f t="shared" si="32"/>
        <v>283608162.75</v>
      </c>
      <c r="K205" s="101">
        <f t="shared" si="33"/>
        <v>184802351.24000001</v>
      </c>
    </row>
    <row r="206" spans="1:11" s="451" customFormat="1" x14ac:dyDescent="0.2">
      <c r="A206" s="99">
        <f t="shared" si="30"/>
        <v>154</v>
      </c>
      <c r="B206" s="51" t="s">
        <v>13</v>
      </c>
      <c r="C206" s="424">
        <v>2019</v>
      </c>
      <c r="D206" s="394">
        <v>15213790</v>
      </c>
      <c r="E206" s="101">
        <f>D206*'[17]16-PlantAdditions'!$E$103</f>
        <v>1141034.25</v>
      </c>
      <c r="F206" s="101">
        <f t="shared" si="31"/>
        <v>16354824.25</v>
      </c>
      <c r="G206" s="394">
        <v>340000</v>
      </c>
      <c r="H206" s="394">
        <v>0</v>
      </c>
      <c r="I206" s="101">
        <f>(G206-H206)*'[17]16-PlantAdditions'!$E$103</f>
        <v>25500</v>
      </c>
      <c r="J206" s="101">
        <f t="shared" si="32"/>
        <v>299597487</v>
      </c>
      <c r="K206" s="101">
        <f t="shared" si="33"/>
        <v>200791675.49000001</v>
      </c>
    </row>
    <row r="207" spans="1:11" s="451" customFormat="1" x14ac:dyDescent="0.2">
      <c r="A207" s="99">
        <f t="shared" si="30"/>
        <v>155</v>
      </c>
      <c r="B207" s="51" t="s">
        <v>15</v>
      </c>
      <c r="C207" s="424">
        <v>2019</v>
      </c>
      <c r="D207" s="394">
        <v>18580671</v>
      </c>
      <c r="E207" s="101">
        <f>D207*'[17]16-PlantAdditions'!$E$103</f>
        <v>1393550.325</v>
      </c>
      <c r="F207" s="101">
        <f t="shared" si="31"/>
        <v>19974221.324999999</v>
      </c>
      <c r="G207" s="394">
        <v>5706366.5899999999</v>
      </c>
      <c r="H207" s="394">
        <v>3174604.59</v>
      </c>
      <c r="I207" s="101">
        <f>(G207-H207)*'[17]16-PlantAdditions'!$E$103</f>
        <v>189882.15</v>
      </c>
      <c r="J207" s="101">
        <f t="shared" si="32"/>
        <v>313675459.58500004</v>
      </c>
      <c r="K207" s="101">
        <f t="shared" si="33"/>
        <v>214869648.07500005</v>
      </c>
    </row>
    <row r="208" spans="1:11" s="451" customFormat="1" x14ac:dyDescent="0.2">
      <c r="A208" s="99">
        <f t="shared" si="30"/>
        <v>156</v>
      </c>
      <c r="B208" s="51" t="s">
        <v>14</v>
      </c>
      <c r="C208" s="424">
        <v>2019</v>
      </c>
      <c r="D208" s="394">
        <v>13761026</v>
      </c>
      <c r="E208" s="101">
        <f>D208*'[17]16-PlantAdditions'!$E$103</f>
        <v>1032076.95</v>
      </c>
      <c r="F208" s="101">
        <f t="shared" si="31"/>
        <v>14793102.949999999</v>
      </c>
      <c r="G208" s="394">
        <v>290000</v>
      </c>
      <c r="H208" s="394">
        <v>0</v>
      </c>
      <c r="I208" s="101">
        <f>(G208-H208)*'[17]16-PlantAdditions'!$E$103</f>
        <v>21750</v>
      </c>
      <c r="J208" s="101">
        <f t="shared" si="32"/>
        <v>328156812.53500003</v>
      </c>
      <c r="K208" s="101">
        <f t="shared" si="33"/>
        <v>229351001.02500004</v>
      </c>
    </row>
    <row r="209" spans="1:11" s="451" customFormat="1" x14ac:dyDescent="0.2">
      <c r="A209" s="99">
        <f t="shared" si="30"/>
        <v>157</v>
      </c>
      <c r="B209" s="51" t="s">
        <v>6</v>
      </c>
      <c r="C209" s="424">
        <v>2019</v>
      </c>
      <c r="D209" s="394">
        <v>14863709</v>
      </c>
      <c r="E209" s="101">
        <f>D209*'[17]16-PlantAdditions'!$E$103</f>
        <v>1114778.175</v>
      </c>
      <c r="F209" s="101">
        <f t="shared" si="31"/>
        <v>15978487.175000001</v>
      </c>
      <c r="G209" s="394">
        <v>290000</v>
      </c>
      <c r="H209" s="394">
        <v>0</v>
      </c>
      <c r="I209" s="101">
        <f>(G209-H209)*'[17]16-PlantAdditions'!$E$103</f>
        <v>21750</v>
      </c>
      <c r="J209" s="101">
        <f t="shared" si="32"/>
        <v>343823549.71000004</v>
      </c>
      <c r="K209" s="109">
        <f t="shared" si="33"/>
        <v>245017738.20000005</v>
      </c>
    </row>
    <row r="210" spans="1:11" s="451" customFormat="1" x14ac:dyDescent="0.2">
      <c r="A210" s="99">
        <f t="shared" si="30"/>
        <v>158</v>
      </c>
      <c r="B210"/>
      <c r="C210" s="448" t="s">
        <v>953</v>
      </c>
      <c r="D210"/>
      <c r="E210"/>
      <c r="F210"/>
      <c r="G210"/>
      <c r="H210"/>
      <c r="I210"/>
      <c r="J210"/>
      <c r="K210" s="449">
        <f>AVERAGE(K197:K209)</f>
        <v>158421232.23461542</v>
      </c>
    </row>
    <row r="211" spans="1:11" s="451" customFormat="1" x14ac:dyDescent="0.2">
      <c r="A211" s="99"/>
      <c r="B211"/>
      <c r="C211" s="448"/>
      <c r="D211"/>
      <c r="E211"/>
      <c r="F211"/>
      <c r="G211"/>
      <c r="H211"/>
      <c r="I211"/>
      <c r="J211"/>
      <c r="K211" s="449"/>
    </row>
    <row r="212" spans="1:11" s="451" customFormat="1" x14ac:dyDescent="0.2">
      <c r="B212" s="452" t="s">
        <v>967</v>
      </c>
      <c r="D212" s="574" t="s">
        <v>916</v>
      </c>
      <c r="E212" s="574"/>
    </row>
    <row r="213" spans="1:11" s="451" customFormat="1" x14ac:dyDescent="0.2">
      <c r="D213" s="453"/>
      <c r="E213" s="453"/>
      <c r="F213" s="453"/>
      <c r="G213" s="94" t="str">
        <f>G51</f>
        <v>Unloaded</v>
      </c>
      <c r="H213" s="453"/>
      <c r="I213" s="453"/>
    </row>
    <row r="214" spans="1:11" s="451" customFormat="1" x14ac:dyDescent="0.2">
      <c r="A214" s="443"/>
      <c r="B214" s="443"/>
      <c r="C214" s="443"/>
      <c r="D214" s="443" t="str">
        <f>D$52</f>
        <v>Forecast</v>
      </c>
      <c r="E214" s="443" t="str">
        <f t="shared" ref="E214:J214" si="34">E$52</f>
        <v>Corporate</v>
      </c>
      <c r="F214" s="443" t="str">
        <f t="shared" si="34"/>
        <v xml:space="preserve">Total </v>
      </c>
      <c r="G214" s="94" t="str">
        <f>G52</f>
        <v>Total</v>
      </c>
      <c r="H214" s="443" t="str">
        <f t="shared" si="34"/>
        <v>Prior Period</v>
      </c>
      <c r="I214" s="443" t="str">
        <f t="shared" si="34"/>
        <v>Over Heads</v>
      </c>
      <c r="J214" s="443" t="str">
        <f t="shared" si="34"/>
        <v>Forecast</v>
      </c>
      <c r="K214" s="94" t="str">
        <f>K$52</f>
        <v>Forecast Period</v>
      </c>
    </row>
    <row r="215" spans="1:11" s="451" customFormat="1" x14ac:dyDescent="0.2">
      <c r="A215" s="136" t="s">
        <v>292</v>
      </c>
      <c r="B215" s="55" t="s">
        <v>16</v>
      </c>
      <c r="C215" s="55" t="s">
        <v>17</v>
      </c>
      <c r="D215" s="440" t="str">
        <f>D$53</f>
        <v>Expenditures</v>
      </c>
      <c r="E215" s="440" t="str">
        <f t="shared" ref="E215:J215" si="35">E$53</f>
        <v>Overheads</v>
      </c>
      <c r="F215" s="440" t="str">
        <f t="shared" si="35"/>
        <v>CWIP Exp</v>
      </c>
      <c r="G215" s="98" t="str">
        <f>G53</f>
        <v>Plant Adds</v>
      </c>
      <c r="H215" s="440" t="str">
        <f t="shared" si="35"/>
        <v>CWIP Closed</v>
      </c>
      <c r="I215" s="440" t="str">
        <f t="shared" si="35"/>
        <v>Closed to PIS</v>
      </c>
      <c r="J215" s="440" t="str">
        <f t="shared" si="35"/>
        <v>Period CWIP</v>
      </c>
      <c r="K215" s="440" t="str">
        <f>K$53</f>
        <v>Incremental CWIP</v>
      </c>
    </row>
    <row r="216" spans="1:11" s="451" customFormat="1" x14ac:dyDescent="0.2">
      <c r="A216" s="99">
        <f>A210+1</f>
        <v>159</v>
      </c>
      <c r="B216" s="56" t="s">
        <v>6</v>
      </c>
      <c r="C216" s="424">
        <v>2017</v>
      </c>
      <c r="D216" s="445" t="s">
        <v>935</v>
      </c>
      <c r="E216" s="445" t="s">
        <v>935</v>
      </c>
      <c r="F216" s="445" t="s">
        <v>935</v>
      </c>
      <c r="G216" s="445" t="s">
        <v>935</v>
      </c>
      <c r="H216" s="445" t="s">
        <v>935</v>
      </c>
      <c r="I216" s="445" t="s">
        <v>935</v>
      </c>
      <c r="J216" s="101">
        <f>I25</f>
        <v>0</v>
      </c>
      <c r="K216" s="445" t="s">
        <v>935</v>
      </c>
    </row>
    <row r="217" spans="1:11" s="451" customFormat="1" x14ac:dyDescent="0.2">
      <c r="A217" s="99">
        <f>A216+1</f>
        <v>160</v>
      </c>
      <c r="B217" s="56" t="s">
        <v>7</v>
      </c>
      <c r="C217" s="424">
        <v>2018</v>
      </c>
      <c r="D217" s="394">
        <v>0</v>
      </c>
      <c r="E217" s="101">
        <f>D217*'[17]16-PlantAdditions'!$E$103</f>
        <v>0</v>
      </c>
      <c r="F217" s="101">
        <f>E217+D217</f>
        <v>0</v>
      </c>
      <c r="G217" s="394">
        <v>0</v>
      </c>
      <c r="H217" s="394">
        <v>0</v>
      </c>
      <c r="I217" s="101">
        <f>(G217-H217)*'[17]16-PlantAdditions'!$E$103</f>
        <v>0</v>
      </c>
      <c r="J217" s="101">
        <f>J216+F217-G217-I217</f>
        <v>0</v>
      </c>
      <c r="K217" s="101">
        <f>J217-$J$216</f>
        <v>0</v>
      </c>
    </row>
    <row r="218" spans="1:11" s="451" customFormat="1" x14ac:dyDescent="0.2">
      <c r="A218" s="99">
        <f t="shared" ref="A218:A241" si="36">A217+1</f>
        <v>161</v>
      </c>
      <c r="B218" s="51" t="s">
        <v>8</v>
      </c>
      <c r="C218" s="424">
        <v>2018</v>
      </c>
      <c r="D218" s="394">
        <v>0</v>
      </c>
      <c r="E218" s="101">
        <f>D218*'[17]16-PlantAdditions'!$E$103</f>
        <v>0</v>
      </c>
      <c r="F218" s="101">
        <f t="shared" ref="F218:F240" si="37">E218+D218</f>
        <v>0</v>
      </c>
      <c r="G218" s="394">
        <v>0</v>
      </c>
      <c r="H218" s="394">
        <v>0</v>
      </c>
      <c r="I218" s="101">
        <f>(G218-H218)*'[17]16-PlantAdditions'!$E$103</f>
        <v>0</v>
      </c>
      <c r="J218" s="101">
        <f t="shared" ref="J218:J240" si="38">J217+F218-G218-I218</f>
        <v>0</v>
      </c>
      <c r="K218" s="101">
        <f t="shared" ref="K218:K240" si="39">J218-$J$216</f>
        <v>0</v>
      </c>
    </row>
    <row r="219" spans="1:11" s="451" customFormat="1" x14ac:dyDescent="0.2">
      <c r="A219" s="99">
        <f t="shared" si="36"/>
        <v>162</v>
      </c>
      <c r="B219" s="51" t="s">
        <v>18</v>
      </c>
      <c r="C219" s="424">
        <v>2018</v>
      </c>
      <c r="D219" s="394">
        <v>0</v>
      </c>
      <c r="E219" s="101">
        <f>D219*'[17]16-PlantAdditions'!$E$103</f>
        <v>0</v>
      </c>
      <c r="F219" s="101">
        <f t="shared" si="37"/>
        <v>0</v>
      </c>
      <c r="G219" s="394">
        <v>0</v>
      </c>
      <c r="H219" s="394">
        <v>0</v>
      </c>
      <c r="I219" s="101">
        <f>(G219-H219)*'[17]16-PlantAdditions'!$E$103</f>
        <v>0</v>
      </c>
      <c r="J219" s="101">
        <f t="shared" si="38"/>
        <v>0</v>
      </c>
      <c r="K219" s="101">
        <f t="shared" si="39"/>
        <v>0</v>
      </c>
    </row>
    <row r="220" spans="1:11" s="451" customFormat="1" x14ac:dyDescent="0.2">
      <c r="A220" s="99">
        <f t="shared" si="36"/>
        <v>163</v>
      </c>
      <c r="B220" s="56" t="s">
        <v>9</v>
      </c>
      <c r="C220" s="424">
        <v>2018</v>
      </c>
      <c r="D220" s="394">
        <v>0</v>
      </c>
      <c r="E220" s="101">
        <f>D220*'[17]16-PlantAdditions'!$E$103</f>
        <v>0</v>
      </c>
      <c r="F220" s="101">
        <f t="shared" si="37"/>
        <v>0</v>
      </c>
      <c r="G220" s="394">
        <v>0</v>
      </c>
      <c r="H220" s="394">
        <v>0</v>
      </c>
      <c r="I220" s="101">
        <f>(G220-H220)*'[17]16-PlantAdditions'!$E$103</f>
        <v>0</v>
      </c>
      <c r="J220" s="101">
        <f t="shared" si="38"/>
        <v>0</v>
      </c>
      <c r="K220" s="101">
        <f t="shared" si="39"/>
        <v>0</v>
      </c>
    </row>
    <row r="221" spans="1:11" s="451" customFormat="1" x14ac:dyDescent="0.2">
      <c r="A221" s="99">
        <f t="shared" si="36"/>
        <v>164</v>
      </c>
      <c r="B221" s="51" t="s">
        <v>10</v>
      </c>
      <c r="C221" s="424">
        <v>2018</v>
      </c>
      <c r="D221" s="394">
        <v>0</v>
      </c>
      <c r="E221" s="101">
        <f>D221*'[17]16-PlantAdditions'!$E$103</f>
        <v>0</v>
      </c>
      <c r="F221" s="101">
        <f t="shared" si="37"/>
        <v>0</v>
      </c>
      <c r="G221" s="394">
        <v>0</v>
      </c>
      <c r="H221" s="394">
        <v>0</v>
      </c>
      <c r="I221" s="101">
        <f>(G221-H221)*'[17]16-PlantAdditions'!$E$103</f>
        <v>0</v>
      </c>
      <c r="J221" s="101">
        <f t="shared" si="38"/>
        <v>0</v>
      </c>
      <c r="K221" s="101">
        <f t="shared" si="39"/>
        <v>0</v>
      </c>
    </row>
    <row r="222" spans="1:11" s="451" customFormat="1" x14ac:dyDescent="0.2">
      <c r="A222" s="99">
        <f t="shared" si="36"/>
        <v>165</v>
      </c>
      <c r="B222" s="51" t="s">
        <v>25</v>
      </c>
      <c r="C222" s="424">
        <v>2018</v>
      </c>
      <c r="D222" s="394">
        <v>0</v>
      </c>
      <c r="E222" s="101">
        <f>D222*'[17]16-PlantAdditions'!$E$103</f>
        <v>0</v>
      </c>
      <c r="F222" s="101">
        <f t="shared" si="37"/>
        <v>0</v>
      </c>
      <c r="G222" s="394">
        <v>0</v>
      </c>
      <c r="H222" s="394">
        <v>0</v>
      </c>
      <c r="I222" s="101">
        <f>(G222-H222)*'[17]16-PlantAdditions'!$E$103</f>
        <v>0</v>
      </c>
      <c r="J222" s="101">
        <f t="shared" si="38"/>
        <v>0</v>
      </c>
      <c r="K222" s="101">
        <f t="shared" si="39"/>
        <v>0</v>
      </c>
    </row>
    <row r="223" spans="1:11" s="451" customFormat="1" x14ac:dyDescent="0.2">
      <c r="A223" s="99">
        <f t="shared" si="36"/>
        <v>166</v>
      </c>
      <c r="B223" s="56" t="s">
        <v>11</v>
      </c>
      <c r="C223" s="424">
        <v>2018</v>
      </c>
      <c r="D223" s="394">
        <v>0</v>
      </c>
      <c r="E223" s="101">
        <f>D223*'[17]16-PlantAdditions'!$E$103</f>
        <v>0</v>
      </c>
      <c r="F223" s="101">
        <f t="shared" si="37"/>
        <v>0</v>
      </c>
      <c r="G223" s="394">
        <v>0</v>
      </c>
      <c r="H223" s="394">
        <v>0</v>
      </c>
      <c r="I223" s="101">
        <f>(G223-H223)*'[17]16-PlantAdditions'!$E$103</f>
        <v>0</v>
      </c>
      <c r="J223" s="101">
        <f t="shared" si="38"/>
        <v>0</v>
      </c>
      <c r="K223" s="101">
        <f t="shared" si="39"/>
        <v>0</v>
      </c>
    </row>
    <row r="224" spans="1:11" s="451" customFormat="1" x14ac:dyDescent="0.2">
      <c r="A224" s="99">
        <f t="shared" si="36"/>
        <v>167</v>
      </c>
      <c r="B224" s="51" t="s">
        <v>12</v>
      </c>
      <c r="C224" s="424">
        <v>2018</v>
      </c>
      <c r="D224" s="394">
        <v>0</v>
      </c>
      <c r="E224" s="101">
        <f>D224*'[17]16-PlantAdditions'!$E$103</f>
        <v>0</v>
      </c>
      <c r="F224" s="101">
        <f t="shared" si="37"/>
        <v>0</v>
      </c>
      <c r="G224" s="394">
        <v>0</v>
      </c>
      <c r="H224" s="394">
        <v>0</v>
      </c>
      <c r="I224" s="101">
        <f>(G224-H224)*'[17]16-PlantAdditions'!$E$103</f>
        <v>0</v>
      </c>
      <c r="J224" s="101">
        <f t="shared" si="38"/>
        <v>0</v>
      </c>
      <c r="K224" s="101">
        <f t="shared" si="39"/>
        <v>0</v>
      </c>
    </row>
    <row r="225" spans="1:11" s="451" customFormat="1" x14ac:dyDescent="0.2">
      <c r="A225" s="99">
        <f t="shared" si="36"/>
        <v>168</v>
      </c>
      <c r="B225" s="51" t="s">
        <v>13</v>
      </c>
      <c r="C225" s="424">
        <v>2018</v>
      </c>
      <c r="D225" s="394">
        <v>0</v>
      </c>
      <c r="E225" s="101">
        <f>D225*'[17]16-PlantAdditions'!$E$103</f>
        <v>0</v>
      </c>
      <c r="F225" s="101">
        <f t="shared" si="37"/>
        <v>0</v>
      </c>
      <c r="G225" s="394">
        <v>0</v>
      </c>
      <c r="H225" s="394">
        <v>0</v>
      </c>
      <c r="I225" s="101">
        <f>(G225-H225)*'[17]16-PlantAdditions'!$E$103</f>
        <v>0</v>
      </c>
      <c r="J225" s="101">
        <f t="shared" si="38"/>
        <v>0</v>
      </c>
      <c r="K225" s="101">
        <f t="shared" si="39"/>
        <v>0</v>
      </c>
    </row>
    <row r="226" spans="1:11" s="451" customFormat="1" x14ac:dyDescent="0.2">
      <c r="A226" s="99">
        <f t="shared" si="36"/>
        <v>169</v>
      </c>
      <c r="B226" s="56" t="s">
        <v>15</v>
      </c>
      <c r="C226" s="424">
        <v>2018</v>
      </c>
      <c r="D226" s="394">
        <v>0</v>
      </c>
      <c r="E226" s="101">
        <f>D226*'[17]16-PlantAdditions'!$E$103</f>
        <v>0</v>
      </c>
      <c r="F226" s="101">
        <f t="shared" si="37"/>
        <v>0</v>
      </c>
      <c r="G226" s="394">
        <v>0</v>
      </c>
      <c r="H226" s="394">
        <v>0</v>
      </c>
      <c r="I226" s="101">
        <f>(G226-H226)*'[17]16-PlantAdditions'!$E$103</f>
        <v>0</v>
      </c>
      <c r="J226" s="101">
        <f t="shared" si="38"/>
        <v>0</v>
      </c>
      <c r="K226" s="101">
        <f t="shared" si="39"/>
        <v>0</v>
      </c>
    </row>
    <row r="227" spans="1:11" s="451" customFormat="1" x14ac:dyDescent="0.2">
      <c r="A227" s="99">
        <f t="shared" si="36"/>
        <v>170</v>
      </c>
      <c r="B227" s="56" t="s">
        <v>14</v>
      </c>
      <c r="C227" s="424">
        <v>2018</v>
      </c>
      <c r="D227" s="394">
        <v>0</v>
      </c>
      <c r="E227" s="101">
        <f>D227*'[17]16-PlantAdditions'!$E$103</f>
        <v>0</v>
      </c>
      <c r="F227" s="101">
        <f t="shared" si="37"/>
        <v>0</v>
      </c>
      <c r="G227" s="394">
        <v>0</v>
      </c>
      <c r="H227" s="394">
        <v>0</v>
      </c>
      <c r="I227" s="101">
        <f>(G227-H227)*'[17]16-PlantAdditions'!$E$103</f>
        <v>0</v>
      </c>
      <c r="J227" s="101">
        <f t="shared" si="38"/>
        <v>0</v>
      </c>
      <c r="K227" s="101">
        <f t="shared" si="39"/>
        <v>0</v>
      </c>
    </row>
    <row r="228" spans="1:11" s="451" customFormat="1" x14ac:dyDescent="0.2">
      <c r="A228" s="99">
        <f t="shared" si="36"/>
        <v>171</v>
      </c>
      <c r="B228" s="56" t="s">
        <v>6</v>
      </c>
      <c r="C228" s="424">
        <v>2018</v>
      </c>
      <c r="D228" s="394">
        <v>0</v>
      </c>
      <c r="E228" s="101">
        <f>D228*'[17]16-PlantAdditions'!$E$103</f>
        <v>0</v>
      </c>
      <c r="F228" s="101">
        <f t="shared" si="37"/>
        <v>0</v>
      </c>
      <c r="G228" s="394">
        <v>0</v>
      </c>
      <c r="H228" s="394">
        <v>0</v>
      </c>
      <c r="I228" s="101">
        <f>(G228-H228)*'[17]16-PlantAdditions'!$E$103</f>
        <v>0</v>
      </c>
      <c r="J228" s="101">
        <f t="shared" si="38"/>
        <v>0</v>
      </c>
      <c r="K228" s="101">
        <f t="shared" si="39"/>
        <v>0</v>
      </c>
    </row>
    <row r="229" spans="1:11" s="451" customFormat="1" x14ac:dyDescent="0.2">
      <c r="A229" s="99">
        <f t="shared" si="36"/>
        <v>172</v>
      </c>
      <c r="B229" s="56" t="s">
        <v>7</v>
      </c>
      <c r="C229" s="424">
        <v>2019</v>
      </c>
      <c r="D229" s="394">
        <v>0</v>
      </c>
      <c r="E229" s="101">
        <f>D229*'[17]16-PlantAdditions'!$E$103</f>
        <v>0</v>
      </c>
      <c r="F229" s="101">
        <f t="shared" si="37"/>
        <v>0</v>
      </c>
      <c r="G229" s="394">
        <v>0</v>
      </c>
      <c r="H229" s="394">
        <v>0</v>
      </c>
      <c r="I229" s="101">
        <f>(G229-H229)*'[17]16-PlantAdditions'!$E$103</f>
        <v>0</v>
      </c>
      <c r="J229" s="101">
        <f t="shared" si="38"/>
        <v>0</v>
      </c>
      <c r="K229" s="101">
        <f t="shared" si="39"/>
        <v>0</v>
      </c>
    </row>
    <row r="230" spans="1:11" s="451" customFormat="1" x14ac:dyDescent="0.2">
      <c r="A230" s="99">
        <f t="shared" si="36"/>
        <v>173</v>
      </c>
      <c r="B230" s="51" t="s">
        <v>8</v>
      </c>
      <c r="C230" s="424">
        <v>2019</v>
      </c>
      <c r="D230" s="394">
        <v>0</v>
      </c>
      <c r="E230" s="101">
        <f>D230*'[17]16-PlantAdditions'!$E$103</f>
        <v>0</v>
      </c>
      <c r="F230" s="101">
        <f t="shared" si="37"/>
        <v>0</v>
      </c>
      <c r="G230" s="394">
        <v>0</v>
      </c>
      <c r="H230" s="394">
        <v>0</v>
      </c>
      <c r="I230" s="101">
        <f>(G230-H230)*'[17]16-PlantAdditions'!$E$103</f>
        <v>0</v>
      </c>
      <c r="J230" s="101">
        <f t="shared" si="38"/>
        <v>0</v>
      </c>
      <c r="K230" s="101">
        <f t="shared" si="39"/>
        <v>0</v>
      </c>
    </row>
    <row r="231" spans="1:11" s="451" customFormat="1" x14ac:dyDescent="0.2">
      <c r="A231" s="99">
        <f t="shared" si="36"/>
        <v>174</v>
      </c>
      <c r="B231" s="51" t="s">
        <v>18</v>
      </c>
      <c r="C231" s="424">
        <v>2019</v>
      </c>
      <c r="D231" s="394">
        <v>0</v>
      </c>
      <c r="E231" s="101">
        <f>D231*'[17]16-PlantAdditions'!$E$103</f>
        <v>0</v>
      </c>
      <c r="F231" s="101">
        <f t="shared" si="37"/>
        <v>0</v>
      </c>
      <c r="G231" s="394">
        <v>0</v>
      </c>
      <c r="H231" s="394">
        <v>0</v>
      </c>
      <c r="I231" s="101">
        <f>(G231-H231)*'[17]16-PlantAdditions'!$E$103</f>
        <v>0</v>
      </c>
      <c r="J231" s="101">
        <f t="shared" si="38"/>
        <v>0</v>
      </c>
      <c r="K231" s="101">
        <f t="shared" si="39"/>
        <v>0</v>
      </c>
    </row>
    <row r="232" spans="1:11" s="451" customFormat="1" x14ac:dyDescent="0.2">
      <c r="A232" s="99">
        <f t="shared" si="36"/>
        <v>175</v>
      </c>
      <c r="B232" s="56" t="s">
        <v>9</v>
      </c>
      <c r="C232" s="424">
        <v>2019</v>
      </c>
      <c r="D232" s="394">
        <v>0</v>
      </c>
      <c r="E232" s="101">
        <f>D232*'[17]16-PlantAdditions'!$E$103</f>
        <v>0</v>
      </c>
      <c r="F232" s="101">
        <f t="shared" si="37"/>
        <v>0</v>
      </c>
      <c r="G232" s="394">
        <v>0</v>
      </c>
      <c r="H232" s="394">
        <v>0</v>
      </c>
      <c r="I232" s="101">
        <f>(G232-H232)*'[17]16-PlantAdditions'!$E$103</f>
        <v>0</v>
      </c>
      <c r="J232" s="101">
        <f t="shared" si="38"/>
        <v>0</v>
      </c>
      <c r="K232" s="101">
        <f t="shared" si="39"/>
        <v>0</v>
      </c>
    </row>
    <row r="233" spans="1:11" s="451" customFormat="1" x14ac:dyDescent="0.2">
      <c r="A233" s="99">
        <f t="shared" si="36"/>
        <v>176</v>
      </c>
      <c r="B233" s="51" t="s">
        <v>10</v>
      </c>
      <c r="C233" s="424">
        <v>2019</v>
      </c>
      <c r="D233" s="394">
        <v>0</v>
      </c>
      <c r="E233" s="101">
        <f>D233*'[17]16-PlantAdditions'!$E$103</f>
        <v>0</v>
      </c>
      <c r="F233" s="101">
        <f t="shared" si="37"/>
        <v>0</v>
      </c>
      <c r="G233" s="394">
        <v>0</v>
      </c>
      <c r="H233" s="394">
        <v>0</v>
      </c>
      <c r="I233" s="101">
        <f>(G233-H233)*'[17]16-PlantAdditions'!$E$103</f>
        <v>0</v>
      </c>
      <c r="J233" s="101">
        <f t="shared" si="38"/>
        <v>0</v>
      </c>
      <c r="K233" s="101">
        <f t="shared" si="39"/>
        <v>0</v>
      </c>
    </row>
    <row r="234" spans="1:11" s="451" customFormat="1" x14ac:dyDescent="0.2">
      <c r="A234" s="99">
        <f t="shared" si="36"/>
        <v>177</v>
      </c>
      <c r="B234" s="51" t="s">
        <v>25</v>
      </c>
      <c r="C234" s="424">
        <v>2019</v>
      </c>
      <c r="D234" s="394">
        <v>0</v>
      </c>
      <c r="E234" s="101">
        <f>D234*'[17]16-PlantAdditions'!$E$103</f>
        <v>0</v>
      </c>
      <c r="F234" s="101">
        <f t="shared" si="37"/>
        <v>0</v>
      </c>
      <c r="G234" s="394">
        <v>0</v>
      </c>
      <c r="H234" s="394">
        <v>0</v>
      </c>
      <c r="I234" s="101">
        <f>(G234-H234)*'[17]16-PlantAdditions'!$E$103</f>
        <v>0</v>
      </c>
      <c r="J234" s="101">
        <f t="shared" si="38"/>
        <v>0</v>
      </c>
      <c r="K234" s="101">
        <f t="shared" si="39"/>
        <v>0</v>
      </c>
    </row>
    <row r="235" spans="1:11" s="451" customFormat="1" x14ac:dyDescent="0.2">
      <c r="A235" s="99">
        <f t="shared" si="36"/>
        <v>178</v>
      </c>
      <c r="B235" s="56" t="s">
        <v>11</v>
      </c>
      <c r="C235" s="424">
        <v>2019</v>
      </c>
      <c r="D235" s="394">
        <v>0</v>
      </c>
      <c r="E235" s="101">
        <f>D235*'[17]16-PlantAdditions'!$E$103</f>
        <v>0</v>
      </c>
      <c r="F235" s="101">
        <f t="shared" si="37"/>
        <v>0</v>
      </c>
      <c r="G235" s="394">
        <v>0</v>
      </c>
      <c r="H235" s="394">
        <v>0</v>
      </c>
      <c r="I235" s="101">
        <f>(G235-H235)*'[17]16-PlantAdditions'!$E$103</f>
        <v>0</v>
      </c>
      <c r="J235" s="101">
        <f t="shared" si="38"/>
        <v>0</v>
      </c>
      <c r="K235" s="101">
        <f t="shared" si="39"/>
        <v>0</v>
      </c>
    </row>
    <row r="236" spans="1:11" s="451" customFormat="1" x14ac:dyDescent="0.2">
      <c r="A236" s="99">
        <f t="shared" si="36"/>
        <v>179</v>
      </c>
      <c r="B236" s="51" t="s">
        <v>12</v>
      </c>
      <c r="C236" s="424">
        <v>2019</v>
      </c>
      <c r="D236" s="394">
        <v>0</v>
      </c>
      <c r="E236" s="101">
        <f>D236*'[17]16-PlantAdditions'!$E$103</f>
        <v>0</v>
      </c>
      <c r="F236" s="101">
        <f t="shared" si="37"/>
        <v>0</v>
      </c>
      <c r="G236" s="394">
        <v>0</v>
      </c>
      <c r="H236" s="394">
        <v>0</v>
      </c>
      <c r="I236" s="101">
        <f>(G236-H236)*'[17]16-PlantAdditions'!$E$103</f>
        <v>0</v>
      </c>
      <c r="J236" s="101">
        <f t="shared" si="38"/>
        <v>0</v>
      </c>
      <c r="K236" s="101">
        <f t="shared" si="39"/>
        <v>0</v>
      </c>
    </row>
    <row r="237" spans="1:11" s="451" customFormat="1" x14ac:dyDescent="0.2">
      <c r="A237" s="99">
        <f t="shared" si="36"/>
        <v>180</v>
      </c>
      <c r="B237" s="51" t="s">
        <v>13</v>
      </c>
      <c r="C237" s="424">
        <v>2019</v>
      </c>
      <c r="D237" s="394">
        <v>0</v>
      </c>
      <c r="E237" s="101">
        <f>D237*'[17]16-PlantAdditions'!$E$103</f>
        <v>0</v>
      </c>
      <c r="F237" s="101">
        <f t="shared" si="37"/>
        <v>0</v>
      </c>
      <c r="G237" s="394">
        <v>0</v>
      </c>
      <c r="H237" s="394">
        <v>0</v>
      </c>
      <c r="I237" s="101">
        <f>(G237-H237)*'[17]16-PlantAdditions'!$E$103</f>
        <v>0</v>
      </c>
      <c r="J237" s="101">
        <f t="shared" si="38"/>
        <v>0</v>
      </c>
      <c r="K237" s="101">
        <f t="shared" si="39"/>
        <v>0</v>
      </c>
    </row>
    <row r="238" spans="1:11" s="451" customFormat="1" x14ac:dyDescent="0.2">
      <c r="A238" s="99">
        <f t="shared" si="36"/>
        <v>181</v>
      </c>
      <c r="B238" s="51" t="s">
        <v>15</v>
      </c>
      <c r="C238" s="424">
        <v>2019</v>
      </c>
      <c r="D238" s="394">
        <v>0</v>
      </c>
      <c r="E238" s="101">
        <f>D238*'[17]16-PlantAdditions'!$E$103</f>
        <v>0</v>
      </c>
      <c r="F238" s="101">
        <f t="shared" si="37"/>
        <v>0</v>
      </c>
      <c r="G238" s="394">
        <v>0</v>
      </c>
      <c r="H238" s="394">
        <v>0</v>
      </c>
      <c r="I238" s="101">
        <f>(G238-H238)*'[17]16-PlantAdditions'!$E$103</f>
        <v>0</v>
      </c>
      <c r="J238" s="101">
        <f t="shared" si="38"/>
        <v>0</v>
      </c>
      <c r="K238" s="101">
        <f t="shared" si="39"/>
        <v>0</v>
      </c>
    </row>
    <row r="239" spans="1:11" s="451" customFormat="1" x14ac:dyDescent="0.2">
      <c r="A239" s="99">
        <f t="shared" si="36"/>
        <v>182</v>
      </c>
      <c r="B239" s="51" t="s">
        <v>14</v>
      </c>
      <c r="C239" s="424">
        <v>2019</v>
      </c>
      <c r="D239" s="394">
        <v>0</v>
      </c>
      <c r="E239" s="101">
        <f>D239*'[17]16-PlantAdditions'!$E$103</f>
        <v>0</v>
      </c>
      <c r="F239" s="101">
        <f t="shared" si="37"/>
        <v>0</v>
      </c>
      <c r="G239" s="394">
        <v>0</v>
      </c>
      <c r="H239" s="394">
        <v>0</v>
      </c>
      <c r="I239" s="101">
        <f>(G239-H239)*'[17]16-PlantAdditions'!$E$103</f>
        <v>0</v>
      </c>
      <c r="J239" s="101">
        <f t="shared" si="38"/>
        <v>0</v>
      </c>
      <c r="K239" s="101">
        <f t="shared" si="39"/>
        <v>0</v>
      </c>
    </row>
    <row r="240" spans="1:11" s="451" customFormat="1" x14ac:dyDescent="0.2">
      <c r="A240" s="99">
        <f t="shared" si="36"/>
        <v>183</v>
      </c>
      <c r="B240" s="51" t="s">
        <v>6</v>
      </c>
      <c r="C240" s="424">
        <v>2019</v>
      </c>
      <c r="D240" s="394">
        <v>0</v>
      </c>
      <c r="E240" s="101">
        <f>D240*'[17]16-PlantAdditions'!$E$103</f>
        <v>0</v>
      </c>
      <c r="F240" s="101">
        <f t="shared" si="37"/>
        <v>0</v>
      </c>
      <c r="G240" s="394">
        <v>0</v>
      </c>
      <c r="H240" s="394">
        <v>0</v>
      </c>
      <c r="I240" s="101">
        <f>(G240-H240)*'[17]16-PlantAdditions'!$E$103</f>
        <v>0</v>
      </c>
      <c r="J240" s="101">
        <f t="shared" si="38"/>
        <v>0</v>
      </c>
      <c r="K240" s="109">
        <f t="shared" si="39"/>
        <v>0</v>
      </c>
    </row>
    <row r="241" spans="1:11" s="451" customFormat="1" x14ac:dyDescent="0.2">
      <c r="A241" s="99">
        <f t="shared" si="36"/>
        <v>184</v>
      </c>
      <c r="B241"/>
      <c r="C241" s="448" t="s">
        <v>953</v>
      </c>
      <c r="D241"/>
      <c r="E241"/>
      <c r="F241"/>
      <c r="G241"/>
      <c r="H241"/>
      <c r="I241"/>
      <c r="J241"/>
      <c r="K241" s="449">
        <f>AVERAGE(K228:K240)</f>
        <v>0</v>
      </c>
    </row>
    <row r="242" spans="1:11" s="451" customFormat="1" x14ac:dyDescent="0.2">
      <c r="A242" s="99"/>
      <c r="B242"/>
      <c r="C242" s="448"/>
      <c r="D242"/>
      <c r="E242"/>
      <c r="F242"/>
      <c r="G242"/>
      <c r="H242"/>
      <c r="I242"/>
      <c r="J242"/>
      <c r="K242" s="449"/>
    </row>
    <row r="243" spans="1:11" s="451" customFormat="1" x14ac:dyDescent="0.2">
      <c r="B243" s="452" t="s">
        <v>968</v>
      </c>
      <c r="D243" s="574" t="s">
        <v>969</v>
      </c>
      <c r="E243" s="574"/>
    </row>
    <row r="244" spans="1:11" s="451" customFormat="1" x14ac:dyDescent="0.2">
      <c r="A244" s="440"/>
      <c r="B244" s="440"/>
      <c r="C244" s="440"/>
      <c r="D244" s="440" t="s">
        <v>152</v>
      </c>
      <c r="E244" s="440" t="s">
        <v>153</v>
      </c>
      <c r="F244" s="440" t="s">
        <v>154</v>
      </c>
      <c r="G244" s="440" t="s">
        <v>155</v>
      </c>
      <c r="H244" s="440" t="s">
        <v>904</v>
      </c>
      <c r="I244" s="440" t="s">
        <v>905</v>
      </c>
      <c r="J244" s="440" t="s">
        <v>920</v>
      </c>
      <c r="K244" s="440" t="s">
        <v>921</v>
      </c>
    </row>
    <row r="245" spans="1:11" s="451" customFormat="1" ht="38.25" x14ac:dyDescent="0.2">
      <c r="D245" s="453"/>
      <c r="E245" s="454" t="s">
        <v>956</v>
      </c>
      <c r="F245" s="445" t="s">
        <v>957</v>
      </c>
      <c r="G245" s="455"/>
      <c r="H245" s="453"/>
      <c r="I245" s="454" t="s">
        <v>958</v>
      </c>
      <c r="J245" s="454" t="s">
        <v>959</v>
      </c>
      <c r="K245" s="454" t="s">
        <v>960</v>
      </c>
    </row>
    <row r="246" spans="1:11" s="451" customFormat="1" x14ac:dyDescent="0.2">
      <c r="D246" s="453"/>
      <c r="E246" s="453"/>
      <c r="F246" s="453"/>
      <c r="G246" s="94" t="s">
        <v>970</v>
      </c>
      <c r="H246" s="453"/>
      <c r="I246" s="453"/>
    </row>
    <row r="247" spans="1:11" s="451" customFormat="1" x14ac:dyDescent="0.2">
      <c r="A247" s="443"/>
      <c r="B247" s="443"/>
      <c r="C247" s="443"/>
      <c r="D247" s="443" t="str">
        <f>D$52</f>
        <v>Forecast</v>
      </c>
      <c r="E247" s="443" t="str">
        <f t="shared" ref="E247:J247" si="40">E$52</f>
        <v>Corporate</v>
      </c>
      <c r="F247" s="443" t="str">
        <f t="shared" si="40"/>
        <v xml:space="preserve">Total </v>
      </c>
      <c r="G247" s="443" t="s">
        <v>307</v>
      </c>
      <c r="H247" s="443" t="str">
        <f t="shared" si="40"/>
        <v>Prior Period</v>
      </c>
      <c r="I247" s="443" t="str">
        <f t="shared" si="40"/>
        <v>Over Heads</v>
      </c>
      <c r="J247" s="443" t="str">
        <f t="shared" si="40"/>
        <v>Forecast</v>
      </c>
      <c r="K247" s="94" t="str">
        <f>K$52</f>
        <v>Forecast Period</v>
      </c>
    </row>
    <row r="248" spans="1:11" s="451" customFormat="1" x14ac:dyDescent="0.2">
      <c r="A248" s="136" t="s">
        <v>292</v>
      </c>
      <c r="B248" s="55" t="s">
        <v>16</v>
      </c>
      <c r="C248" s="55" t="s">
        <v>17</v>
      </c>
      <c r="D248" s="440" t="str">
        <f>D$53</f>
        <v>Expenditures</v>
      </c>
      <c r="E248" s="440" t="str">
        <f t="shared" ref="E248:J248" si="41">E$53</f>
        <v>Overheads</v>
      </c>
      <c r="F248" s="440" t="str">
        <f t="shared" si="41"/>
        <v>CWIP Exp</v>
      </c>
      <c r="G248" s="440" t="s">
        <v>948</v>
      </c>
      <c r="H248" s="440" t="str">
        <f t="shared" si="41"/>
        <v>CWIP Closed</v>
      </c>
      <c r="I248" s="440" t="str">
        <f t="shared" si="41"/>
        <v>Closed to PIS</v>
      </c>
      <c r="J248" s="440" t="str">
        <f t="shared" si="41"/>
        <v>Period CWIP</v>
      </c>
      <c r="K248" s="440" t="str">
        <f>K$53</f>
        <v>Incremental CWIP</v>
      </c>
    </row>
    <row r="249" spans="1:11" s="451" customFormat="1" x14ac:dyDescent="0.2">
      <c r="A249" s="99">
        <f>A241+1</f>
        <v>185</v>
      </c>
      <c r="B249" s="56" t="s">
        <v>6</v>
      </c>
      <c r="C249" s="424">
        <v>2017</v>
      </c>
      <c r="D249" s="445" t="s">
        <v>935</v>
      </c>
      <c r="E249" s="445" t="s">
        <v>935</v>
      </c>
      <c r="F249" s="445" t="s">
        <v>935</v>
      </c>
      <c r="G249" s="445" t="s">
        <v>935</v>
      </c>
      <c r="H249" s="445" t="s">
        <v>935</v>
      </c>
      <c r="I249" s="445" t="s">
        <v>935</v>
      </c>
      <c r="J249" s="101">
        <f>D45</f>
        <v>0</v>
      </c>
      <c r="K249" s="445" t="s">
        <v>935</v>
      </c>
    </row>
    <row r="250" spans="1:11" s="451" customFormat="1" x14ac:dyDescent="0.2">
      <c r="A250" s="99">
        <f>A249+1</f>
        <v>186</v>
      </c>
      <c r="B250" s="56" t="s">
        <v>7</v>
      </c>
      <c r="C250" s="424">
        <v>2018</v>
      </c>
      <c r="D250" s="394">
        <v>10309</v>
      </c>
      <c r="E250" s="101">
        <f>D250*'[17]16-PlantAdditions'!$E$103</f>
        <v>773.17499999999995</v>
      </c>
      <c r="F250" s="101">
        <f>E250+D250</f>
        <v>11082.174999999999</v>
      </c>
      <c r="G250" s="394">
        <v>10309</v>
      </c>
      <c r="H250" s="394">
        <v>0</v>
      </c>
      <c r="I250" s="101">
        <f>(G250-H250)*'[17]16-PlantAdditions'!$E$103</f>
        <v>773.17499999999995</v>
      </c>
      <c r="J250" s="101">
        <f>J249+F250-G250-I250</f>
        <v>0</v>
      </c>
      <c r="K250" s="101">
        <f>J250-$J$249</f>
        <v>0</v>
      </c>
    </row>
    <row r="251" spans="1:11" s="451" customFormat="1" x14ac:dyDescent="0.2">
      <c r="A251" s="99">
        <f t="shared" ref="A251:A274" si="42">A250+1</f>
        <v>187</v>
      </c>
      <c r="B251" s="51" t="s">
        <v>8</v>
      </c>
      <c r="C251" s="424">
        <v>2018</v>
      </c>
      <c r="D251" s="394">
        <v>6204</v>
      </c>
      <c r="E251" s="101">
        <f>D251*'[17]16-PlantAdditions'!$E$103</f>
        <v>465.29999999999995</v>
      </c>
      <c r="F251" s="101">
        <f t="shared" ref="F251:F273" si="43">E251+D251</f>
        <v>6669.3</v>
      </c>
      <c r="G251" s="394">
        <v>6204</v>
      </c>
      <c r="H251" s="394">
        <v>0</v>
      </c>
      <c r="I251" s="101">
        <f>(G251-H251)*'[17]16-PlantAdditions'!$E$103</f>
        <v>465.29999999999995</v>
      </c>
      <c r="J251" s="101">
        <f t="shared" ref="J251:J273" si="44">J250+F251-G251-I251</f>
        <v>0</v>
      </c>
      <c r="K251" s="101">
        <f t="shared" ref="K251:K273" si="45">J251-$J$249</f>
        <v>0</v>
      </c>
    </row>
    <row r="252" spans="1:11" s="451" customFormat="1" x14ac:dyDescent="0.2">
      <c r="A252" s="99">
        <f t="shared" si="42"/>
        <v>188</v>
      </c>
      <c r="B252" s="51" t="s">
        <v>18</v>
      </c>
      <c r="C252" s="424">
        <v>2018</v>
      </c>
      <c r="D252" s="394">
        <v>6687</v>
      </c>
      <c r="E252" s="101">
        <f>D252*'[17]16-PlantAdditions'!$E$103</f>
        <v>501.52499999999998</v>
      </c>
      <c r="F252" s="101">
        <f t="shared" si="43"/>
        <v>7188.5249999999996</v>
      </c>
      <c r="G252" s="394">
        <v>6687</v>
      </c>
      <c r="H252" s="394">
        <v>0</v>
      </c>
      <c r="I252" s="101">
        <f>(G252-H252)*'[17]16-PlantAdditions'!$E$103</f>
        <v>501.52499999999998</v>
      </c>
      <c r="J252" s="101">
        <f t="shared" si="44"/>
        <v>0</v>
      </c>
      <c r="K252" s="101">
        <f t="shared" si="45"/>
        <v>0</v>
      </c>
    </row>
    <row r="253" spans="1:11" s="451" customFormat="1" x14ac:dyDescent="0.2">
      <c r="A253" s="99">
        <f t="shared" si="42"/>
        <v>189</v>
      </c>
      <c r="B253" s="56" t="s">
        <v>9</v>
      </c>
      <c r="C253" s="424">
        <v>2018</v>
      </c>
      <c r="D253" s="394">
        <v>0</v>
      </c>
      <c r="E253" s="101">
        <f>D253*'[17]16-PlantAdditions'!$E$103</f>
        <v>0</v>
      </c>
      <c r="F253" s="101">
        <f t="shared" si="43"/>
        <v>0</v>
      </c>
      <c r="G253" s="394">
        <v>0</v>
      </c>
      <c r="H253" s="394">
        <v>0</v>
      </c>
      <c r="I253" s="101">
        <f>(G253-H253)*'[17]16-PlantAdditions'!$E$103</f>
        <v>0</v>
      </c>
      <c r="J253" s="101">
        <f t="shared" si="44"/>
        <v>0</v>
      </c>
      <c r="K253" s="101">
        <f t="shared" si="45"/>
        <v>0</v>
      </c>
    </row>
    <row r="254" spans="1:11" s="451" customFormat="1" x14ac:dyDescent="0.2">
      <c r="A254" s="99">
        <f t="shared" si="42"/>
        <v>190</v>
      </c>
      <c r="B254" s="51" t="s">
        <v>10</v>
      </c>
      <c r="C254" s="424">
        <v>2018</v>
      </c>
      <c r="D254" s="394">
        <v>0</v>
      </c>
      <c r="E254" s="101">
        <f>D254*'[17]16-PlantAdditions'!$E$103</f>
        <v>0</v>
      </c>
      <c r="F254" s="101">
        <f t="shared" si="43"/>
        <v>0</v>
      </c>
      <c r="G254" s="394">
        <v>0</v>
      </c>
      <c r="H254" s="394">
        <v>0</v>
      </c>
      <c r="I254" s="101">
        <f>(G254-H254)*'[17]16-PlantAdditions'!$E$103</f>
        <v>0</v>
      </c>
      <c r="J254" s="101">
        <f t="shared" si="44"/>
        <v>0</v>
      </c>
      <c r="K254" s="101">
        <f t="shared" si="45"/>
        <v>0</v>
      </c>
    </row>
    <row r="255" spans="1:11" s="451" customFormat="1" x14ac:dyDescent="0.2">
      <c r="A255" s="99">
        <f t="shared" si="42"/>
        <v>191</v>
      </c>
      <c r="B255" s="51" t="s">
        <v>25</v>
      </c>
      <c r="C255" s="424">
        <v>2018</v>
      </c>
      <c r="D255" s="394">
        <v>0</v>
      </c>
      <c r="E255" s="101">
        <f>D255*'[17]16-PlantAdditions'!$E$103</f>
        <v>0</v>
      </c>
      <c r="F255" s="101">
        <f t="shared" si="43"/>
        <v>0</v>
      </c>
      <c r="G255" s="394">
        <v>0</v>
      </c>
      <c r="H255" s="394">
        <v>0</v>
      </c>
      <c r="I255" s="101">
        <f>(G255-H255)*'[17]16-PlantAdditions'!$E$103</f>
        <v>0</v>
      </c>
      <c r="J255" s="101">
        <f t="shared" si="44"/>
        <v>0</v>
      </c>
      <c r="K255" s="101">
        <f t="shared" si="45"/>
        <v>0</v>
      </c>
    </row>
    <row r="256" spans="1:11" s="451" customFormat="1" x14ac:dyDescent="0.2">
      <c r="A256" s="99">
        <f t="shared" si="42"/>
        <v>192</v>
      </c>
      <c r="B256" s="56" t="s">
        <v>11</v>
      </c>
      <c r="C256" s="424">
        <v>2018</v>
      </c>
      <c r="D256" s="394">
        <v>0</v>
      </c>
      <c r="E256" s="101">
        <f>D256*'[17]16-PlantAdditions'!$E$103</f>
        <v>0</v>
      </c>
      <c r="F256" s="101">
        <f t="shared" si="43"/>
        <v>0</v>
      </c>
      <c r="G256" s="394">
        <v>0</v>
      </c>
      <c r="H256" s="394">
        <v>0</v>
      </c>
      <c r="I256" s="101">
        <f>(G256-H256)*'[17]16-PlantAdditions'!$E$103</f>
        <v>0</v>
      </c>
      <c r="J256" s="101">
        <f t="shared" si="44"/>
        <v>0</v>
      </c>
      <c r="K256" s="101">
        <f t="shared" si="45"/>
        <v>0</v>
      </c>
    </row>
    <row r="257" spans="1:11" s="451" customFormat="1" x14ac:dyDescent="0.2">
      <c r="A257" s="99">
        <f t="shared" si="42"/>
        <v>193</v>
      </c>
      <c r="B257" s="51" t="s">
        <v>12</v>
      </c>
      <c r="C257" s="424">
        <v>2018</v>
      </c>
      <c r="D257" s="394">
        <v>0</v>
      </c>
      <c r="E257" s="101">
        <f>D257*'[17]16-PlantAdditions'!$E$103</f>
        <v>0</v>
      </c>
      <c r="F257" s="101">
        <f t="shared" si="43"/>
        <v>0</v>
      </c>
      <c r="G257" s="394">
        <v>0</v>
      </c>
      <c r="H257" s="394">
        <v>0</v>
      </c>
      <c r="I257" s="101">
        <f>(G257-H257)*'[17]16-PlantAdditions'!$E$103</f>
        <v>0</v>
      </c>
      <c r="J257" s="101">
        <f t="shared" si="44"/>
        <v>0</v>
      </c>
      <c r="K257" s="101">
        <f t="shared" si="45"/>
        <v>0</v>
      </c>
    </row>
    <row r="258" spans="1:11" s="451" customFormat="1" x14ac:dyDescent="0.2">
      <c r="A258" s="99">
        <f t="shared" si="42"/>
        <v>194</v>
      </c>
      <c r="B258" s="51" t="s">
        <v>13</v>
      </c>
      <c r="C258" s="424">
        <v>2018</v>
      </c>
      <c r="D258" s="394">
        <v>0</v>
      </c>
      <c r="E258" s="101">
        <f>D258*'[17]16-PlantAdditions'!$E$103</f>
        <v>0</v>
      </c>
      <c r="F258" s="101">
        <f t="shared" si="43"/>
        <v>0</v>
      </c>
      <c r="G258" s="394">
        <v>0</v>
      </c>
      <c r="H258" s="394">
        <v>0</v>
      </c>
      <c r="I258" s="101">
        <f>(G258-H258)*'[17]16-PlantAdditions'!$E$103</f>
        <v>0</v>
      </c>
      <c r="J258" s="101">
        <f t="shared" si="44"/>
        <v>0</v>
      </c>
      <c r="K258" s="101">
        <f t="shared" si="45"/>
        <v>0</v>
      </c>
    </row>
    <row r="259" spans="1:11" s="451" customFormat="1" x14ac:dyDescent="0.2">
      <c r="A259" s="99">
        <f t="shared" si="42"/>
        <v>195</v>
      </c>
      <c r="B259" s="56" t="s">
        <v>15</v>
      </c>
      <c r="C259" s="424">
        <v>2018</v>
      </c>
      <c r="D259" s="394">
        <v>0</v>
      </c>
      <c r="E259" s="101">
        <f>D259*'[17]16-PlantAdditions'!$E$103</f>
        <v>0</v>
      </c>
      <c r="F259" s="101">
        <f t="shared" si="43"/>
        <v>0</v>
      </c>
      <c r="G259" s="394">
        <v>0</v>
      </c>
      <c r="H259" s="394">
        <v>0</v>
      </c>
      <c r="I259" s="101">
        <f>(G259-H259)*'[17]16-PlantAdditions'!$E$103</f>
        <v>0</v>
      </c>
      <c r="J259" s="101">
        <f t="shared" si="44"/>
        <v>0</v>
      </c>
      <c r="K259" s="101">
        <f t="shared" si="45"/>
        <v>0</v>
      </c>
    </row>
    <row r="260" spans="1:11" s="451" customFormat="1" x14ac:dyDescent="0.2">
      <c r="A260" s="99">
        <f t="shared" si="42"/>
        <v>196</v>
      </c>
      <c r="B260" s="56" t="s">
        <v>14</v>
      </c>
      <c r="C260" s="424">
        <v>2018</v>
      </c>
      <c r="D260" s="394">
        <v>0</v>
      </c>
      <c r="E260" s="101">
        <f>D260*'[17]16-PlantAdditions'!$E$103</f>
        <v>0</v>
      </c>
      <c r="F260" s="101">
        <f t="shared" si="43"/>
        <v>0</v>
      </c>
      <c r="G260" s="394">
        <v>0</v>
      </c>
      <c r="H260" s="394">
        <v>0</v>
      </c>
      <c r="I260" s="101">
        <f>(G260-H260)*'[17]16-PlantAdditions'!$E$103</f>
        <v>0</v>
      </c>
      <c r="J260" s="101">
        <f t="shared" si="44"/>
        <v>0</v>
      </c>
      <c r="K260" s="101">
        <f t="shared" si="45"/>
        <v>0</v>
      </c>
    </row>
    <row r="261" spans="1:11" s="451" customFormat="1" x14ac:dyDescent="0.2">
      <c r="A261" s="99">
        <f t="shared" si="42"/>
        <v>197</v>
      </c>
      <c r="B261" s="56" t="s">
        <v>6</v>
      </c>
      <c r="C261" s="424">
        <v>2018</v>
      </c>
      <c r="D261" s="394">
        <v>0</v>
      </c>
      <c r="E261" s="101">
        <f>D261*'[17]16-PlantAdditions'!$E$103</f>
        <v>0</v>
      </c>
      <c r="F261" s="101">
        <f t="shared" si="43"/>
        <v>0</v>
      </c>
      <c r="G261" s="394">
        <v>0</v>
      </c>
      <c r="H261" s="394">
        <v>0</v>
      </c>
      <c r="I261" s="101">
        <f>(G261-H261)*'[17]16-PlantAdditions'!$E$103</f>
        <v>0</v>
      </c>
      <c r="J261" s="101">
        <f t="shared" si="44"/>
        <v>0</v>
      </c>
      <c r="K261" s="101">
        <f t="shared" si="45"/>
        <v>0</v>
      </c>
    </row>
    <row r="262" spans="1:11" s="451" customFormat="1" x14ac:dyDescent="0.2">
      <c r="A262" s="99">
        <f t="shared" si="42"/>
        <v>198</v>
      </c>
      <c r="B262" s="56" t="s">
        <v>7</v>
      </c>
      <c r="C262" s="424">
        <v>2019</v>
      </c>
      <c r="D262" s="394">
        <v>0</v>
      </c>
      <c r="E262" s="101">
        <f>D262*'[17]16-PlantAdditions'!$E$103</f>
        <v>0</v>
      </c>
      <c r="F262" s="101">
        <f t="shared" si="43"/>
        <v>0</v>
      </c>
      <c r="G262" s="394">
        <v>0</v>
      </c>
      <c r="H262" s="394">
        <v>0</v>
      </c>
      <c r="I262" s="101">
        <f>(G262-H262)*'[17]16-PlantAdditions'!$E$103</f>
        <v>0</v>
      </c>
      <c r="J262" s="101">
        <f t="shared" si="44"/>
        <v>0</v>
      </c>
      <c r="K262" s="101">
        <f t="shared" si="45"/>
        <v>0</v>
      </c>
    </row>
    <row r="263" spans="1:11" s="451" customFormat="1" x14ac:dyDescent="0.2">
      <c r="A263" s="99">
        <f t="shared" si="42"/>
        <v>199</v>
      </c>
      <c r="B263" s="51" t="s">
        <v>8</v>
      </c>
      <c r="C263" s="424">
        <v>2019</v>
      </c>
      <c r="D263" s="394">
        <v>0</v>
      </c>
      <c r="E263" s="101">
        <f>D263*'[17]16-PlantAdditions'!$E$103</f>
        <v>0</v>
      </c>
      <c r="F263" s="101">
        <f t="shared" si="43"/>
        <v>0</v>
      </c>
      <c r="G263" s="394">
        <v>0</v>
      </c>
      <c r="H263" s="394">
        <v>0</v>
      </c>
      <c r="I263" s="101">
        <f>(G263-H263)*'[17]16-PlantAdditions'!$E$103</f>
        <v>0</v>
      </c>
      <c r="J263" s="101">
        <f t="shared" si="44"/>
        <v>0</v>
      </c>
      <c r="K263" s="101">
        <f t="shared" si="45"/>
        <v>0</v>
      </c>
    </row>
    <row r="264" spans="1:11" s="451" customFormat="1" x14ac:dyDescent="0.2">
      <c r="A264" s="99">
        <f t="shared" si="42"/>
        <v>200</v>
      </c>
      <c r="B264" s="51" t="s">
        <v>18</v>
      </c>
      <c r="C264" s="424">
        <v>2019</v>
      </c>
      <c r="D264" s="394">
        <v>0</v>
      </c>
      <c r="E264" s="101">
        <f>D264*'[17]16-PlantAdditions'!$E$103</f>
        <v>0</v>
      </c>
      <c r="F264" s="101">
        <f t="shared" si="43"/>
        <v>0</v>
      </c>
      <c r="G264" s="394">
        <v>0</v>
      </c>
      <c r="H264" s="394">
        <v>0</v>
      </c>
      <c r="I264" s="101">
        <f>(G264-H264)*'[17]16-PlantAdditions'!$E$103</f>
        <v>0</v>
      </c>
      <c r="J264" s="101">
        <f t="shared" si="44"/>
        <v>0</v>
      </c>
      <c r="K264" s="101">
        <f t="shared" si="45"/>
        <v>0</v>
      </c>
    </row>
    <row r="265" spans="1:11" s="451" customFormat="1" x14ac:dyDescent="0.2">
      <c r="A265" s="99">
        <f t="shared" si="42"/>
        <v>201</v>
      </c>
      <c r="B265" s="56" t="s">
        <v>9</v>
      </c>
      <c r="C265" s="424">
        <v>2019</v>
      </c>
      <c r="D265" s="394">
        <v>0</v>
      </c>
      <c r="E265" s="101">
        <f>D265*'[17]16-PlantAdditions'!$E$103</f>
        <v>0</v>
      </c>
      <c r="F265" s="101">
        <f t="shared" si="43"/>
        <v>0</v>
      </c>
      <c r="G265" s="394">
        <v>0</v>
      </c>
      <c r="H265" s="394">
        <v>0</v>
      </c>
      <c r="I265" s="101">
        <f>(G265-H265)*'[17]16-PlantAdditions'!$E$103</f>
        <v>0</v>
      </c>
      <c r="J265" s="101">
        <f t="shared" si="44"/>
        <v>0</v>
      </c>
      <c r="K265" s="101">
        <f t="shared" si="45"/>
        <v>0</v>
      </c>
    </row>
    <row r="266" spans="1:11" s="451" customFormat="1" x14ac:dyDescent="0.2">
      <c r="A266" s="99">
        <f t="shared" si="42"/>
        <v>202</v>
      </c>
      <c r="B266" s="51" t="s">
        <v>10</v>
      </c>
      <c r="C266" s="424">
        <v>2019</v>
      </c>
      <c r="D266" s="394">
        <v>0</v>
      </c>
      <c r="E266" s="101">
        <f>D266*'[17]16-PlantAdditions'!$E$103</f>
        <v>0</v>
      </c>
      <c r="F266" s="101">
        <f t="shared" si="43"/>
        <v>0</v>
      </c>
      <c r="G266" s="394">
        <v>0</v>
      </c>
      <c r="H266" s="394">
        <v>0</v>
      </c>
      <c r="I266" s="101">
        <f>(G266-H266)*'[17]16-PlantAdditions'!$E$103</f>
        <v>0</v>
      </c>
      <c r="J266" s="101">
        <f t="shared" si="44"/>
        <v>0</v>
      </c>
      <c r="K266" s="101">
        <f t="shared" si="45"/>
        <v>0</v>
      </c>
    </row>
    <row r="267" spans="1:11" s="451" customFormat="1" x14ac:dyDescent="0.2">
      <c r="A267" s="99">
        <f t="shared" si="42"/>
        <v>203</v>
      </c>
      <c r="B267" s="51" t="s">
        <v>25</v>
      </c>
      <c r="C267" s="424">
        <v>2019</v>
      </c>
      <c r="D267" s="394">
        <v>0</v>
      </c>
      <c r="E267" s="101">
        <f>D267*'[17]16-PlantAdditions'!$E$103</f>
        <v>0</v>
      </c>
      <c r="F267" s="101">
        <f t="shared" si="43"/>
        <v>0</v>
      </c>
      <c r="G267" s="394">
        <v>0</v>
      </c>
      <c r="H267" s="394">
        <v>0</v>
      </c>
      <c r="I267" s="101">
        <f>(G267-H267)*'[17]16-PlantAdditions'!$E$103</f>
        <v>0</v>
      </c>
      <c r="J267" s="101">
        <f t="shared" si="44"/>
        <v>0</v>
      </c>
      <c r="K267" s="101">
        <f t="shared" si="45"/>
        <v>0</v>
      </c>
    </row>
    <row r="268" spans="1:11" s="451" customFormat="1" x14ac:dyDescent="0.2">
      <c r="A268" s="99">
        <f t="shared" si="42"/>
        <v>204</v>
      </c>
      <c r="B268" s="56" t="s">
        <v>11</v>
      </c>
      <c r="C268" s="424">
        <v>2019</v>
      </c>
      <c r="D268" s="394">
        <v>0</v>
      </c>
      <c r="E268" s="101">
        <f>D268*'[17]16-PlantAdditions'!$E$103</f>
        <v>0</v>
      </c>
      <c r="F268" s="101">
        <f t="shared" si="43"/>
        <v>0</v>
      </c>
      <c r="G268" s="394">
        <v>0</v>
      </c>
      <c r="H268" s="394">
        <v>0</v>
      </c>
      <c r="I268" s="101">
        <f>(G268-H268)*'[17]16-PlantAdditions'!$E$103</f>
        <v>0</v>
      </c>
      <c r="J268" s="101">
        <f t="shared" si="44"/>
        <v>0</v>
      </c>
      <c r="K268" s="101">
        <f t="shared" si="45"/>
        <v>0</v>
      </c>
    </row>
    <row r="269" spans="1:11" s="451" customFormat="1" x14ac:dyDescent="0.2">
      <c r="A269" s="99">
        <f t="shared" si="42"/>
        <v>205</v>
      </c>
      <c r="B269" s="51" t="s">
        <v>12</v>
      </c>
      <c r="C269" s="424">
        <v>2019</v>
      </c>
      <c r="D269" s="394">
        <v>0</v>
      </c>
      <c r="E269" s="101">
        <f>D269*'[17]16-PlantAdditions'!$E$103</f>
        <v>0</v>
      </c>
      <c r="F269" s="101">
        <f t="shared" si="43"/>
        <v>0</v>
      </c>
      <c r="G269" s="394">
        <v>0</v>
      </c>
      <c r="H269" s="394">
        <v>0</v>
      </c>
      <c r="I269" s="101">
        <f>(G269-H269)*'[17]16-PlantAdditions'!$E$103</f>
        <v>0</v>
      </c>
      <c r="J269" s="101">
        <f t="shared" si="44"/>
        <v>0</v>
      </c>
      <c r="K269" s="101">
        <f t="shared" si="45"/>
        <v>0</v>
      </c>
    </row>
    <row r="270" spans="1:11" s="451" customFormat="1" x14ac:dyDescent="0.2">
      <c r="A270" s="99">
        <f t="shared" si="42"/>
        <v>206</v>
      </c>
      <c r="B270" s="51" t="s">
        <v>13</v>
      </c>
      <c r="C270" s="424">
        <v>2019</v>
      </c>
      <c r="D270" s="394">
        <v>0</v>
      </c>
      <c r="E270" s="101">
        <f>D270*'[17]16-PlantAdditions'!$E$103</f>
        <v>0</v>
      </c>
      <c r="F270" s="101">
        <f t="shared" si="43"/>
        <v>0</v>
      </c>
      <c r="G270" s="394">
        <v>0</v>
      </c>
      <c r="H270" s="394">
        <v>0</v>
      </c>
      <c r="I270" s="101">
        <f>(G270-H270)*'[17]16-PlantAdditions'!$E$103</f>
        <v>0</v>
      </c>
      <c r="J270" s="101">
        <f t="shared" si="44"/>
        <v>0</v>
      </c>
      <c r="K270" s="101">
        <f t="shared" si="45"/>
        <v>0</v>
      </c>
    </row>
    <row r="271" spans="1:11" s="451" customFormat="1" x14ac:dyDescent="0.2">
      <c r="A271" s="99">
        <f t="shared" si="42"/>
        <v>207</v>
      </c>
      <c r="B271" s="51" t="s">
        <v>15</v>
      </c>
      <c r="C271" s="424">
        <v>2019</v>
      </c>
      <c r="D271" s="394">
        <v>0</v>
      </c>
      <c r="E271" s="101">
        <f>D271*'[17]16-PlantAdditions'!$E$103</f>
        <v>0</v>
      </c>
      <c r="F271" s="101">
        <f t="shared" si="43"/>
        <v>0</v>
      </c>
      <c r="G271" s="394">
        <v>0</v>
      </c>
      <c r="H271" s="394">
        <v>0</v>
      </c>
      <c r="I271" s="101">
        <f>(G271-H271)*'[17]16-PlantAdditions'!$E$103</f>
        <v>0</v>
      </c>
      <c r="J271" s="101">
        <f t="shared" si="44"/>
        <v>0</v>
      </c>
      <c r="K271" s="101">
        <f t="shared" si="45"/>
        <v>0</v>
      </c>
    </row>
    <row r="272" spans="1:11" s="451" customFormat="1" x14ac:dyDescent="0.2">
      <c r="A272" s="99">
        <f t="shared" si="42"/>
        <v>208</v>
      </c>
      <c r="B272" s="51" t="s">
        <v>14</v>
      </c>
      <c r="C272" s="424">
        <v>2019</v>
      </c>
      <c r="D272" s="394">
        <v>0</v>
      </c>
      <c r="E272" s="101">
        <f>D272*'[17]16-PlantAdditions'!$E$103</f>
        <v>0</v>
      </c>
      <c r="F272" s="101">
        <f t="shared" si="43"/>
        <v>0</v>
      </c>
      <c r="G272" s="394">
        <v>0</v>
      </c>
      <c r="H272" s="394">
        <v>0</v>
      </c>
      <c r="I272" s="101">
        <f>(G272-H272)*'[17]16-PlantAdditions'!$E$103</f>
        <v>0</v>
      </c>
      <c r="J272" s="101">
        <f t="shared" si="44"/>
        <v>0</v>
      </c>
      <c r="K272" s="101">
        <f t="shared" si="45"/>
        <v>0</v>
      </c>
    </row>
    <row r="273" spans="1:13" s="451" customFormat="1" x14ac:dyDescent="0.2">
      <c r="A273" s="99">
        <f t="shared" si="42"/>
        <v>209</v>
      </c>
      <c r="B273" s="51" t="s">
        <v>6</v>
      </c>
      <c r="C273" s="424">
        <v>2019</v>
      </c>
      <c r="D273" s="394">
        <v>0</v>
      </c>
      <c r="E273" s="101">
        <f>D273*'[17]16-PlantAdditions'!$E$103</f>
        <v>0</v>
      </c>
      <c r="F273" s="101">
        <f t="shared" si="43"/>
        <v>0</v>
      </c>
      <c r="G273" s="394">
        <v>0</v>
      </c>
      <c r="H273" s="394">
        <v>0</v>
      </c>
      <c r="I273" s="101">
        <f>(G273-H273)*'[17]16-PlantAdditions'!$E$103</f>
        <v>0</v>
      </c>
      <c r="J273" s="101">
        <f t="shared" si="44"/>
        <v>0</v>
      </c>
      <c r="K273" s="109">
        <f t="shared" si="45"/>
        <v>0</v>
      </c>
    </row>
    <row r="274" spans="1:13" s="451" customFormat="1" x14ac:dyDescent="0.2">
      <c r="A274" s="99">
        <f t="shared" si="42"/>
        <v>210</v>
      </c>
      <c r="B274"/>
      <c r="C274" s="448" t="s">
        <v>953</v>
      </c>
      <c r="D274"/>
      <c r="E274"/>
      <c r="F274"/>
      <c r="G274"/>
      <c r="H274"/>
      <c r="I274"/>
      <c r="J274"/>
      <c r="K274" s="449">
        <f>AVERAGE(K261:K273)</f>
        <v>0</v>
      </c>
    </row>
    <row r="275" spans="1:13" s="451" customFormat="1" ht="12.75" customHeight="1" x14ac:dyDescent="0.2">
      <c r="A275" s="99"/>
      <c r="B275"/>
      <c r="C275" s="448"/>
      <c r="D275"/>
      <c r="E275"/>
      <c r="F275"/>
      <c r="G275"/>
      <c r="H275"/>
      <c r="I275"/>
      <c r="J275"/>
      <c r="K275" s="449"/>
    </row>
    <row r="276" spans="1:13" s="451" customFormat="1" x14ac:dyDescent="0.2">
      <c r="B276" s="452" t="s">
        <v>971</v>
      </c>
      <c r="D276" s="574" t="s">
        <v>972</v>
      </c>
      <c r="E276" s="574"/>
    </row>
    <row r="277" spans="1:13" s="451" customFormat="1" x14ac:dyDescent="0.2">
      <c r="D277" s="453"/>
      <c r="E277" s="454"/>
      <c r="F277" s="445"/>
      <c r="G277" s="443" t="str">
        <f>G51</f>
        <v>Unloaded</v>
      </c>
      <c r="H277" s="453"/>
      <c r="I277" s="454"/>
      <c r="J277" s="454"/>
      <c r="K277" s="454"/>
    </row>
    <row r="278" spans="1:13" s="451" customFormat="1" x14ac:dyDescent="0.2">
      <c r="A278" s="443"/>
      <c r="B278" s="443"/>
      <c r="C278" s="443"/>
      <c r="D278" s="443" t="str">
        <f>D$52</f>
        <v>Forecast</v>
      </c>
      <c r="E278" s="443" t="str">
        <f t="shared" ref="E278:J278" si="46">E$52</f>
        <v>Corporate</v>
      </c>
      <c r="F278" s="443" t="str">
        <f t="shared" si="46"/>
        <v xml:space="preserve">Total </v>
      </c>
      <c r="G278" s="443" t="str">
        <f>G52</f>
        <v>Total</v>
      </c>
      <c r="H278" s="443" t="str">
        <f t="shared" si="46"/>
        <v>Prior Period</v>
      </c>
      <c r="I278" s="443" t="str">
        <f t="shared" si="46"/>
        <v>Over Heads</v>
      </c>
      <c r="J278" s="443" t="str">
        <f t="shared" si="46"/>
        <v>Forecast</v>
      </c>
      <c r="K278" s="94" t="str">
        <f>K$52</f>
        <v>Forecast Period</v>
      </c>
    </row>
    <row r="279" spans="1:13" s="451" customFormat="1" x14ac:dyDescent="0.2">
      <c r="A279" s="136" t="s">
        <v>292</v>
      </c>
      <c r="B279" s="55" t="s">
        <v>16</v>
      </c>
      <c r="C279" s="55" t="s">
        <v>17</v>
      </c>
      <c r="D279" s="440" t="str">
        <f>D$53</f>
        <v>Expenditures</v>
      </c>
      <c r="E279" s="440" t="str">
        <f t="shared" ref="E279:J279" si="47">E$53</f>
        <v>Overheads</v>
      </c>
      <c r="F279" s="440" t="str">
        <f t="shared" si="47"/>
        <v>CWIP Exp</v>
      </c>
      <c r="G279" s="440" t="str">
        <f>G53</f>
        <v>Plant Adds</v>
      </c>
      <c r="H279" s="440" t="str">
        <f t="shared" si="47"/>
        <v>CWIP Closed</v>
      </c>
      <c r="I279" s="440" t="str">
        <f t="shared" si="47"/>
        <v>Closed to PIS</v>
      </c>
      <c r="J279" s="440" t="str">
        <f t="shared" si="47"/>
        <v>Period CWIP</v>
      </c>
      <c r="K279" s="440" t="str">
        <f>K$53</f>
        <v>Incremental CWIP</v>
      </c>
    </row>
    <row r="280" spans="1:13" s="451" customFormat="1" x14ac:dyDescent="0.2">
      <c r="A280" s="99">
        <f>A274+1</f>
        <v>211</v>
      </c>
      <c r="B280" s="56" t="s">
        <v>6</v>
      </c>
      <c r="C280" s="424">
        <v>2017</v>
      </c>
      <c r="D280" s="445" t="s">
        <v>935</v>
      </c>
      <c r="E280" s="445" t="s">
        <v>935</v>
      </c>
      <c r="F280" s="445" t="s">
        <v>935</v>
      </c>
      <c r="G280" s="445" t="s">
        <v>935</v>
      </c>
      <c r="H280" s="445" t="s">
        <v>935</v>
      </c>
      <c r="I280" s="445" t="s">
        <v>935</v>
      </c>
      <c r="J280" s="101">
        <f>E45</f>
        <v>0</v>
      </c>
      <c r="K280" s="445" t="s">
        <v>935</v>
      </c>
    </row>
    <row r="281" spans="1:13" s="451" customFormat="1" x14ac:dyDescent="0.2">
      <c r="A281" s="99">
        <f>A280+1</f>
        <v>212</v>
      </c>
      <c r="B281" s="56" t="s">
        <v>7</v>
      </c>
      <c r="C281" s="424">
        <v>2018</v>
      </c>
      <c r="D281" s="394">
        <v>728</v>
      </c>
      <c r="E281" s="101">
        <f>D281*'[17]16-PlantAdditions'!$E$103</f>
        <v>54.6</v>
      </c>
      <c r="F281" s="101">
        <f>E281+D281</f>
        <v>782.6</v>
      </c>
      <c r="G281" s="394">
        <v>728</v>
      </c>
      <c r="H281" s="394">
        <v>0</v>
      </c>
      <c r="I281" s="101">
        <f>(G281-H281)*'[17]16-PlantAdditions'!$E$103</f>
        <v>54.6</v>
      </c>
      <c r="J281" s="101">
        <f>J280+F281-G281-I281</f>
        <v>0</v>
      </c>
      <c r="K281" s="101">
        <f>J281-$J$280</f>
        <v>0</v>
      </c>
    </row>
    <row r="282" spans="1:13" s="451" customFormat="1" x14ac:dyDescent="0.2">
      <c r="A282" s="99">
        <f t="shared" ref="A282:A305" si="48">A281+1</f>
        <v>213</v>
      </c>
      <c r="B282" s="51" t="s">
        <v>8</v>
      </c>
      <c r="C282" s="424">
        <v>2018</v>
      </c>
      <c r="D282" s="394">
        <v>1158</v>
      </c>
      <c r="E282" s="101">
        <f>D282*'[17]16-PlantAdditions'!$E$103</f>
        <v>86.85</v>
      </c>
      <c r="F282" s="101">
        <f t="shared" ref="F282:F304" si="49">E282+D282</f>
        <v>1244.8499999999999</v>
      </c>
      <c r="G282" s="394">
        <v>1158</v>
      </c>
      <c r="H282" s="394">
        <v>0</v>
      </c>
      <c r="I282" s="101">
        <f>(G282-H282)*'[17]16-PlantAdditions'!$E$103</f>
        <v>86.85</v>
      </c>
      <c r="J282" s="101">
        <f t="shared" ref="J282:J304" si="50">J281+F282-G282-I282</f>
        <v>0</v>
      </c>
      <c r="K282" s="101">
        <f t="shared" ref="K282:K304" si="51">J282-$J$280</f>
        <v>0</v>
      </c>
    </row>
    <row r="283" spans="1:13" s="451" customFormat="1" x14ac:dyDescent="0.2">
      <c r="A283" s="99">
        <f t="shared" si="48"/>
        <v>214</v>
      </c>
      <c r="B283" s="51" t="s">
        <v>18</v>
      </c>
      <c r="C283" s="424">
        <v>2018</v>
      </c>
      <c r="D283" s="394">
        <v>780</v>
      </c>
      <c r="E283" s="101">
        <f>D283*'[17]16-PlantAdditions'!$E$103</f>
        <v>58.5</v>
      </c>
      <c r="F283" s="101">
        <f t="shared" si="49"/>
        <v>838.5</v>
      </c>
      <c r="G283" s="394">
        <v>780</v>
      </c>
      <c r="H283" s="394">
        <v>0</v>
      </c>
      <c r="I283" s="101">
        <f>(G283-H283)*'[17]16-PlantAdditions'!$E$103</f>
        <v>58.5</v>
      </c>
      <c r="J283" s="101">
        <f t="shared" si="50"/>
        <v>0</v>
      </c>
      <c r="K283" s="101">
        <f t="shared" si="51"/>
        <v>0</v>
      </c>
    </row>
    <row r="284" spans="1:13" s="451" customFormat="1" x14ac:dyDescent="0.2">
      <c r="A284" s="99">
        <f t="shared" si="48"/>
        <v>215</v>
      </c>
      <c r="B284" s="56" t="s">
        <v>9</v>
      </c>
      <c r="C284" s="424">
        <v>2018</v>
      </c>
      <c r="D284" s="394">
        <v>0</v>
      </c>
      <c r="E284" s="101">
        <f>D284*'[17]16-PlantAdditions'!$E$103</f>
        <v>0</v>
      </c>
      <c r="F284" s="101">
        <f t="shared" si="49"/>
        <v>0</v>
      </c>
      <c r="G284" s="394">
        <v>0</v>
      </c>
      <c r="H284" s="394">
        <v>0</v>
      </c>
      <c r="I284" s="101">
        <f>(G284-H284)*'[17]16-PlantAdditions'!$E$103</f>
        <v>0</v>
      </c>
      <c r="J284" s="101">
        <f t="shared" si="50"/>
        <v>0</v>
      </c>
      <c r="K284" s="101">
        <f t="shared" si="51"/>
        <v>0</v>
      </c>
    </row>
    <row r="285" spans="1:13" s="451" customFormat="1" x14ac:dyDescent="0.2">
      <c r="A285" s="99">
        <f t="shared" si="48"/>
        <v>216</v>
      </c>
      <c r="B285" s="51" t="s">
        <v>10</v>
      </c>
      <c r="C285" s="424">
        <v>2018</v>
      </c>
      <c r="D285" s="394">
        <v>0</v>
      </c>
      <c r="E285" s="101">
        <f>D285*'[17]16-PlantAdditions'!$E$103</f>
        <v>0</v>
      </c>
      <c r="F285" s="101">
        <f t="shared" si="49"/>
        <v>0</v>
      </c>
      <c r="G285" s="394">
        <v>0</v>
      </c>
      <c r="H285" s="394">
        <v>0</v>
      </c>
      <c r="I285" s="101">
        <f>(G285-H285)*'[17]16-PlantAdditions'!$E$103</f>
        <v>0</v>
      </c>
      <c r="J285" s="101">
        <f t="shared" si="50"/>
        <v>0</v>
      </c>
      <c r="K285" s="101">
        <f t="shared" si="51"/>
        <v>0</v>
      </c>
      <c r="L285" s="443"/>
      <c r="M285" s="443"/>
    </row>
    <row r="286" spans="1:13" s="451" customFormat="1" x14ac:dyDescent="0.2">
      <c r="A286" s="99">
        <f t="shared" si="48"/>
        <v>217</v>
      </c>
      <c r="B286" s="51" t="s">
        <v>25</v>
      </c>
      <c r="C286" s="424">
        <v>2018</v>
      </c>
      <c r="D286" s="394">
        <v>334</v>
      </c>
      <c r="E286" s="101">
        <f>D286*'[17]16-PlantAdditions'!$E$103</f>
        <v>25.05</v>
      </c>
      <c r="F286" s="101">
        <f t="shared" si="49"/>
        <v>359.05</v>
      </c>
      <c r="G286" s="394">
        <v>334</v>
      </c>
      <c r="H286" s="394">
        <v>0</v>
      </c>
      <c r="I286" s="101">
        <f>(G286-H286)*'[17]16-PlantAdditions'!$E$103</f>
        <v>25.05</v>
      </c>
      <c r="J286" s="101">
        <f t="shared" si="50"/>
        <v>0</v>
      </c>
      <c r="K286" s="101">
        <f t="shared" si="51"/>
        <v>0</v>
      </c>
      <c r="L286" s="440"/>
      <c r="M286" s="440"/>
    </row>
    <row r="287" spans="1:13" s="451" customFormat="1" x14ac:dyDescent="0.2">
      <c r="A287" s="99">
        <f t="shared" si="48"/>
        <v>218</v>
      </c>
      <c r="B287" s="56" t="s">
        <v>11</v>
      </c>
      <c r="C287" s="424">
        <v>2018</v>
      </c>
      <c r="D287" s="394">
        <v>0</v>
      </c>
      <c r="E287" s="101">
        <f>D287*'[17]16-PlantAdditions'!$E$103</f>
        <v>0</v>
      </c>
      <c r="F287" s="101">
        <f t="shared" si="49"/>
        <v>0</v>
      </c>
      <c r="G287" s="394">
        <v>0</v>
      </c>
      <c r="H287" s="394">
        <v>0</v>
      </c>
      <c r="I287" s="101">
        <f>(G287-H287)*'[17]16-PlantAdditions'!$E$103</f>
        <v>0</v>
      </c>
      <c r="J287" s="101">
        <f t="shared" si="50"/>
        <v>0</v>
      </c>
      <c r="K287" s="101">
        <f t="shared" si="51"/>
        <v>0</v>
      </c>
    </row>
    <row r="288" spans="1:13" s="451" customFormat="1" x14ac:dyDescent="0.2">
      <c r="A288" s="99">
        <f t="shared" si="48"/>
        <v>219</v>
      </c>
      <c r="B288" s="51" t="s">
        <v>12</v>
      </c>
      <c r="C288" s="424">
        <v>2018</v>
      </c>
      <c r="D288" s="394">
        <v>0</v>
      </c>
      <c r="E288" s="101">
        <f>D288*'[17]16-PlantAdditions'!$E$103</f>
        <v>0</v>
      </c>
      <c r="F288" s="101">
        <f t="shared" si="49"/>
        <v>0</v>
      </c>
      <c r="G288" s="394">
        <v>0</v>
      </c>
      <c r="H288" s="394">
        <v>0</v>
      </c>
      <c r="I288" s="101">
        <f>(G288-H288)*'[17]16-PlantAdditions'!$E$103</f>
        <v>0</v>
      </c>
      <c r="J288" s="101">
        <f t="shared" si="50"/>
        <v>0</v>
      </c>
      <c r="K288" s="101">
        <f t="shared" si="51"/>
        <v>0</v>
      </c>
    </row>
    <row r="289" spans="1:11" s="451" customFormat="1" x14ac:dyDescent="0.2">
      <c r="A289" s="99">
        <f t="shared" si="48"/>
        <v>220</v>
      </c>
      <c r="B289" s="51" t="s">
        <v>13</v>
      </c>
      <c r="C289" s="424">
        <v>2018</v>
      </c>
      <c r="D289" s="394">
        <v>0</v>
      </c>
      <c r="E289" s="101">
        <f>D289*'[17]16-PlantAdditions'!$E$103</f>
        <v>0</v>
      </c>
      <c r="F289" s="101">
        <f t="shared" si="49"/>
        <v>0</v>
      </c>
      <c r="G289" s="394">
        <v>0</v>
      </c>
      <c r="H289" s="394">
        <v>0</v>
      </c>
      <c r="I289" s="101">
        <f>(G289-H289)*'[17]16-PlantAdditions'!$E$103</f>
        <v>0</v>
      </c>
      <c r="J289" s="101">
        <f t="shared" si="50"/>
        <v>0</v>
      </c>
      <c r="K289" s="101">
        <f t="shared" si="51"/>
        <v>0</v>
      </c>
    </row>
    <row r="290" spans="1:11" s="451" customFormat="1" x14ac:dyDescent="0.2">
      <c r="A290" s="99">
        <f t="shared" si="48"/>
        <v>221</v>
      </c>
      <c r="B290" s="56" t="s">
        <v>15</v>
      </c>
      <c r="C290" s="424">
        <v>2018</v>
      </c>
      <c r="D290" s="394">
        <v>0</v>
      </c>
      <c r="E290" s="101">
        <f>D290*'[17]16-PlantAdditions'!$E$103</f>
        <v>0</v>
      </c>
      <c r="F290" s="101">
        <f t="shared" si="49"/>
        <v>0</v>
      </c>
      <c r="G290" s="394">
        <v>0</v>
      </c>
      <c r="H290" s="394">
        <v>0</v>
      </c>
      <c r="I290" s="101">
        <f>(G290-H290)*'[17]16-PlantAdditions'!$E$103</f>
        <v>0</v>
      </c>
      <c r="J290" s="101">
        <f t="shared" si="50"/>
        <v>0</v>
      </c>
      <c r="K290" s="101">
        <f t="shared" si="51"/>
        <v>0</v>
      </c>
    </row>
    <row r="291" spans="1:11" s="451" customFormat="1" x14ac:dyDescent="0.2">
      <c r="A291" s="99">
        <f t="shared" si="48"/>
        <v>222</v>
      </c>
      <c r="B291" s="56" t="s">
        <v>14</v>
      </c>
      <c r="C291" s="424">
        <v>2018</v>
      </c>
      <c r="D291" s="394">
        <v>0</v>
      </c>
      <c r="E291" s="101">
        <f>D291*'[17]16-PlantAdditions'!$E$103</f>
        <v>0</v>
      </c>
      <c r="F291" s="101">
        <f t="shared" si="49"/>
        <v>0</v>
      </c>
      <c r="G291" s="394">
        <v>0</v>
      </c>
      <c r="H291" s="394">
        <v>0</v>
      </c>
      <c r="I291" s="101">
        <f>(G291-H291)*'[17]16-PlantAdditions'!$E$103</f>
        <v>0</v>
      </c>
      <c r="J291" s="101">
        <f t="shared" si="50"/>
        <v>0</v>
      </c>
      <c r="K291" s="101">
        <f t="shared" si="51"/>
        <v>0</v>
      </c>
    </row>
    <row r="292" spans="1:11" s="451" customFormat="1" x14ac:dyDescent="0.2">
      <c r="A292" s="99">
        <f t="shared" si="48"/>
        <v>223</v>
      </c>
      <c r="B292" s="56" t="s">
        <v>6</v>
      </c>
      <c r="C292" s="424">
        <v>2018</v>
      </c>
      <c r="D292" s="394">
        <v>0</v>
      </c>
      <c r="E292" s="101">
        <f>D292*'[17]16-PlantAdditions'!$E$103</f>
        <v>0</v>
      </c>
      <c r="F292" s="101">
        <f t="shared" si="49"/>
        <v>0</v>
      </c>
      <c r="G292" s="394">
        <v>0</v>
      </c>
      <c r="H292" s="394">
        <v>0</v>
      </c>
      <c r="I292" s="101">
        <f>(G292-H292)*'[17]16-PlantAdditions'!$E$103</f>
        <v>0</v>
      </c>
      <c r="J292" s="101">
        <f t="shared" si="50"/>
        <v>0</v>
      </c>
      <c r="K292" s="101">
        <f t="shared" si="51"/>
        <v>0</v>
      </c>
    </row>
    <row r="293" spans="1:11" s="451" customFormat="1" x14ac:dyDescent="0.2">
      <c r="A293" s="99">
        <f t="shared" si="48"/>
        <v>224</v>
      </c>
      <c r="B293" s="56" t="s">
        <v>7</v>
      </c>
      <c r="C293" s="424">
        <v>2019</v>
      </c>
      <c r="D293" s="394">
        <v>0</v>
      </c>
      <c r="E293" s="101">
        <f>D293*'[17]16-PlantAdditions'!$E$103</f>
        <v>0</v>
      </c>
      <c r="F293" s="101">
        <f t="shared" si="49"/>
        <v>0</v>
      </c>
      <c r="G293" s="394">
        <v>0</v>
      </c>
      <c r="H293" s="394">
        <v>0</v>
      </c>
      <c r="I293" s="101">
        <f>(G293-H293)*'[17]16-PlantAdditions'!$E$103</f>
        <v>0</v>
      </c>
      <c r="J293" s="101">
        <f t="shared" si="50"/>
        <v>0</v>
      </c>
      <c r="K293" s="101">
        <f t="shared" si="51"/>
        <v>0</v>
      </c>
    </row>
    <row r="294" spans="1:11" s="451" customFormat="1" x14ac:dyDescent="0.2">
      <c r="A294" s="99">
        <f t="shared" si="48"/>
        <v>225</v>
      </c>
      <c r="B294" s="51" t="s">
        <v>8</v>
      </c>
      <c r="C294" s="424">
        <v>2019</v>
      </c>
      <c r="D294" s="394">
        <v>0</v>
      </c>
      <c r="E294" s="101">
        <f>D294*'[17]16-PlantAdditions'!$E$103</f>
        <v>0</v>
      </c>
      <c r="F294" s="101">
        <f t="shared" si="49"/>
        <v>0</v>
      </c>
      <c r="G294" s="394">
        <v>0</v>
      </c>
      <c r="H294" s="394">
        <v>0</v>
      </c>
      <c r="I294" s="101">
        <f>(G294-H294)*'[17]16-PlantAdditions'!$E$103</f>
        <v>0</v>
      </c>
      <c r="J294" s="101">
        <f t="shared" si="50"/>
        <v>0</v>
      </c>
      <c r="K294" s="101">
        <f t="shared" si="51"/>
        <v>0</v>
      </c>
    </row>
    <row r="295" spans="1:11" s="451" customFormat="1" x14ac:dyDescent="0.2">
      <c r="A295" s="99">
        <f t="shared" si="48"/>
        <v>226</v>
      </c>
      <c r="B295" s="51" t="s">
        <v>18</v>
      </c>
      <c r="C295" s="424">
        <v>2019</v>
      </c>
      <c r="D295" s="394">
        <v>0</v>
      </c>
      <c r="E295" s="101">
        <f>D295*'[17]16-PlantAdditions'!$E$103</f>
        <v>0</v>
      </c>
      <c r="F295" s="101">
        <f t="shared" si="49"/>
        <v>0</v>
      </c>
      <c r="G295" s="394">
        <v>0</v>
      </c>
      <c r="H295" s="394">
        <v>0</v>
      </c>
      <c r="I295" s="101">
        <f>(G295-H295)*'[17]16-PlantAdditions'!$E$103</f>
        <v>0</v>
      </c>
      <c r="J295" s="101">
        <f t="shared" si="50"/>
        <v>0</v>
      </c>
      <c r="K295" s="101">
        <f t="shared" si="51"/>
        <v>0</v>
      </c>
    </row>
    <row r="296" spans="1:11" s="451" customFormat="1" x14ac:dyDescent="0.2">
      <c r="A296" s="99">
        <f t="shared" si="48"/>
        <v>227</v>
      </c>
      <c r="B296" s="56" t="s">
        <v>9</v>
      </c>
      <c r="C296" s="424">
        <v>2019</v>
      </c>
      <c r="D296" s="394">
        <v>0</v>
      </c>
      <c r="E296" s="101">
        <f>D296*'[17]16-PlantAdditions'!$E$103</f>
        <v>0</v>
      </c>
      <c r="F296" s="101">
        <f t="shared" si="49"/>
        <v>0</v>
      </c>
      <c r="G296" s="394">
        <v>0</v>
      </c>
      <c r="H296" s="394">
        <v>0</v>
      </c>
      <c r="I296" s="101">
        <f>(G296-H296)*'[17]16-PlantAdditions'!$E$103</f>
        <v>0</v>
      </c>
      <c r="J296" s="101">
        <f t="shared" si="50"/>
        <v>0</v>
      </c>
      <c r="K296" s="101">
        <f t="shared" si="51"/>
        <v>0</v>
      </c>
    </row>
    <row r="297" spans="1:11" s="451" customFormat="1" x14ac:dyDescent="0.2">
      <c r="A297" s="99">
        <f t="shared" si="48"/>
        <v>228</v>
      </c>
      <c r="B297" s="51" t="s">
        <v>10</v>
      </c>
      <c r="C297" s="424">
        <v>2019</v>
      </c>
      <c r="D297" s="394">
        <v>0</v>
      </c>
      <c r="E297" s="101">
        <f>D297*'[17]16-PlantAdditions'!$E$103</f>
        <v>0</v>
      </c>
      <c r="F297" s="101">
        <f t="shared" si="49"/>
        <v>0</v>
      </c>
      <c r="G297" s="394">
        <v>0</v>
      </c>
      <c r="H297" s="394">
        <v>0</v>
      </c>
      <c r="I297" s="101">
        <f>(G297-H297)*'[17]16-PlantAdditions'!$E$103</f>
        <v>0</v>
      </c>
      <c r="J297" s="101">
        <f t="shared" si="50"/>
        <v>0</v>
      </c>
      <c r="K297" s="101">
        <f t="shared" si="51"/>
        <v>0</v>
      </c>
    </row>
    <row r="298" spans="1:11" s="451" customFormat="1" x14ac:dyDescent="0.2">
      <c r="A298" s="99">
        <f t="shared" si="48"/>
        <v>229</v>
      </c>
      <c r="B298" s="51" t="s">
        <v>25</v>
      </c>
      <c r="C298" s="424">
        <v>2019</v>
      </c>
      <c r="D298" s="394">
        <v>0</v>
      </c>
      <c r="E298" s="101">
        <f>D298*'[17]16-PlantAdditions'!$E$103</f>
        <v>0</v>
      </c>
      <c r="F298" s="101">
        <f t="shared" si="49"/>
        <v>0</v>
      </c>
      <c r="G298" s="394">
        <v>0</v>
      </c>
      <c r="H298" s="394">
        <v>0</v>
      </c>
      <c r="I298" s="101">
        <f>(G298-H298)*'[17]16-PlantAdditions'!$E$103</f>
        <v>0</v>
      </c>
      <c r="J298" s="101">
        <f t="shared" si="50"/>
        <v>0</v>
      </c>
      <c r="K298" s="101">
        <f t="shared" si="51"/>
        <v>0</v>
      </c>
    </row>
    <row r="299" spans="1:11" s="451" customFormat="1" x14ac:dyDescent="0.2">
      <c r="A299" s="99">
        <f t="shared" si="48"/>
        <v>230</v>
      </c>
      <c r="B299" s="56" t="s">
        <v>11</v>
      </c>
      <c r="C299" s="424">
        <v>2019</v>
      </c>
      <c r="D299" s="394">
        <v>0</v>
      </c>
      <c r="E299" s="101">
        <f>D299*'[17]16-PlantAdditions'!$E$103</f>
        <v>0</v>
      </c>
      <c r="F299" s="101">
        <f t="shared" si="49"/>
        <v>0</v>
      </c>
      <c r="G299" s="394">
        <v>0</v>
      </c>
      <c r="H299" s="394">
        <v>0</v>
      </c>
      <c r="I299" s="101">
        <f>(G299-H299)*'[17]16-PlantAdditions'!$E$103</f>
        <v>0</v>
      </c>
      <c r="J299" s="101">
        <f t="shared" si="50"/>
        <v>0</v>
      </c>
      <c r="K299" s="101">
        <f t="shared" si="51"/>
        <v>0</v>
      </c>
    </row>
    <row r="300" spans="1:11" s="451" customFormat="1" x14ac:dyDescent="0.2">
      <c r="A300" s="99">
        <f t="shared" si="48"/>
        <v>231</v>
      </c>
      <c r="B300" s="51" t="s">
        <v>12</v>
      </c>
      <c r="C300" s="424">
        <v>2019</v>
      </c>
      <c r="D300" s="394">
        <v>0</v>
      </c>
      <c r="E300" s="101">
        <f>D300*'[17]16-PlantAdditions'!$E$103</f>
        <v>0</v>
      </c>
      <c r="F300" s="101">
        <f t="shared" si="49"/>
        <v>0</v>
      </c>
      <c r="G300" s="394">
        <v>0</v>
      </c>
      <c r="H300" s="394">
        <v>0</v>
      </c>
      <c r="I300" s="101">
        <f>(G300-H300)*'[17]16-PlantAdditions'!$E$103</f>
        <v>0</v>
      </c>
      <c r="J300" s="101">
        <f t="shared" si="50"/>
        <v>0</v>
      </c>
      <c r="K300" s="101">
        <f t="shared" si="51"/>
        <v>0</v>
      </c>
    </row>
    <row r="301" spans="1:11" s="451" customFormat="1" x14ac:dyDescent="0.2">
      <c r="A301" s="99">
        <f t="shared" si="48"/>
        <v>232</v>
      </c>
      <c r="B301" s="51" t="s">
        <v>13</v>
      </c>
      <c r="C301" s="424">
        <v>2019</v>
      </c>
      <c r="D301" s="394">
        <v>0</v>
      </c>
      <c r="E301" s="101">
        <f>D301*'[17]16-PlantAdditions'!$E$103</f>
        <v>0</v>
      </c>
      <c r="F301" s="101">
        <f t="shared" si="49"/>
        <v>0</v>
      </c>
      <c r="G301" s="394">
        <v>0</v>
      </c>
      <c r="H301" s="394">
        <v>0</v>
      </c>
      <c r="I301" s="101">
        <f>(G301-H301)*'[17]16-PlantAdditions'!$E$103</f>
        <v>0</v>
      </c>
      <c r="J301" s="101">
        <f t="shared" si="50"/>
        <v>0</v>
      </c>
      <c r="K301" s="101">
        <f t="shared" si="51"/>
        <v>0</v>
      </c>
    </row>
    <row r="302" spans="1:11" s="451" customFormat="1" x14ac:dyDescent="0.2">
      <c r="A302" s="99">
        <f t="shared" si="48"/>
        <v>233</v>
      </c>
      <c r="B302" s="51" t="s">
        <v>15</v>
      </c>
      <c r="C302" s="424">
        <v>2019</v>
      </c>
      <c r="D302" s="394">
        <v>0</v>
      </c>
      <c r="E302" s="101">
        <f>D302*'[17]16-PlantAdditions'!$E$103</f>
        <v>0</v>
      </c>
      <c r="F302" s="101">
        <f t="shared" si="49"/>
        <v>0</v>
      </c>
      <c r="G302" s="394">
        <v>0</v>
      </c>
      <c r="H302" s="394">
        <v>0</v>
      </c>
      <c r="I302" s="101">
        <f>(G302-H302)*'[17]16-PlantAdditions'!$E$103</f>
        <v>0</v>
      </c>
      <c r="J302" s="101">
        <f t="shared" si="50"/>
        <v>0</v>
      </c>
      <c r="K302" s="101">
        <f t="shared" si="51"/>
        <v>0</v>
      </c>
    </row>
    <row r="303" spans="1:11" s="451" customFormat="1" x14ac:dyDescent="0.2">
      <c r="A303" s="99">
        <f t="shared" si="48"/>
        <v>234</v>
      </c>
      <c r="B303" s="51" t="s">
        <v>14</v>
      </c>
      <c r="C303" s="424">
        <v>2019</v>
      </c>
      <c r="D303" s="394">
        <v>0</v>
      </c>
      <c r="E303" s="101">
        <f>D303*'[17]16-PlantAdditions'!$E$103</f>
        <v>0</v>
      </c>
      <c r="F303" s="101">
        <f t="shared" si="49"/>
        <v>0</v>
      </c>
      <c r="G303" s="394">
        <v>0</v>
      </c>
      <c r="H303" s="394">
        <v>0</v>
      </c>
      <c r="I303" s="101">
        <f>(G303-H303)*'[17]16-PlantAdditions'!$E$103</f>
        <v>0</v>
      </c>
      <c r="J303" s="101">
        <f t="shared" si="50"/>
        <v>0</v>
      </c>
      <c r="K303" s="101">
        <f t="shared" si="51"/>
        <v>0</v>
      </c>
    </row>
    <row r="304" spans="1:11" s="451" customFormat="1" x14ac:dyDescent="0.2">
      <c r="A304" s="99">
        <f t="shared" si="48"/>
        <v>235</v>
      </c>
      <c r="B304" s="51" t="s">
        <v>6</v>
      </c>
      <c r="C304" s="424">
        <v>2019</v>
      </c>
      <c r="D304" s="394">
        <v>0</v>
      </c>
      <c r="E304" s="101">
        <f>D304*'[17]16-PlantAdditions'!$E$103</f>
        <v>0</v>
      </c>
      <c r="F304" s="101">
        <f t="shared" si="49"/>
        <v>0</v>
      </c>
      <c r="G304" s="394">
        <v>0</v>
      </c>
      <c r="H304" s="394">
        <v>0</v>
      </c>
      <c r="I304" s="101">
        <f>(G304-H304)*'[17]16-PlantAdditions'!$E$103</f>
        <v>0</v>
      </c>
      <c r="J304" s="101">
        <f t="shared" si="50"/>
        <v>0</v>
      </c>
      <c r="K304" s="109">
        <f t="shared" si="51"/>
        <v>0</v>
      </c>
    </row>
    <row r="305" spans="1:12" s="451" customFormat="1" x14ac:dyDescent="0.2">
      <c r="A305" s="99">
        <f t="shared" si="48"/>
        <v>236</v>
      </c>
      <c r="B305"/>
      <c r="C305" s="448" t="s">
        <v>953</v>
      </c>
      <c r="D305"/>
      <c r="E305"/>
      <c r="F305"/>
      <c r="G305"/>
      <c r="H305"/>
      <c r="I305"/>
      <c r="J305"/>
      <c r="K305" s="449">
        <f>AVERAGE(K292:K304)</f>
        <v>0</v>
      </c>
    </row>
    <row r="306" spans="1:12" s="451" customFormat="1" x14ac:dyDescent="0.2">
      <c r="A306" s="99"/>
      <c r="B306"/>
      <c r="C306" s="448"/>
      <c r="D306"/>
      <c r="E306"/>
      <c r="F306"/>
      <c r="G306"/>
      <c r="H306"/>
      <c r="I306"/>
      <c r="J306"/>
      <c r="K306" s="449"/>
    </row>
    <row r="307" spans="1:12" s="451" customFormat="1" x14ac:dyDescent="0.2">
      <c r="B307" s="452" t="s">
        <v>973</v>
      </c>
      <c r="D307" s="574" t="s">
        <v>932</v>
      </c>
      <c r="E307" s="574"/>
    </row>
    <row r="308" spans="1:12" s="451" customFormat="1" x14ac:dyDescent="0.2">
      <c r="A308" s="440"/>
      <c r="B308" s="440"/>
      <c r="C308" s="440"/>
      <c r="D308" s="440" t="s">
        <v>152</v>
      </c>
      <c r="E308" s="440" t="s">
        <v>153</v>
      </c>
      <c r="F308" s="440" t="s">
        <v>154</v>
      </c>
      <c r="G308" s="440" t="s">
        <v>155</v>
      </c>
      <c r="H308" s="440" t="s">
        <v>904</v>
      </c>
      <c r="I308" s="440" t="s">
        <v>905</v>
      </c>
      <c r="J308" s="440" t="s">
        <v>920</v>
      </c>
      <c r="K308" s="440" t="s">
        <v>921</v>
      </c>
    </row>
    <row r="309" spans="1:12" s="451" customFormat="1" ht="38.25" x14ac:dyDescent="0.2">
      <c r="D309" s="453"/>
      <c r="E309" s="454" t="s">
        <v>956</v>
      </c>
      <c r="F309" s="445" t="s">
        <v>957</v>
      </c>
      <c r="G309" s="455"/>
      <c r="H309" s="453"/>
      <c r="I309" s="454" t="s">
        <v>958</v>
      </c>
      <c r="J309" s="454" t="s">
        <v>959</v>
      </c>
      <c r="K309" s="454" t="s">
        <v>960</v>
      </c>
    </row>
    <row r="310" spans="1:12" s="451" customFormat="1" x14ac:dyDescent="0.2">
      <c r="D310" s="453"/>
      <c r="E310" s="453"/>
      <c r="F310" s="453"/>
      <c r="G310" s="94" t="str">
        <f>G51</f>
        <v>Unloaded</v>
      </c>
      <c r="H310" s="453"/>
      <c r="I310" s="453"/>
    </row>
    <row r="311" spans="1:12" s="451" customFormat="1" x14ac:dyDescent="0.2">
      <c r="A311" s="443"/>
      <c r="B311" s="443"/>
      <c r="C311" s="443"/>
      <c r="D311" s="443" t="str">
        <f>D$52</f>
        <v>Forecast</v>
      </c>
      <c r="E311" s="443" t="str">
        <f t="shared" ref="E311:J311" si="52">E$52</f>
        <v>Corporate</v>
      </c>
      <c r="F311" s="443" t="str">
        <f t="shared" si="52"/>
        <v xml:space="preserve">Total </v>
      </c>
      <c r="G311" s="94" t="str">
        <f>G52</f>
        <v>Total</v>
      </c>
      <c r="H311" s="443" t="str">
        <f t="shared" si="52"/>
        <v>Prior Period</v>
      </c>
      <c r="I311" s="443" t="str">
        <f t="shared" si="52"/>
        <v>Over Heads</v>
      </c>
      <c r="J311" s="443" t="str">
        <f t="shared" si="52"/>
        <v>Forecast</v>
      </c>
      <c r="K311" s="94" t="str">
        <f>K$52</f>
        <v>Forecast Period</v>
      </c>
    </row>
    <row r="312" spans="1:12" s="451" customFormat="1" x14ac:dyDescent="0.2">
      <c r="A312" s="136" t="s">
        <v>292</v>
      </c>
      <c r="B312" s="55" t="s">
        <v>16</v>
      </c>
      <c r="C312" s="55" t="s">
        <v>17</v>
      </c>
      <c r="D312" s="440" t="str">
        <f>D$53</f>
        <v>Expenditures</v>
      </c>
      <c r="E312" s="440" t="str">
        <f t="shared" ref="E312:J312" si="53">E$53</f>
        <v>Overheads</v>
      </c>
      <c r="F312" s="440" t="str">
        <f t="shared" si="53"/>
        <v>CWIP Exp</v>
      </c>
      <c r="G312" s="98" t="str">
        <f>G53</f>
        <v>Plant Adds</v>
      </c>
      <c r="H312" s="440" t="str">
        <f t="shared" si="53"/>
        <v>CWIP Closed</v>
      </c>
      <c r="I312" s="440" t="str">
        <f t="shared" si="53"/>
        <v>Closed to PIS</v>
      </c>
      <c r="J312" s="440" t="str">
        <f t="shared" si="53"/>
        <v>Period CWIP</v>
      </c>
      <c r="K312" s="440" t="str">
        <f>K$53</f>
        <v>Incremental CWIP</v>
      </c>
    </row>
    <row r="313" spans="1:12" s="451" customFormat="1" x14ac:dyDescent="0.2">
      <c r="A313" s="99">
        <f>A305+1</f>
        <v>237</v>
      </c>
      <c r="B313" s="56" t="s">
        <v>6</v>
      </c>
      <c r="C313" s="424">
        <v>2017</v>
      </c>
      <c r="D313" s="445" t="s">
        <v>935</v>
      </c>
      <c r="E313" s="445" t="s">
        <v>935</v>
      </c>
      <c r="F313" s="445" t="s">
        <v>935</v>
      </c>
      <c r="G313" s="445" t="s">
        <v>935</v>
      </c>
      <c r="H313" s="445" t="s">
        <v>935</v>
      </c>
      <c r="I313" s="445" t="s">
        <v>935</v>
      </c>
      <c r="J313" s="107">
        <f>F45</f>
        <v>46589551</v>
      </c>
      <c r="K313" s="445" t="s">
        <v>935</v>
      </c>
    </row>
    <row r="314" spans="1:12" s="451" customFormat="1" x14ac:dyDescent="0.2">
      <c r="A314" s="99">
        <f>A313+1</f>
        <v>238</v>
      </c>
      <c r="B314" s="56" t="s">
        <v>7</v>
      </c>
      <c r="C314" s="424">
        <v>2018</v>
      </c>
      <c r="D314" s="457">
        <v>6150624.7251600064</v>
      </c>
      <c r="E314" s="101">
        <f>D314*'[17]16-PlantAdditions'!$E$103</f>
        <v>461296.85438700049</v>
      </c>
      <c r="F314" s="101">
        <f>E314+D314</f>
        <v>6611921.5795470066</v>
      </c>
      <c r="G314" s="394">
        <v>4835162.0016000001</v>
      </c>
      <c r="H314" s="394">
        <v>4098416.9471999994</v>
      </c>
      <c r="I314" s="101">
        <f>(G314-H314)*'[17]16-PlantAdditions'!$E$103</f>
        <v>55255.87908000005</v>
      </c>
      <c r="J314" s="107">
        <f>J313+F314-G314-I314</f>
        <v>48311054.698867008</v>
      </c>
      <c r="K314" s="101">
        <f>J314-$J$313</f>
        <v>1721503.6988670081</v>
      </c>
      <c r="L314" s="443"/>
    </row>
    <row r="315" spans="1:12" s="451" customFormat="1" x14ac:dyDescent="0.2">
      <c r="A315" s="99">
        <f t="shared" ref="A315:A338" si="54">A314+1</f>
        <v>239</v>
      </c>
      <c r="B315" s="51" t="s">
        <v>8</v>
      </c>
      <c r="C315" s="424">
        <v>2018</v>
      </c>
      <c r="D315" s="457">
        <v>6764841.5648300042</v>
      </c>
      <c r="E315" s="101">
        <f>D315*'[17]16-PlantAdditions'!$E$103</f>
        <v>507363.11736225028</v>
      </c>
      <c r="F315" s="101">
        <f t="shared" ref="F315:F336" si="55">E315+D315</f>
        <v>7272204.6821922548</v>
      </c>
      <c r="G315" s="394">
        <v>716614.37999999966</v>
      </c>
      <c r="H315" s="394">
        <v>0</v>
      </c>
      <c r="I315" s="101">
        <f>(G315-H315)*'[17]16-PlantAdditions'!$E$103</f>
        <v>53746.078499999974</v>
      </c>
      <c r="J315" s="107">
        <f t="shared" ref="J315:J337" si="56">J314+F315-G315-I315</f>
        <v>54812898.922559254</v>
      </c>
      <c r="K315" s="101">
        <f t="shared" ref="K315:K337" si="57">J315-$J$313</f>
        <v>8223347.9225592539</v>
      </c>
      <c r="L315" s="443"/>
    </row>
    <row r="316" spans="1:12" s="451" customFormat="1" x14ac:dyDescent="0.2">
      <c r="A316" s="99">
        <f t="shared" si="54"/>
        <v>240</v>
      </c>
      <c r="B316" s="51" t="s">
        <v>18</v>
      </c>
      <c r="C316" s="424">
        <v>2018</v>
      </c>
      <c r="D316" s="457">
        <v>6728747.118437971</v>
      </c>
      <c r="E316" s="101">
        <f>D316*'[17]16-PlantAdditions'!$E$103</f>
        <v>504656.03388284781</v>
      </c>
      <c r="F316" s="101">
        <f t="shared" si="55"/>
        <v>7233403.152320819</v>
      </c>
      <c r="G316" s="394">
        <v>428364.69119999994</v>
      </c>
      <c r="H316" s="394">
        <v>0</v>
      </c>
      <c r="I316" s="101">
        <f>(G316-H316)*'[17]16-PlantAdditions'!$E$103</f>
        <v>32127.351839999996</v>
      </c>
      <c r="J316" s="107">
        <f t="shared" si="56"/>
        <v>61585810.031840071</v>
      </c>
      <c r="K316" s="101">
        <f t="shared" si="57"/>
        <v>14996259.031840071</v>
      </c>
      <c r="L316" s="443"/>
    </row>
    <row r="317" spans="1:12" s="451" customFormat="1" x14ac:dyDescent="0.2">
      <c r="A317" s="99">
        <f t="shared" si="54"/>
        <v>241</v>
      </c>
      <c r="B317" s="56" t="s">
        <v>9</v>
      </c>
      <c r="C317" s="424">
        <v>2018</v>
      </c>
      <c r="D317" s="457">
        <v>2637958.1582040256</v>
      </c>
      <c r="E317" s="101">
        <f>D317*'[17]16-PlantAdditions'!$E$103</f>
        <v>197846.86186530191</v>
      </c>
      <c r="F317" s="101">
        <f t="shared" si="55"/>
        <v>2835805.0200693277</v>
      </c>
      <c r="G317" s="394">
        <v>36000</v>
      </c>
      <c r="H317" s="394">
        <v>0</v>
      </c>
      <c r="I317" s="101">
        <f>(G317-H317)*'[17]16-PlantAdditions'!$E$103</f>
        <v>2700</v>
      </c>
      <c r="J317" s="107">
        <f t="shared" si="56"/>
        <v>64382915.051909402</v>
      </c>
      <c r="K317" s="101">
        <f t="shared" si="57"/>
        <v>17793364.051909402</v>
      </c>
      <c r="L317" s="440"/>
    </row>
    <row r="318" spans="1:12" s="451" customFormat="1" x14ac:dyDescent="0.2">
      <c r="A318" s="99">
        <f t="shared" si="54"/>
        <v>242</v>
      </c>
      <c r="B318" s="51" t="s">
        <v>10</v>
      </c>
      <c r="C318" s="424">
        <v>2018</v>
      </c>
      <c r="D318" s="457">
        <v>7602991.4540854283</v>
      </c>
      <c r="E318" s="101">
        <f>D318*'[17]16-PlantAdditions'!$E$103</f>
        <v>570224.35905640712</v>
      </c>
      <c r="F318" s="101">
        <f t="shared" si="55"/>
        <v>8173215.8131418359</v>
      </c>
      <c r="G318" s="394">
        <v>0</v>
      </c>
      <c r="H318" s="394">
        <v>0</v>
      </c>
      <c r="I318" s="101">
        <f>(G318-H318)*'[17]16-PlantAdditions'!$E$103</f>
        <v>0</v>
      </c>
      <c r="J318" s="107">
        <f t="shared" si="56"/>
        <v>72556130.86505124</v>
      </c>
      <c r="K318" s="101">
        <f t="shared" si="57"/>
        <v>25966579.86505124</v>
      </c>
    </row>
    <row r="319" spans="1:12" s="451" customFormat="1" x14ac:dyDescent="0.2">
      <c r="A319" s="99">
        <f t="shared" si="54"/>
        <v>243</v>
      </c>
      <c r="B319" s="51" t="s">
        <v>25</v>
      </c>
      <c r="C319" s="424">
        <v>2018</v>
      </c>
      <c r="D319" s="457">
        <v>9514013.2149350662</v>
      </c>
      <c r="E319" s="101">
        <f>D319*'[17]16-PlantAdditions'!$E$103</f>
        <v>713550.99112012994</v>
      </c>
      <c r="F319" s="101">
        <f t="shared" si="55"/>
        <v>10227564.206055196</v>
      </c>
      <c r="G319" s="394">
        <v>0</v>
      </c>
      <c r="H319" s="394">
        <v>0</v>
      </c>
      <c r="I319" s="101">
        <f>(G319-H319)*'[17]16-PlantAdditions'!$E$103</f>
        <v>0</v>
      </c>
      <c r="J319" s="107">
        <f t="shared" si="56"/>
        <v>82783695.071106434</v>
      </c>
      <c r="K319" s="101">
        <f t="shared" si="57"/>
        <v>36194144.071106434</v>
      </c>
    </row>
    <row r="320" spans="1:12" s="451" customFormat="1" x14ac:dyDescent="0.2">
      <c r="A320" s="99">
        <f t="shared" si="54"/>
        <v>244</v>
      </c>
      <c r="B320" s="56" t="s">
        <v>11</v>
      </c>
      <c r="C320" s="424">
        <v>2018</v>
      </c>
      <c r="D320" s="457">
        <v>4760538.4822819205</v>
      </c>
      <c r="E320" s="101">
        <f>D320*'[17]16-PlantAdditions'!$E$103</f>
        <v>357040.38617114403</v>
      </c>
      <c r="F320" s="101">
        <f t="shared" si="55"/>
        <v>5117578.8684530649</v>
      </c>
      <c r="G320" s="394">
        <v>0</v>
      </c>
      <c r="H320" s="394">
        <v>0</v>
      </c>
      <c r="I320" s="101">
        <f>(G320-H320)*'[17]16-PlantAdditions'!$E$103</f>
        <v>0</v>
      </c>
      <c r="J320" s="107">
        <f t="shared" si="56"/>
        <v>87901273.939559504</v>
      </c>
      <c r="K320" s="101">
        <f t="shared" si="57"/>
        <v>41311722.939559504</v>
      </c>
    </row>
    <row r="321" spans="1:11" s="451" customFormat="1" x14ac:dyDescent="0.2">
      <c r="A321" s="99">
        <f t="shared" si="54"/>
        <v>245</v>
      </c>
      <c r="B321" s="51" t="s">
        <v>12</v>
      </c>
      <c r="C321" s="424">
        <v>2018</v>
      </c>
      <c r="D321" s="457">
        <v>7813914.9122097539</v>
      </c>
      <c r="E321" s="101">
        <f>D321*'[17]16-PlantAdditions'!$E$103</f>
        <v>586043.61841573147</v>
      </c>
      <c r="F321" s="101">
        <f t="shared" si="55"/>
        <v>8399958.5306254849</v>
      </c>
      <c r="G321" s="394">
        <v>0</v>
      </c>
      <c r="H321" s="394">
        <v>0</v>
      </c>
      <c r="I321" s="101">
        <f>(G321-H321)*'[17]16-PlantAdditions'!$E$103</f>
        <v>0</v>
      </c>
      <c r="J321" s="107">
        <f t="shared" si="56"/>
        <v>96301232.470184982</v>
      </c>
      <c r="K321" s="101">
        <f t="shared" si="57"/>
        <v>49711681.470184982</v>
      </c>
    </row>
    <row r="322" spans="1:11" s="451" customFormat="1" x14ac:dyDescent="0.2">
      <c r="A322" s="99">
        <f t="shared" si="54"/>
        <v>246</v>
      </c>
      <c r="B322" s="51" t="s">
        <v>13</v>
      </c>
      <c r="C322" s="424">
        <v>2018</v>
      </c>
      <c r="D322" s="457">
        <v>4860922.1068712259</v>
      </c>
      <c r="E322" s="101">
        <f>D322*'[17]16-PlantAdditions'!$E$103</f>
        <v>364569.15801534191</v>
      </c>
      <c r="F322" s="101">
        <f t="shared" si="55"/>
        <v>5225491.2648865674</v>
      </c>
      <c r="G322" s="394">
        <v>0</v>
      </c>
      <c r="H322" s="394">
        <v>0</v>
      </c>
      <c r="I322" s="101">
        <f>(G322-H322)*'[17]16-PlantAdditions'!$E$103</f>
        <v>0</v>
      </c>
      <c r="J322" s="107">
        <f t="shared" si="56"/>
        <v>101526723.73507155</v>
      </c>
      <c r="K322" s="101">
        <f t="shared" si="57"/>
        <v>54937172.735071555</v>
      </c>
    </row>
    <row r="323" spans="1:11" s="451" customFormat="1" x14ac:dyDescent="0.2">
      <c r="A323" s="99">
        <f t="shared" si="54"/>
        <v>247</v>
      </c>
      <c r="B323" s="56" t="s">
        <v>15</v>
      </c>
      <c r="C323" s="424">
        <v>2018</v>
      </c>
      <c r="D323" s="457">
        <v>5232286.1741804592</v>
      </c>
      <c r="E323" s="101">
        <f>D323*'[17]16-PlantAdditions'!$E$103</f>
        <v>392421.46306353441</v>
      </c>
      <c r="F323" s="101">
        <f t="shared" si="55"/>
        <v>5624707.6372439936</v>
      </c>
      <c r="G323" s="394">
        <v>0</v>
      </c>
      <c r="H323" s="394">
        <v>0</v>
      </c>
      <c r="I323" s="101">
        <f>(G323-H323)*'[17]16-PlantAdditions'!$E$103</f>
        <v>0</v>
      </c>
      <c r="J323" s="107">
        <f t="shared" si="56"/>
        <v>107151431.37231556</v>
      </c>
      <c r="K323" s="101">
        <f t="shared" si="57"/>
        <v>60561880.372315556</v>
      </c>
    </row>
    <row r="324" spans="1:11" s="451" customFormat="1" x14ac:dyDescent="0.2">
      <c r="A324" s="99">
        <f t="shared" si="54"/>
        <v>248</v>
      </c>
      <c r="B324" s="56" t="s">
        <v>14</v>
      </c>
      <c r="C324" s="424">
        <v>2018</v>
      </c>
      <c r="D324" s="457">
        <v>3062452.8605415537</v>
      </c>
      <c r="E324" s="101">
        <f>D324*'[17]16-PlantAdditions'!$E$103</f>
        <v>229683.96454061652</v>
      </c>
      <c r="F324" s="101">
        <f t="shared" si="55"/>
        <v>3292136.8250821703</v>
      </c>
      <c r="G324" s="394">
        <v>0</v>
      </c>
      <c r="H324" s="394">
        <v>0</v>
      </c>
      <c r="I324" s="101">
        <f>(G324-H324)*'[17]16-PlantAdditions'!$E$103</f>
        <v>0</v>
      </c>
      <c r="J324" s="107">
        <f t="shared" si="56"/>
        <v>110443568.19739772</v>
      </c>
      <c r="K324" s="101">
        <f t="shared" si="57"/>
        <v>63854017.197397724</v>
      </c>
    </row>
    <row r="325" spans="1:11" s="451" customFormat="1" x14ac:dyDescent="0.2">
      <c r="A325" s="99">
        <f t="shared" si="54"/>
        <v>249</v>
      </c>
      <c r="B325" s="56" t="s">
        <v>6</v>
      </c>
      <c r="C325" s="424">
        <v>2018</v>
      </c>
      <c r="D325" s="457">
        <v>4668878.1724084513</v>
      </c>
      <c r="E325" s="101">
        <f>D325*'[17]16-PlantAdditions'!$E$103</f>
        <v>350165.86293063383</v>
      </c>
      <c r="F325" s="101">
        <f t="shared" si="55"/>
        <v>5019044.0353390854</v>
      </c>
      <c r="G325" s="394">
        <v>23755.014288000231</v>
      </c>
      <c r="H325" s="394">
        <v>0</v>
      </c>
      <c r="I325" s="101">
        <f>(G325-H325)*'[17]16-PlantAdditions'!$E$103</f>
        <v>1781.6260716000172</v>
      </c>
      <c r="J325" s="107">
        <f t="shared" si="56"/>
        <v>115437075.59237722</v>
      </c>
      <c r="K325" s="101">
        <f t="shared" si="57"/>
        <v>68847524.592377216</v>
      </c>
    </row>
    <row r="326" spans="1:11" s="451" customFormat="1" x14ac:dyDescent="0.2">
      <c r="A326" s="99">
        <f t="shared" si="54"/>
        <v>250</v>
      </c>
      <c r="B326" s="56" t="s">
        <v>7</v>
      </c>
      <c r="C326" s="424">
        <v>2019</v>
      </c>
      <c r="D326" s="457">
        <v>5133735.8804469276</v>
      </c>
      <c r="E326" s="101">
        <f>D326*'[17]16-PlantAdditions'!$E$103</f>
        <v>385030.19103351957</v>
      </c>
      <c r="F326" s="101">
        <f t="shared" si="55"/>
        <v>5518766.0714804474</v>
      </c>
      <c r="G326" s="394">
        <v>0</v>
      </c>
      <c r="H326" s="394">
        <v>0</v>
      </c>
      <c r="I326" s="101">
        <f>(G326-H326)*'[17]16-PlantAdditions'!$E$103</f>
        <v>0</v>
      </c>
      <c r="J326" s="107">
        <f t="shared" si="56"/>
        <v>120955841.66385767</v>
      </c>
      <c r="K326" s="101">
        <f t="shared" si="57"/>
        <v>74366290.663857669</v>
      </c>
    </row>
    <row r="327" spans="1:11" s="451" customFormat="1" x14ac:dyDescent="0.2">
      <c r="A327" s="99">
        <f t="shared" si="54"/>
        <v>251</v>
      </c>
      <c r="B327" s="51" t="s">
        <v>8</v>
      </c>
      <c r="C327" s="424">
        <v>2019</v>
      </c>
      <c r="D327" s="457">
        <v>11785379.758468928</v>
      </c>
      <c r="E327" s="101">
        <f>D327*'[17]16-PlantAdditions'!$E$103</f>
        <v>883903.48188516952</v>
      </c>
      <c r="F327" s="101">
        <f t="shared" si="55"/>
        <v>12669283.240354097</v>
      </c>
      <c r="G327" s="394">
        <v>0</v>
      </c>
      <c r="H327" s="394">
        <v>0</v>
      </c>
      <c r="I327" s="101">
        <f>(G327-H327)*'[17]16-PlantAdditions'!$E$103</f>
        <v>0</v>
      </c>
      <c r="J327" s="107">
        <f t="shared" si="56"/>
        <v>133625124.90421176</v>
      </c>
      <c r="K327" s="101">
        <f t="shared" si="57"/>
        <v>87035573.90421176</v>
      </c>
    </row>
    <row r="328" spans="1:11" s="451" customFormat="1" x14ac:dyDescent="0.2">
      <c r="A328" s="99">
        <f t="shared" si="54"/>
        <v>252</v>
      </c>
      <c r="B328" s="51" t="s">
        <v>18</v>
      </c>
      <c r="C328" s="424">
        <v>2019</v>
      </c>
      <c r="D328" s="457">
        <v>7424714.7980069276</v>
      </c>
      <c r="E328" s="101">
        <f>D328*'[17]16-PlantAdditions'!$E$103</f>
        <v>556853.60985051957</v>
      </c>
      <c r="F328" s="101">
        <f t="shared" si="55"/>
        <v>7981568.4078574469</v>
      </c>
      <c r="G328" s="394">
        <v>0</v>
      </c>
      <c r="H328" s="394">
        <v>0</v>
      </c>
      <c r="I328" s="101">
        <f>(G328-H328)*'[17]16-PlantAdditions'!$E$103</f>
        <v>0</v>
      </c>
      <c r="J328" s="107">
        <f t="shared" si="56"/>
        <v>141606693.31206921</v>
      </c>
      <c r="K328" s="101">
        <f t="shared" si="57"/>
        <v>95017142.312069207</v>
      </c>
    </row>
    <row r="329" spans="1:11" s="451" customFormat="1" x14ac:dyDescent="0.2">
      <c r="A329" s="99">
        <f t="shared" si="54"/>
        <v>253</v>
      </c>
      <c r="B329" s="56" t="s">
        <v>9</v>
      </c>
      <c r="C329" s="424">
        <v>2019</v>
      </c>
      <c r="D329" s="457">
        <v>4022696.5530957235</v>
      </c>
      <c r="E329" s="101">
        <f>D329*'[17]16-PlantAdditions'!$E$103</f>
        <v>301702.24148217926</v>
      </c>
      <c r="F329" s="101">
        <f t="shared" si="55"/>
        <v>4324398.7945779031</v>
      </c>
      <c r="G329" s="394">
        <v>0</v>
      </c>
      <c r="H329" s="394">
        <v>0</v>
      </c>
      <c r="I329" s="101">
        <f>(G329-H329)*'[17]16-PlantAdditions'!$E$103</f>
        <v>0</v>
      </c>
      <c r="J329" s="107">
        <f t="shared" si="56"/>
        <v>145931092.1066471</v>
      </c>
      <c r="K329" s="101">
        <f t="shared" si="57"/>
        <v>99341541.106647104</v>
      </c>
    </row>
    <row r="330" spans="1:11" s="451" customFormat="1" x14ac:dyDescent="0.2">
      <c r="A330" s="99">
        <f t="shared" si="54"/>
        <v>254</v>
      </c>
      <c r="B330" s="51" t="s">
        <v>10</v>
      </c>
      <c r="C330" s="424">
        <v>2019</v>
      </c>
      <c r="D330" s="457">
        <v>3957356.2278797245</v>
      </c>
      <c r="E330" s="101">
        <f>D330*'[17]16-PlantAdditions'!$E$103</f>
        <v>296801.71709097933</v>
      </c>
      <c r="F330" s="101">
        <f t="shared" si="55"/>
        <v>4254157.9449707037</v>
      </c>
      <c r="G330" s="394">
        <v>0</v>
      </c>
      <c r="H330" s="394">
        <v>0</v>
      </c>
      <c r="I330" s="101">
        <f>(G330-H330)*'[17]16-PlantAdditions'!$E$103</f>
        <v>0</v>
      </c>
      <c r="J330" s="107">
        <f t="shared" si="56"/>
        <v>150185250.0516178</v>
      </c>
      <c r="K330" s="101">
        <f t="shared" si="57"/>
        <v>103595699.0516178</v>
      </c>
    </row>
    <row r="331" spans="1:11" s="451" customFormat="1" x14ac:dyDescent="0.2">
      <c r="A331" s="99">
        <f t="shared" si="54"/>
        <v>255</v>
      </c>
      <c r="B331" s="51" t="s">
        <v>25</v>
      </c>
      <c r="C331" s="424">
        <v>2019</v>
      </c>
      <c r="D331" s="457">
        <v>4386910.7519597234</v>
      </c>
      <c r="E331" s="101">
        <f>D331*'[17]16-PlantAdditions'!$E$103</f>
        <v>329018.30639697926</v>
      </c>
      <c r="F331" s="101">
        <f t="shared" si="55"/>
        <v>4715929.0583567023</v>
      </c>
      <c r="G331" s="394">
        <v>0</v>
      </c>
      <c r="H331" s="394">
        <v>0</v>
      </c>
      <c r="I331" s="101">
        <f>(G331-H331)*'[17]16-PlantAdditions'!$E$103</f>
        <v>0</v>
      </c>
      <c r="J331" s="107">
        <f t="shared" si="56"/>
        <v>154901179.1099745</v>
      </c>
      <c r="K331" s="101">
        <f t="shared" si="57"/>
        <v>108311628.1099745</v>
      </c>
    </row>
    <row r="332" spans="1:11" s="451" customFormat="1" x14ac:dyDescent="0.2">
      <c r="A332" s="99">
        <f t="shared" si="54"/>
        <v>256</v>
      </c>
      <c r="B332" s="56" t="s">
        <v>11</v>
      </c>
      <c r="C332" s="424">
        <v>2019</v>
      </c>
      <c r="D332" s="457">
        <v>5763632.1158857271</v>
      </c>
      <c r="E332" s="101">
        <f>D332*'[17]16-PlantAdditions'!$E$103</f>
        <v>432272.40869142953</v>
      </c>
      <c r="F332" s="101">
        <f t="shared" si="55"/>
        <v>6195904.5245771566</v>
      </c>
      <c r="G332" s="394">
        <v>0</v>
      </c>
      <c r="H332" s="394">
        <v>0</v>
      </c>
      <c r="I332" s="101">
        <f>(G332-H332)*'[17]16-PlantAdditions'!$E$103</f>
        <v>0</v>
      </c>
      <c r="J332" s="107">
        <f t="shared" si="56"/>
        <v>161097083.63455167</v>
      </c>
      <c r="K332" s="101">
        <f t="shared" si="57"/>
        <v>114507532.63455167</v>
      </c>
    </row>
    <row r="333" spans="1:11" s="451" customFormat="1" x14ac:dyDescent="0.2">
      <c r="A333" s="99">
        <f t="shared" si="54"/>
        <v>257</v>
      </c>
      <c r="B333" s="51" t="s">
        <v>12</v>
      </c>
      <c r="C333" s="424">
        <v>2019</v>
      </c>
      <c r="D333" s="457">
        <v>6352933.1061144127</v>
      </c>
      <c r="E333" s="101">
        <f>D333*'[17]16-PlantAdditions'!$E$103</f>
        <v>476469.98295858095</v>
      </c>
      <c r="F333" s="101">
        <f t="shared" si="55"/>
        <v>6829403.089072994</v>
      </c>
      <c r="G333" s="394">
        <v>0</v>
      </c>
      <c r="H333" s="394">
        <v>0</v>
      </c>
      <c r="I333" s="101">
        <f>(G333-H333)*'[17]16-PlantAdditions'!$E$103</f>
        <v>0</v>
      </c>
      <c r="J333" s="107">
        <f t="shared" si="56"/>
        <v>167926486.72362468</v>
      </c>
      <c r="K333" s="101">
        <f t="shared" si="57"/>
        <v>121336935.72362468</v>
      </c>
    </row>
    <row r="334" spans="1:11" s="451" customFormat="1" x14ac:dyDescent="0.2">
      <c r="A334" s="99">
        <f t="shared" si="54"/>
        <v>258</v>
      </c>
      <c r="B334" s="51" t="s">
        <v>13</v>
      </c>
      <c r="C334" s="424">
        <v>2019</v>
      </c>
      <c r="D334" s="457">
        <v>8352168.5186073864</v>
      </c>
      <c r="E334" s="101">
        <f>D334*'[17]16-PlantAdditions'!$E$103</f>
        <v>626412.638895554</v>
      </c>
      <c r="F334" s="101">
        <f t="shared" si="55"/>
        <v>8978581.1575029399</v>
      </c>
      <c r="G334" s="394">
        <v>0</v>
      </c>
      <c r="H334" s="394">
        <v>0</v>
      </c>
      <c r="I334" s="101">
        <f>(G334-H334)*'[17]16-PlantAdditions'!$E$103</f>
        <v>0</v>
      </c>
      <c r="J334" s="107">
        <f t="shared" si="56"/>
        <v>176905067.88112763</v>
      </c>
      <c r="K334" s="101">
        <f t="shared" si="57"/>
        <v>130315516.88112763</v>
      </c>
    </row>
    <row r="335" spans="1:11" s="451" customFormat="1" x14ac:dyDescent="0.2">
      <c r="A335" s="99">
        <f t="shared" si="54"/>
        <v>259</v>
      </c>
      <c r="B335" s="51" t="s">
        <v>15</v>
      </c>
      <c r="C335" s="424">
        <v>2019</v>
      </c>
      <c r="D335" s="457">
        <v>3995869.764987723</v>
      </c>
      <c r="E335" s="101">
        <f>D335*'[17]16-PlantAdditions'!$E$103</f>
        <v>299690.23237407923</v>
      </c>
      <c r="F335" s="101">
        <f t="shared" si="55"/>
        <v>4295559.9973618025</v>
      </c>
      <c r="G335" s="394">
        <v>0</v>
      </c>
      <c r="H335" s="394">
        <v>0</v>
      </c>
      <c r="I335" s="101">
        <f>(G335-H335)*'[17]16-PlantAdditions'!$E$103</f>
        <v>0</v>
      </c>
      <c r="J335" s="107">
        <f t="shared" si="56"/>
        <v>181200627.87848943</v>
      </c>
      <c r="K335" s="101">
        <f t="shared" si="57"/>
        <v>134611076.87848943</v>
      </c>
    </row>
    <row r="336" spans="1:11" s="451" customFormat="1" x14ac:dyDescent="0.2">
      <c r="A336" s="99">
        <f t="shared" si="54"/>
        <v>260</v>
      </c>
      <c r="B336" s="51" t="s">
        <v>14</v>
      </c>
      <c r="C336" s="424">
        <v>2019</v>
      </c>
      <c r="D336" s="457">
        <v>14262524.372708354</v>
      </c>
      <c r="E336" s="101">
        <f>D336*'[17]16-PlantAdditions'!$E$103</f>
        <v>1069689.3279531265</v>
      </c>
      <c r="F336" s="101">
        <f t="shared" si="55"/>
        <v>15332213.70066148</v>
      </c>
      <c r="G336" s="394">
        <v>0</v>
      </c>
      <c r="H336" s="394">
        <v>0</v>
      </c>
      <c r="I336" s="101">
        <f>(G336-H336)*'[17]16-PlantAdditions'!$E$103</f>
        <v>0</v>
      </c>
      <c r="J336" s="107">
        <f t="shared" si="56"/>
        <v>196532841.57915092</v>
      </c>
      <c r="K336" s="101">
        <f t="shared" si="57"/>
        <v>149943290.57915092</v>
      </c>
    </row>
    <row r="337" spans="1:11" s="451" customFormat="1" x14ac:dyDescent="0.2">
      <c r="A337" s="99">
        <f t="shared" si="54"/>
        <v>261</v>
      </c>
      <c r="B337" s="51" t="s">
        <v>6</v>
      </c>
      <c r="C337" s="424">
        <v>2019</v>
      </c>
      <c r="D337" s="457">
        <v>9312567.7527164258</v>
      </c>
      <c r="E337" s="101">
        <f>D337*'[17]16-PlantAdditions'!$E$103</f>
        <v>698442.58145373187</v>
      </c>
      <c r="F337" s="101">
        <f>E337+D337</f>
        <v>10011010.334170157</v>
      </c>
      <c r="G337" s="394">
        <v>4179168.2611999996</v>
      </c>
      <c r="H337" s="394">
        <v>2531642.4799999995</v>
      </c>
      <c r="I337" s="101">
        <f>(G337-H337)*'[17]16-PlantAdditions'!$E$103</f>
        <v>123564.43359</v>
      </c>
      <c r="J337" s="107">
        <f t="shared" si="56"/>
        <v>202241119.21853107</v>
      </c>
      <c r="K337" s="109">
        <f t="shared" si="57"/>
        <v>155651568.21853107</v>
      </c>
    </row>
    <row r="338" spans="1:11" s="451" customFormat="1" x14ac:dyDescent="0.2">
      <c r="A338" s="99">
        <f t="shared" si="54"/>
        <v>262</v>
      </c>
      <c r="B338"/>
      <c r="C338" s="448" t="s">
        <v>953</v>
      </c>
      <c r="D338"/>
      <c r="E338"/>
      <c r="F338"/>
      <c r="G338"/>
      <c r="H338"/>
      <c r="I338"/>
      <c r="J338"/>
      <c r="K338" s="449">
        <f>AVERAGE(K325:K337)</f>
        <v>110990870.81971005</v>
      </c>
    </row>
    <row r="339" spans="1:11" s="451" customFormat="1" x14ac:dyDescent="0.2">
      <c r="A339" s="99"/>
      <c r="B339"/>
      <c r="C339" s="448"/>
      <c r="D339"/>
      <c r="E339"/>
      <c r="F339"/>
      <c r="G339"/>
      <c r="H339"/>
      <c r="I339"/>
      <c r="J339"/>
      <c r="K339" s="449"/>
    </row>
    <row r="340" spans="1:11" s="451" customFormat="1" x14ac:dyDescent="0.2">
      <c r="B340" s="452" t="s">
        <v>974</v>
      </c>
      <c r="D340" s="574" t="s">
        <v>933</v>
      </c>
      <c r="E340" s="574"/>
    </row>
    <row r="341" spans="1:11" s="451" customFormat="1" x14ac:dyDescent="0.2">
      <c r="D341" s="453"/>
      <c r="E341" s="453"/>
      <c r="F341" s="453"/>
      <c r="G341" s="94" t="str">
        <f>G51</f>
        <v>Unloaded</v>
      </c>
      <c r="H341" s="453"/>
      <c r="I341" s="453"/>
    </row>
    <row r="342" spans="1:11" s="451" customFormat="1" x14ac:dyDescent="0.2">
      <c r="A342" s="443"/>
      <c r="B342" s="443"/>
      <c r="C342" s="443"/>
      <c r="D342" s="443" t="str">
        <f>D$52</f>
        <v>Forecast</v>
      </c>
      <c r="E342" s="443" t="str">
        <f t="shared" ref="E342:J342" si="58">E$52</f>
        <v>Corporate</v>
      </c>
      <c r="F342" s="443" t="str">
        <f t="shared" si="58"/>
        <v xml:space="preserve">Total </v>
      </c>
      <c r="G342" s="94" t="str">
        <f>G52</f>
        <v>Total</v>
      </c>
      <c r="H342" s="443" t="str">
        <f t="shared" si="58"/>
        <v>Prior Period</v>
      </c>
      <c r="I342" s="443" t="str">
        <f t="shared" si="58"/>
        <v>Over Heads</v>
      </c>
      <c r="J342" s="443" t="str">
        <f t="shared" si="58"/>
        <v>Forecast</v>
      </c>
      <c r="K342" s="94" t="str">
        <f>K$52</f>
        <v>Forecast Period</v>
      </c>
    </row>
    <row r="343" spans="1:11" s="451" customFormat="1" x14ac:dyDescent="0.2">
      <c r="A343" s="136" t="s">
        <v>292</v>
      </c>
      <c r="B343" s="55" t="s">
        <v>16</v>
      </c>
      <c r="C343" s="55" t="s">
        <v>17</v>
      </c>
      <c r="D343" s="440" t="str">
        <f>D$53</f>
        <v>Expenditures</v>
      </c>
      <c r="E343" s="440" t="str">
        <f t="shared" ref="E343:J343" si="59">E$53</f>
        <v>Overheads</v>
      </c>
      <c r="F343" s="440" t="str">
        <f t="shared" si="59"/>
        <v>CWIP Exp</v>
      </c>
      <c r="G343" s="98" t="str">
        <f>G53</f>
        <v>Plant Adds</v>
      </c>
      <c r="H343" s="440" t="str">
        <f t="shared" si="59"/>
        <v>CWIP Closed</v>
      </c>
      <c r="I343" s="440" t="str">
        <f t="shared" si="59"/>
        <v>Closed to PIS</v>
      </c>
      <c r="J343" s="440" t="str">
        <f t="shared" si="59"/>
        <v>Period CWIP</v>
      </c>
      <c r="K343" s="440" t="str">
        <f>K$53</f>
        <v>Incremental CWIP</v>
      </c>
    </row>
    <row r="344" spans="1:11" s="451" customFormat="1" x14ac:dyDescent="0.2">
      <c r="A344" s="99">
        <f>A338+1</f>
        <v>263</v>
      </c>
      <c r="B344" s="56" t="s">
        <v>6</v>
      </c>
      <c r="C344" s="424">
        <v>2017</v>
      </c>
      <c r="D344" s="445" t="s">
        <v>935</v>
      </c>
      <c r="E344" s="445" t="s">
        <v>935</v>
      </c>
      <c r="F344" s="445" t="s">
        <v>935</v>
      </c>
      <c r="G344" s="445" t="s">
        <v>935</v>
      </c>
      <c r="H344" s="445" t="s">
        <v>935</v>
      </c>
      <c r="I344" s="445" t="s">
        <v>935</v>
      </c>
      <c r="J344" s="101">
        <f>G45</f>
        <v>0</v>
      </c>
      <c r="K344" s="445" t="s">
        <v>935</v>
      </c>
    </row>
    <row r="345" spans="1:11" s="451" customFormat="1" x14ac:dyDescent="0.2">
      <c r="A345" s="99">
        <f>A344+1</f>
        <v>264</v>
      </c>
      <c r="B345" s="56" t="s">
        <v>7</v>
      </c>
      <c r="C345" s="424">
        <v>2018</v>
      </c>
      <c r="D345" s="394">
        <v>15724.8</v>
      </c>
      <c r="E345" s="101">
        <f>D345*'[17]16-PlantAdditions'!$E$103</f>
        <v>1179.3599999999999</v>
      </c>
      <c r="F345" s="101">
        <f>E345+D345</f>
        <v>16904.16</v>
      </c>
      <c r="G345" s="394">
        <v>0</v>
      </c>
      <c r="H345" s="394">
        <v>0</v>
      </c>
      <c r="I345" s="101">
        <f>(G345-H345)*'[17]16-PlantAdditions'!$E$103</f>
        <v>0</v>
      </c>
      <c r="J345" s="101">
        <f>J344+F345-G345-I345</f>
        <v>16904.16</v>
      </c>
      <c r="K345" s="101">
        <f>J345-$J$344</f>
        <v>16904.16</v>
      </c>
    </row>
    <row r="346" spans="1:11" s="451" customFormat="1" x14ac:dyDescent="0.2">
      <c r="A346" s="99">
        <f t="shared" ref="A346:A369" si="60">A345+1</f>
        <v>265</v>
      </c>
      <c r="B346" s="51" t="s">
        <v>8</v>
      </c>
      <c r="C346" s="424">
        <v>2018</v>
      </c>
      <c r="D346" s="394">
        <v>39608.180000000008</v>
      </c>
      <c r="E346" s="101">
        <f>D346*'[17]16-PlantAdditions'!$E$103</f>
        <v>2970.6135000000004</v>
      </c>
      <c r="F346" s="101">
        <f t="shared" ref="F346:F368" si="61">E346+D346</f>
        <v>42578.793500000007</v>
      </c>
      <c r="G346" s="394">
        <v>0</v>
      </c>
      <c r="H346" s="394">
        <v>0</v>
      </c>
      <c r="I346" s="101">
        <f>(G346-H346)*'[17]16-PlantAdditions'!$E$103</f>
        <v>0</v>
      </c>
      <c r="J346" s="101">
        <f t="shared" ref="J346:J368" si="62">J345+F346-G346-I346</f>
        <v>59482.953500000003</v>
      </c>
      <c r="K346" s="101">
        <f t="shared" ref="K346:K368" si="63">J346-$J$344</f>
        <v>59482.953500000003</v>
      </c>
    </row>
    <row r="347" spans="1:11" s="451" customFormat="1" x14ac:dyDescent="0.2">
      <c r="A347" s="99">
        <f t="shared" si="60"/>
        <v>266</v>
      </c>
      <c r="B347" s="51" t="s">
        <v>18</v>
      </c>
      <c r="C347" s="424">
        <v>2018</v>
      </c>
      <c r="D347" s="394">
        <v>43159.880000000005</v>
      </c>
      <c r="E347" s="101">
        <f>D347*'[17]16-PlantAdditions'!$E$103</f>
        <v>3236.9910000000004</v>
      </c>
      <c r="F347" s="101">
        <f t="shared" si="61"/>
        <v>46396.871000000006</v>
      </c>
      <c r="G347" s="394">
        <v>0</v>
      </c>
      <c r="H347" s="394">
        <v>0</v>
      </c>
      <c r="I347" s="101">
        <f>(G347-H347)*'[17]16-PlantAdditions'!$E$103</f>
        <v>0</v>
      </c>
      <c r="J347" s="101">
        <f t="shared" si="62"/>
        <v>105879.82450000002</v>
      </c>
      <c r="K347" s="101">
        <f t="shared" si="63"/>
        <v>105879.82450000002</v>
      </c>
    </row>
    <row r="348" spans="1:11" s="451" customFormat="1" x14ac:dyDescent="0.2">
      <c r="A348" s="99">
        <f t="shared" si="60"/>
        <v>267</v>
      </c>
      <c r="B348" s="56" t="s">
        <v>9</v>
      </c>
      <c r="C348" s="424">
        <v>2018</v>
      </c>
      <c r="D348" s="394">
        <v>116634.96</v>
      </c>
      <c r="E348" s="101">
        <f>D348*'[17]16-PlantAdditions'!$E$103</f>
        <v>8747.6219999999994</v>
      </c>
      <c r="F348" s="101">
        <f t="shared" si="61"/>
        <v>125382.58200000001</v>
      </c>
      <c r="G348" s="394">
        <v>0</v>
      </c>
      <c r="H348" s="394">
        <v>0</v>
      </c>
      <c r="I348" s="101">
        <f>(G348-H348)*'[17]16-PlantAdditions'!$E$103</f>
        <v>0</v>
      </c>
      <c r="J348" s="101">
        <f t="shared" si="62"/>
        <v>231262.40650000004</v>
      </c>
      <c r="K348" s="101">
        <f t="shared" si="63"/>
        <v>231262.40650000004</v>
      </c>
    </row>
    <row r="349" spans="1:11" s="451" customFormat="1" x14ac:dyDescent="0.2">
      <c r="A349" s="99">
        <f t="shared" si="60"/>
        <v>268</v>
      </c>
      <c r="B349" s="51" t="s">
        <v>10</v>
      </c>
      <c r="C349" s="424">
        <v>2018</v>
      </c>
      <c r="D349" s="394">
        <v>89339.64</v>
      </c>
      <c r="E349" s="101">
        <f>D349*'[17]16-PlantAdditions'!$E$103</f>
        <v>6700.473</v>
      </c>
      <c r="F349" s="101">
        <f t="shared" si="61"/>
        <v>96040.112999999998</v>
      </c>
      <c r="G349" s="394">
        <v>0</v>
      </c>
      <c r="H349" s="394">
        <v>0</v>
      </c>
      <c r="I349" s="101">
        <f>(G349-H349)*'[17]16-PlantAdditions'!$E$103</f>
        <v>0</v>
      </c>
      <c r="J349" s="101">
        <f t="shared" si="62"/>
        <v>327302.51950000005</v>
      </c>
      <c r="K349" s="101">
        <f t="shared" si="63"/>
        <v>327302.51950000005</v>
      </c>
    </row>
    <row r="350" spans="1:11" s="451" customFormat="1" x14ac:dyDescent="0.2">
      <c r="A350" s="99">
        <f t="shared" si="60"/>
        <v>269</v>
      </c>
      <c r="B350" s="51" t="s">
        <v>25</v>
      </c>
      <c r="C350" s="424">
        <v>2018</v>
      </c>
      <c r="D350" s="394">
        <v>86306.48</v>
      </c>
      <c r="E350" s="101">
        <f>D350*'[17]16-PlantAdditions'!$E$103</f>
        <v>6472.9859999999999</v>
      </c>
      <c r="F350" s="101">
        <f t="shared" si="61"/>
        <v>92779.466</v>
      </c>
      <c r="G350" s="394">
        <v>89671.5</v>
      </c>
      <c r="H350" s="394">
        <v>89572.52</v>
      </c>
      <c r="I350" s="101">
        <f>(G350-H350)*'[17]16-PlantAdditions'!$E$103</f>
        <v>7.4234999999996942</v>
      </c>
      <c r="J350" s="101">
        <f t="shared" si="62"/>
        <v>330403.06200000009</v>
      </c>
      <c r="K350" s="101">
        <f t="shared" si="63"/>
        <v>330403.06200000009</v>
      </c>
    </row>
    <row r="351" spans="1:11" s="451" customFormat="1" x14ac:dyDescent="0.2">
      <c r="A351" s="99">
        <f t="shared" si="60"/>
        <v>270</v>
      </c>
      <c r="B351" s="56" t="s">
        <v>11</v>
      </c>
      <c r="C351" s="424">
        <v>2018</v>
      </c>
      <c r="D351" s="394">
        <v>126590.88</v>
      </c>
      <c r="E351" s="101">
        <f>D351*'[17]16-PlantAdditions'!$E$103</f>
        <v>9494.3160000000007</v>
      </c>
      <c r="F351" s="101">
        <f t="shared" si="61"/>
        <v>136085.196</v>
      </c>
      <c r="G351" s="394">
        <v>0</v>
      </c>
      <c r="H351" s="394">
        <v>0</v>
      </c>
      <c r="I351" s="101">
        <f>(G351-H351)*'[17]16-PlantAdditions'!$E$103</f>
        <v>0</v>
      </c>
      <c r="J351" s="101">
        <f t="shared" si="62"/>
        <v>466488.25800000009</v>
      </c>
      <c r="K351" s="101">
        <f t="shared" si="63"/>
        <v>466488.25800000009</v>
      </c>
    </row>
    <row r="352" spans="1:11" s="451" customFormat="1" x14ac:dyDescent="0.2">
      <c r="A352" s="99">
        <f t="shared" si="60"/>
        <v>271</v>
      </c>
      <c r="B352" s="51" t="s">
        <v>12</v>
      </c>
      <c r="C352" s="424">
        <v>2018</v>
      </c>
      <c r="D352" s="394">
        <v>170144</v>
      </c>
      <c r="E352" s="101">
        <f>D352*'[17]16-PlantAdditions'!$E$103</f>
        <v>12760.8</v>
      </c>
      <c r="F352" s="101">
        <f t="shared" si="61"/>
        <v>182904.8</v>
      </c>
      <c r="G352" s="394">
        <v>0</v>
      </c>
      <c r="H352" s="394">
        <v>0</v>
      </c>
      <c r="I352" s="101">
        <f>(G352-H352)*'[17]16-PlantAdditions'!$E$103</f>
        <v>0</v>
      </c>
      <c r="J352" s="101">
        <f t="shared" si="62"/>
        <v>649393.05800000008</v>
      </c>
      <c r="K352" s="101">
        <f t="shared" si="63"/>
        <v>649393.05800000008</v>
      </c>
    </row>
    <row r="353" spans="1:11" s="451" customFormat="1" x14ac:dyDescent="0.2">
      <c r="A353" s="99">
        <f t="shared" si="60"/>
        <v>272</v>
      </c>
      <c r="B353" s="51" t="s">
        <v>13</v>
      </c>
      <c r="C353" s="424">
        <v>2018</v>
      </c>
      <c r="D353" s="394">
        <v>147616.56</v>
      </c>
      <c r="E353" s="101">
        <f>D353*'[17]16-PlantAdditions'!$E$103</f>
        <v>11071.242</v>
      </c>
      <c r="F353" s="101">
        <f t="shared" si="61"/>
        <v>158687.802</v>
      </c>
      <c r="G353" s="394">
        <v>0</v>
      </c>
      <c r="H353" s="394">
        <v>0</v>
      </c>
      <c r="I353" s="101">
        <f>(G353-H353)*'[17]16-PlantAdditions'!$E$103</f>
        <v>0</v>
      </c>
      <c r="J353" s="101">
        <f t="shared" si="62"/>
        <v>808080.8600000001</v>
      </c>
      <c r="K353" s="101">
        <f t="shared" si="63"/>
        <v>808080.8600000001</v>
      </c>
    </row>
    <row r="354" spans="1:11" s="451" customFormat="1" x14ac:dyDescent="0.2">
      <c r="A354" s="99">
        <f t="shared" si="60"/>
        <v>273</v>
      </c>
      <c r="B354" s="56" t="s">
        <v>15</v>
      </c>
      <c r="C354" s="424">
        <v>2018</v>
      </c>
      <c r="D354" s="394">
        <v>98842.64</v>
      </c>
      <c r="E354" s="101">
        <f>D354*'[17]16-PlantAdditions'!$E$103</f>
        <v>7413.1979999999994</v>
      </c>
      <c r="F354" s="101">
        <f t="shared" si="61"/>
        <v>106255.838</v>
      </c>
      <c r="G354" s="394">
        <v>0</v>
      </c>
      <c r="H354" s="394">
        <v>0</v>
      </c>
      <c r="I354" s="101">
        <f>(G354-H354)*'[17]16-PlantAdditions'!$E$103</f>
        <v>0</v>
      </c>
      <c r="J354" s="101">
        <f t="shared" si="62"/>
        <v>914336.69800000009</v>
      </c>
      <c r="K354" s="101">
        <f t="shared" si="63"/>
        <v>914336.69800000009</v>
      </c>
    </row>
    <row r="355" spans="1:11" s="451" customFormat="1" x14ac:dyDescent="0.2">
      <c r="A355" s="99">
        <f t="shared" si="60"/>
        <v>274</v>
      </c>
      <c r="B355" s="56" t="s">
        <v>14</v>
      </c>
      <c r="C355" s="424">
        <v>2018</v>
      </c>
      <c r="D355" s="394">
        <v>315181.88000000006</v>
      </c>
      <c r="E355" s="101">
        <f>D355*'[17]16-PlantAdditions'!$E$103</f>
        <v>23638.641000000003</v>
      </c>
      <c r="F355" s="101">
        <f t="shared" si="61"/>
        <v>338820.52100000007</v>
      </c>
      <c r="G355" s="394">
        <v>0</v>
      </c>
      <c r="H355" s="394">
        <v>0</v>
      </c>
      <c r="I355" s="101">
        <f>(G355-H355)*'[17]16-PlantAdditions'!$E$103</f>
        <v>0</v>
      </c>
      <c r="J355" s="101">
        <f t="shared" si="62"/>
        <v>1253157.219</v>
      </c>
      <c r="K355" s="101">
        <f t="shared" si="63"/>
        <v>1253157.219</v>
      </c>
    </row>
    <row r="356" spans="1:11" s="451" customFormat="1" x14ac:dyDescent="0.2">
      <c r="A356" s="99">
        <f t="shared" si="60"/>
        <v>275</v>
      </c>
      <c r="B356" s="56" t="s">
        <v>6</v>
      </c>
      <c r="C356" s="424">
        <v>2018</v>
      </c>
      <c r="D356" s="394">
        <v>63376.04</v>
      </c>
      <c r="E356" s="101">
        <f>D356*'[17]16-PlantAdditions'!$E$103</f>
        <v>4753.2029999999995</v>
      </c>
      <c r="F356" s="101">
        <f t="shared" si="61"/>
        <v>68129.243000000002</v>
      </c>
      <c r="G356" s="394">
        <v>0</v>
      </c>
      <c r="H356" s="394">
        <v>0</v>
      </c>
      <c r="I356" s="101">
        <f>(G356-H356)*'[17]16-PlantAdditions'!$E$103</f>
        <v>0</v>
      </c>
      <c r="J356" s="101">
        <f t="shared" si="62"/>
        <v>1321286.4620000001</v>
      </c>
      <c r="K356" s="101">
        <f t="shared" si="63"/>
        <v>1321286.4620000001</v>
      </c>
    </row>
    <row r="357" spans="1:11" s="451" customFormat="1" x14ac:dyDescent="0.2">
      <c r="A357" s="99">
        <f t="shared" si="60"/>
        <v>276</v>
      </c>
      <c r="B357" s="56" t="s">
        <v>7</v>
      </c>
      <c r="C357" s="424">
        <v>2019</v>
      </c>
      <c r="D357" s="394">
        <v>273332.80000000005</v>
      </c>
      <c r="E357" s="101">
        <f>D357*'[17]16-PlantAdditions'!$E$103</f>
        <v>20499.960000000003</v>
      </c>
      <c r="F357" s="101">
        <f t="shared" si="61"/>
        <v>293832.76000000007</v>
      </c>
      <c r="G357" s="394">
        <v>0</v>
      </c>
      <c r="H357" s="394">
        <v>0</v>
      </c>
      <c r="I357" s="101">
        <f>(G357-H357)*'[17]16-PlantAdditions'!$E$103</f>
        <v>0</v>
      </c>
      <c r="J357" s="101">
        <f t="shared" si="62"/>
        <v>1615119.2220000001</v>
      </c>
      <c r="K357" s="101">
        <f t="shared" si="63"/>
        <v>1615119.2220000001</v>
      </c>
    </row>
    <row r="358" spans="1:11" s="451" customFormat="1" x14ac:dyDescent="0.2">
      <c r="A358" s="99">
        <f t="shared" si="60"/>
        <v>277</v>
      </c>
      <c r="B358" s="51" t="s">
        <v>8</v>
      </c>
      <c r="C358" s="424">
        <v>2019</v>
      </c>
      <c r="D358" s="394">
        <v>108141.04</v>
      </c>
      <c r="E358" s="101">
        <f>D358*'[17]16-PlantAdditions'!$E$103</f>
        <v>8110.5779999999995</v>
      </c>
      <c r="F358" s="101">
        <f t="shared" si="61"/>
        <v>116251.61799999999</v>
      </c>
      <c r="G358" s="394">
        <v>12782.63</v>
      </c>
      <c r="H358" s="394">
        <v>0</v>
      </c>
      <c r="I358" s="101">
        <f>(G358-H358)*'[17]16-PlantAdditions'!$E$103</f>
        <v>958.69724999999994</v>
      </c>
      <c r="J358" s="101">
        <f t="shared" si="62"/>
        <v>1717629.5127500002</v>
      </c>
      <c r="K358" s="101">
        <f t="shared" si="63"/>
        <v>1717629.5127500002</v>
      </c>
    </row>
    <row r="359" spans="1:11" s="451" customFormat="1" x14ac:dyDescent="0.2">
      <c r="A359" s="99">
        <f t="shared" si="60"/>
        <v>278</v>
      </c>
      <c r="B359" s="51" t="s">
        <v>18</v>
      </c>
      <c r="C359" s="424">
        <v>2019</v>
      </c>
      <c r="D359" s="394">
        <v>189543.75000000003</v>
      </c>
      <c r="E359" s="101">
        <f>D359*'[17]16-PlantAdditions'!$E$103</f>
        <v>14215.781250000002</v>
      </c>
      <c r="F359" s="101">
        <f t="shared" si="61"/>
        <v>203759.53125000003</v>
      </c>
      <c r="G359" s="394">
        <v>19173.7</v>
      </c>
      <c r="H359" s="394">
        <v>0</v>
      </c>
      <c r="I359" s="101">
        <f>(G359-H359)*'[17]16-PlantAdditions'!$E$103</f>
        <v>1438.0274999999999</v>
      </c>
      <c r="J359" s="101">
        <f t="shared" si="62"/>
        <v>1900777.3165000002</v>
      </c>
      <c r="K359" s="101">
        <f t="shared" si="63"/>
        <v>1900777.3165000002</v>
      </c>
    </row>
    <row r="360" spans="1:11" s="451" customFormat="1" x14ac:dyDescent="0.2">
      <c r="A360" s="99">
        <f t="shared" si="60"/>
        <v>279</v>
      </c>
      <c r="B360" s="56" t="s">
        <v>9</v>
      </c>
      <c r="C360" s="424">
        <v>2019</v>
      </c>
      <c r="D360" s="394">
        <v>243016.54</v>
      </c>
      <c r="E360" s="101">
        <f>D360*'[17]16-PlantAdditions'!$E$103</f>
        <v>18226.2405</v>
      </c>
      <c r="F360" s="101">
        <f t="shared" si="61"/>
        <v>261242.78049999999</v>
      </c>
      <c r="G360" s="394">
        <v>31956.329999999998</v>
      </c>
      <c r="H360" s="394">
        <v>0</v>
      </c>
      <c r="I360" s="101">
        <f>(G360-H360)*'[17]16-PlantAdditions'!$E$103</f>
        <v>2396.7247499999999</v>
      </c>
      <c r="J360" s="101">
        <f t="shared" si="62"/>
        <v>2127667.0422499999</v>
      </c>
      <c r="K360" s="101">
        <f t="shared" si="63"/>
        <v>2127667.0422499999</v>
      </c>
    </row>
    <row r="361" spans="1:11" s="451" customFormat="1" x14ac:dyDescent="0.2">
      <c r="A361" s="99">
        <f t="shared" si="60"/>
        <v>280</v>
      </c>
      <c r="B361" s="51" t="s">
        <v>10</v>
      </c>
      <c r="C361" s="424">
        <v>2019</v>
      </c>
      <c r="D361" s="394">
        <v>323229.66000000003</v>
      </c>
      <c r="E361" s="101">
        <f>D361*'[17]16-PlantAdditions'!$E$103</f>
        <v>24242.2245</v>
      </c>
      <c r="F361" s="101">
        <f t="shared" si="61"/>
        <v>347471.88450000004</v>
      </c>
      <c r="G361" s="394">
        <v>51130.52</v>
      </c>
      <c r="H361" s="394">
        <v>0</v>
      </c>
      <c r="I361" s="101">
        <f>(G361-H361)*'[17]16-PlantAdditions'!$E$103</f>
        <v>3834.7889999999998</v>
      </c>
      <c r="J361" s="101">
        <f t="shared" si="62"/>
        <v>2420173.6177500002</v>
      </c>
      <c r="K361" s="101">
        <f t="shared" si="63"/>
        <v>2420173.6177500002</v>
      </c>
    </row>
    <row r="362" spans="1:11" s="451" customFormat="1" x14ac:dyDescent="0.2">
      <c r="A362" s="99">
        <f t="shared" si="60"/>
        <v>281</v>
      </c>
      <c r="B362" s="51" t="s">
        <v>25</v>
      </c>
      <c r="C362" s="424">
        <v>2019</v>
      </c>
      <c r="D362" s="394">
        <v>376704.14</v>
      </c>
      <c r="E362" s="101">
        <f>D362*'[17]16-PlantAdditions'!$E$103</f>
        <v>28252.8105</v>
      </c>
      <c r="F362" s="101">
        <f t="shared" si="61"/>
        <v>404956.95050000004</v>
      </c>
      <c r="G362" s="394">
        <v>63913.15</v>
      </c>
      <c r="H362" s="394">
        <v>0</v>
      </c>
      <c r="I362" s="101">
        <f>(G362-H362)*'[17]16-PlantAdditions'!$E$103</f>
        <v>4793.4862499999999</v>
      </c>
      <c r="J362" s="101">
        <f t="shared" si="62"/>
        <v>2756423.9320000005</v>
      </c>
      <c r="K362" s="101">
        <f t="shared" si="63"/>
        <v>2756423.9320000005</v>
      </c>
    </row>
    <row r="363" spans="1:11" s="451" customFormat="1" x14ac:dyDescent="0.2">
      <c r="A363" s="99">
        <f t="shared" si="60"/>
        <v>282</v>
      </c>
      <c r="B363" s="56" t="s">
        <v>11</v>
      </c>
      <c r="C363" s="424">
        <v>2019</v>
      </c>
      <c r="D363" s="394">
        <v>456914.76999999996</v>
      </c>
      <c r="E363" s="101">
        <f>D363*'[17]16-PlantAdditions'!$E$103</f>
        <v>34268.607749999996</v>
      </c>
      <c r="F363" s="101">
        <f t="shared" si="61"/>
        <v>491183.37774999999</v>
      </c>
      <c r="G363" s="394">
        <v>83086.849999999991</v>
      </c>
      <c r="H363" s="394">
        <v>0</v>
      </c>
      <c r="I363" s="101">
        <f>(G363-H363)*'[17]16-PlantAdditions'!$E$103</f>
        <v>6231.5137499999992</v>
      </c>
      <c r="J363" s="101">
        <f t="shared" si="62"/>
        <v>3158288.9460000005</v>
      </c>
      <c r="K363" s="101">
        <f t="shared" si="63"/>
        <v>3158288.9460000005</v>
      </c>
    </row>
    <row r="364" spans="1:11" s="451" customFormat="1" x14ac:dyDescent="0.2">
      <c r="A364" s="99">
        <f t="shared" si="60"/>
        <v>283</v>
      </c>
      <c r="B364" s="51" t="s">
        <v>12</v>
      </c>
      <c r="C364" s="424">
        <v>2019</v>
      </c>
      <c r="D364" s="394">
        <v>483650.41000000003</v>
      </c>
      <c r="E364" s="101">
        <f>D364*'[17]16-PlantAdditions'!$E$103</f>
        <v>36273.780749999998</v>
      </c>
      <c r="F364" s="101">
        <f t="shared" si="61"/>
        <v>519924.19075000001</v>
      </c>
      <c r="G364" s="394">
        <v>89478.41</v>
      </c>
      <c r="H364" s="394">
        <v>0</v>
      </c>
      <c r="I364" s="101">
        <f>(G364-H364)*'[17]16-PlantAdditions'!$E$103</f>
        <v>6710.8807500000003</v>
      </c>
      <c r="J364" s="101">
        <f t="shared" si="62"/>
        <v>3582023.8460000004</v>
      </c>
      <c r="K364" s="101">
        <f t="shared" si="63"/>
        <v>3582023.8460000004</v>
      </c>
    </row>
    <row r="365" spans="1:11" s="451" customFormat="1" x14ac:dyDescent="0.2">
      <c r="A365" s="99">
        <f t="shared" si="60"/>
        <v>284</v>
      </c>
      <c r="B365" s="51" t="s">
        <v>13</v>
      </c>
      <c r="C365" s="424">
        <v>2019</v>
      </c>
      <c r="D365" s="394">
        <v>483650.41000000003</v>
      </c>
      <c r="E365" s="101">
        <f>D365*'[17]16-PlantAdditions'!$E$103</f>
        <v>36273.780749999998</v>
      </c>
      <c r="F365" s="101">
        <f t="shared" si="61"/>
        <v>519924.19075000001</v>
      </c>
      <c r="G365" s="394">
        <v>89478.41</v>
      </c>
      <c r="H365" s="394">
        <v>0</v>
      </c>
      <c r="I365" s="101">
        <f>(G365-H365)*'[17]16-PlantAdditions'!$E$103</f>
        <v>6710.8807500000003</v>
      </c>
      <c r="J365" s="101">
        <f t="shared" si="62"/>
        <v>4005758.7460000003</v>
      </c>
      <c r="K365" s="101">
        <f t="shared" si="63"/>
        <v>4005758.7460000003</v>
      </c>
    </row>
    <row r="366" spans="1:11" s="451" customFormat="1" x14ac:dyDescent="0.2">
      <c r="A366" s="99">
        <f t="shared" si="60"/>
        <v>285</v>
      </c>
      <c r="B366" s="51" t="s">
        <v>15</v>
      </c>
      <c r="C366" s="424">
        <v>2019</v>
      </c>
      <c r="D366" s="394">
        <v>483651.97</v>
      </c>
      <c r="E366" s="101">
        <f>D366*'[17]16-PlantAdditions'!$E$103</f>
        <v>36273.897749999996</v>
      </c>
      <c r="F366" s="101">
        <f t="shared" si="61"/>
        <v>519925.86774999998</v>
      </c>
      <c r="G366" s="394">
        <v>89478.41</v>
      </c>
      <c r="H366" s="394">
        <v>0</v>
      </c>
      <c r="I366" s="101">
        <f>(G366-H366)*'[17]16-PlantAdditions'!$E$103</f>
        <v>6710.8807500000003</v>
      </c>
      <c r="J366" s="101">
        <f t="shared" si="62"/>
        <v>4429495.3230000008</v>
      </c>
      <c r="K366" s="101">
        <f t="shared" si="63"/>
        <v>4429495.3230000008</v>
      </c>
    </row>
    <row r="367" spans="1:11" s="451" customFormat="1" x14ac:dyDescent="0.2">
      <c r="A367" s="99">
        <f t="shared" si="60"/>
        <v>286</v>
      </c>
      <c r="B367" s="51" t="s">
        <v>14</v>
      </c>
      <c r="C367" s="424">
        <v>2019</v>
      </c>
      <c r="D367" s="394">
        <v>320844.81</v>
      </c>
      <c r="E367" s="101">
        <f>D367*'[17]16-PlantAdditions'!$E$103</f>
        <v>24063.36075</v>
      </c>
      <c r="F367" s="101">
        <f t="shared" si="61"/>
        <v>344908.17074999999</v>
      </c>
      <c r="G367" s="394">
        <v>76695.78</v>
      </c>
      <c r="H367" s="394">
        <v>0</v>
      </c>
      <c r="I367" s="101">
        <f>(G367-H367)*'[17]16-PlantAdditions'!$E$103</f>
        <v>5752.1835000000001</v>
      </c>
      <c r="J367" s="101">
        <f t="shared" si="62"/>
        <v>4691955.5302499998</v>
      </c>
      <c r="K367" s="101">
        <f t="shared" si="63"/>
        <v>4691955.5302499998</v>
      </c>
    </row>
    <row r="368" spans="1:11" s="451" customFormat="1" x14ac:dyDescent="0.2">
      <c r="A368" s="99">
        <f t="shared" si="60"/>
        <v>287</v>
      </c>
      <c r="B368" s="51" t="s">
        <v>6</v>
      </c>
      <c r="C368" s="424">
        <v>2019</v>
      </c>
      <c r="D368" s="394">
        <v>4917683.42</v>
      </c>
      <c r="E368" s="101">
        <f>D368*'[17]16-PlantAdditions'!$E$103</f>
        <v>368826.25649999996</v>
      </c>
      <c r="F368" s="101">
        <f t="shared" si="61"/>
        <v>5286509.6765000001</v>
      </c>
      <c r="G368" s="394">
        <v>31956.329999999998</v>
      </c>
      <c r="H368" s="394">
        <v>0</v>
      </c>
      <c r="I368" s="101">
        <f>(G368-H368)*'[17]16-PlantAdditions'!$E$103</f>
        <v>2396.7247499999999</v>
      </c>
      <c r="J368" s="101">
        <f t="shared" si="62"/>
        <v>9944112.1520000007</v>
      </c>
      <c r="K368" s="181">
        <f t="shared" si="63"/>
        <v>9944112.1520000007</v>
      </c>
    </row>
    <row r="369" spans="1:11" s="451" customFormat="1" x14ac:dyDescent="0.2">
      <c r="A369" s="99">
        <f t="shared" si="60"/>
        <v>288</v>
      </c>
      <c r="B369"/>
      <c r="C369" s="448" t="s">
        <v>953</v>
      </c>
      <c r="D369"/>
      <c r="E369"/>
      <c r="F369"/>
      <c r="G369"/>
      <c r="H369"/>
      <c r="I369"/>
      <c r="J369"/>
      <c r="K369" s="449">
        <f>AVERAGE(K356:K368)</f>
        <v>3359285.511423077</v>
      </c>
    </row>
    <row r="370" spans="1:11" s="451" customFormat="1" x14ac:dyDescent="0.2">
      <c r="A370" s="99"/>
      <c r="B370"/>
      <c r="C370" s="448"/>
      <c r="D370"/>
      <c r="E370"/>
      <c r="F370"/>
      <c r="G370"/>
      <c r="H370"/>
      <c r="I370"/>
      <c r="J370"/>
      <c r="K370" s="449"/>
    </row>
    <row r="371" spans="1:11" s="451" customFormat="1" x14ac:dyDescent="0.2">
      <c r="B371" s="452" t="s">
        <v>975</v>
      </c>
      <c r="D371" s="574" t="s">
        <v>976</v>
      </c>
      <c r="E371" s="574"/>
      <c r="F371" s="458"/>
    </row>
    <row r="372" spans="1:11" s="451" customFormat="1" x14ac:dyDescent="0.2">
      <c r="A372" s="440"/>
      <c r="B372" s="440"/>
      <c r="C372" s="440"/>
      <c r="D372" s="440" t="s">
        <v>152</v>
      </c>
      <c r="E372" s="440" t="s">
        <v>153</v>
      </c>
      <c r="F372" s="440" t="s">
        <v>154</v>
      </c>
      <c r="G372" s="440" t="s">
        <v>155</v>
      </c>
      <c r="H372" s="440" t="s">
        <v>904</v>
      </c>
      <c r="I372" s="440" t="s">
        <v>905</v>
      </c>
      <c r="J372" s="440" t="s">
        <v>920</v>
      </c>
      <c r="K372" s="440" t="s">
        <v>921</v>
      </c>
    </row>
    <row r="373" spans="1:11" s="451" customFormat="1" ht="38.25" x14ac:dyDescent="0.2">
      <c r="D373" s="453"/>
      <c r="E373" s="454" t="s">
        <v>956</v>
      </c>
      <c r="F373" s="445" t="s">
        <v>957</v>
      </c>
      <c r="G373" s="455"/>
      <c r="H373" s="453"/>
      <c r="I373" s="454" t="s">
        <v>958</v>
      </c>
      <c r="J373" s="454" t="s">
        <v>959</v>
      </c>
      <c r="K373" s="454" t="s">
        <v>960</v>
      </c>
    </row>
    <row r="374" spans="1:11" s="451" customFormat="1" x14ac:dyDescent="0.2">
      <c r="D374" s="453"/>
      <c r="E374" s="454"/>
      <c r="F374" s="445"/>
      <c r="G374" s="154" t="str">
        <f>G51</f>
        <v>Unloaded</v>
      </c>
      <c r="H374" s="453"/>
      <c r="I374" s="454"/>
      <c r="J374" s="454"/>
      <c r="K374" s="454"/>
    </row>
    <row r="375" spans="1:11" s="451" customFormat="1" x14ac:dyDescent="0.2">
      <c r="A375" s="443"/>
      <c r="B375" s="443"/>
      <c r="C375" s="443"/>
      <c r="D375" s="443" t="str">
        <f>D$52</f>
        <v>Forecast</v>
      </c>
      <c r="E375" s="443" t="str">
        <f t="shared" ref="E375:J375" si="64">E$52</f>
        <v>Corporate</v>
      </c>
      <c r="F375" s="443" t="str">
        <f t="shared" si="64"/>
        <v xml:space="preserve">Total </v>
      </c>
      <c r="G375" s="154" t="str">
        <f>G52</f>
        <v>Total</v>
      </c>
      <c r="H375" s="443" t="str">
        <f t="shared" si="64"/>
        <v>Prior Period</v>
      </c>
      <c r="I375" s="443" t="str">
        <f t="shared" si="64"/>
        <v>Over Heads</v>
      </c>
      <c r="J375" s="443" t="str">
        <f t="shared" si="64"/>
        <v>Forecast</v>
      </c>
      <c r="K375" s="443" t="str">
        <f>K$52</f>
        <v>Forecast Period</v>
      </c>
    </row>
    <row r="376" spans="1:11" s="451" customFormat="1" x14ac:dyDescent="0.2">
      <c r="A376" s="136" t="s">
        <v>292</v>
      </c>
      <c r="B376" s="55" t="s">
        <v>16</v>
      </c>
      <c r="C376" s="55" t="s">
        <v>17</v>
      </c>
      <c r="D376" s="440" t="str">
        <f>D$53</f>
        <v>Expenditures</v>
      </c>
      <c r="E376" s="440" t="str">
        <f t="shared" ref="E376:J376" si="65">E$53</f>
        <v>Overheads</v>
      </c>
      <c r="F376" s="440" t="str">
        <f t="shared" si="65"/>
        <v>CWIP Exp</v>
      </c>
      <c r="G376" s="155" t="str">
        <f>G53</f>
        <v>Plant Adds</v>
      </c>
      <c r="H376" s="440" t="str">
        <f t="shared" si="65"/>
        <v>CWIP Closed</v>
      </c>
      <c r="I376" s="440" t="str">
        <f t="shared" si="65"/>
        <v>Closed to PIS</v>
      </c>
      <c r="J376" s="440" t="str">
        <f t="shared" si="65"/>
        <v>Period CWIP</v>
      </c>
      <c r="K376" s="440" t="str">
        <f>K$53</f>
        <v>Incremental CWIP</v>
      </c>
    </row>
    <row r="377" spans="1:11" s="451" customFormat="1" x14ac:dyDescent="0.2">
      <c r="A377" s="99">
        <f>A369+1</f>
        <v>289</v>
      </c>
      <c r="B377" s="56" t="s">
        <v>6</v>
      </c>
      <c r="C377" s="424">
        <v>2017</v>
      </c>
      <c r="D377" s="445" t="s">
        <v>935</v>
      </c>
      <c r="E377" s="445" t="s">
        <v>935</v>
      </c>
      <c r="F377" s="445" t="s">
        <v>935</v>
      </c>
      <c r="G377" s="445" t="s">
        <v>935</v>
      </c>
      <c r="H377" s="445" t="s">
        <v>935</v>
      </c>
      <c r="I377" s="445" t="s">
        <v>935</v>
      </c>
      <c r="J377" s="101">
        <v>0</v>
      </c>
      <c r="K377" s="445" t="s">
        <v>935</v>
      </c>
    </row>
    <row r="378" spans="1:11" s="451" customFormat="1" x14ac:dyDescent="0.2">
      <c r="A378" s="99">
        <f>A377+1</f>
        <v>290</v>
      </c>
      <c r="B378" s="56" t="s">
        <v>7</v>
      </c>
      <c r="C378" s="424">
        <v>2018</v>
      </c>
      <c r="D378" s="394">
        <v>2147654</v>
      </c>
      <c r="E378" s="101">
        <f>D378*'[17]16-PlantAdditions'!$E$103</f>
        <v>161074.04999999999</v>
      </c>
      <c r="F378" s="101">
        <f>E378+D378</f>
        <v>2308728.0499999998</v>
      </c>
      <c r="G378" s="394">
        <v>0</v>
      </c>
      <c r="H378" s="394">
        <v>0</v>
      </c>
      <c r="I378" s="101">
        <f>(G378-H378)*'[17]16-PlantAdditions'!$E$103</f>
        <v>0</v>
      </c>
      <c r="J378" s="101">
        <f>J377+F378-G378-I378</f>
        <v>2308728.0499999998</v>
      </c>
      <c r="K378" s="101">
        <f>J378-$J$377</f>
        <v>2308728.0499999998</v>
      </c>
    </row>
    <row r="379" spans="1:11" s="451" customFormat="1" x14ac:dyDescent="0.2">
      <c r="A379" s="99">
        <f t="shared" ref="A379:A402" si="66">A378+1</f>
        <v>291</v>
      </c>
      <c r="B379" s="51" t="s">
        <v>8</v>
      </c>
      <c r="C379" s="424">
        <v>2018</v>
      </c>
      <c r="D379" s="394">
        <v>218055</v>
      </c>
      <c r="E379" s="101">
        <f>D379*'[17]16-PlantAdditions'!$E$103</f>
        <v>16354.125</v>
      </c>
      <c r="F379" s="101">
        <f t="shared" ref="F379:F401" si="67">E379+D379</f>
        <v>234409.125</v>
      </c>
      <c r="G379" s="394">
        <v>0</v>
      </c>
      <c r="H379" s="394">
        <v>0</v>
      </c>
      <c r="I379" s="101">
        <f>(G379-H379)*'[17]16-PlantAdditions'!$E$103</f>
        <v>0</v>
      </c>
      <c r="J379" s="101">
        <f t="shared" ref="J379:J401" si="68">J378+F379-G379-I379</f>
        <v>2543137.1749999998</v>
      </c>
      <c r="K379" s="101">
        <f t="shared" ref="K379:K401" si="69">J379-$J$377</f>
        <v>2543137.1749999998</v>
      </c>
    </row>
    <row r="380" spans="1:11" s="451" customFormat="1" x14ac:dyDescent="0.2">
      <c r="A380" s="99">
        <f t="shared" si="66"/>
        <v>292</v>
      </c>
      <c r="B380" s="51" t="s">
        <v>18</v>
      </c>
      <c r="C380" s="424">
        <v>2018</v>
      </c>
      <c r="D380" s="394">
        <v>9974740.459999999</v>
      </c>
      <c r="E380" s="101">
        <f>D380*'[17]16-PlantAdditions'!$E$103</f>
        <v>748105.53449999995</v>
      </c>
      <c r="F380" s="101">
        <f t="shared" si="67"/>
        <v>10722845.994499998</v>
      </c>
      <c r="G380" s="394">
        <v>0</v>
      </c>
      <c r="H380" s="394">
        <v>0</v>
      </c>
      <c r="I380" s="101">
        <f>(G380-H380)*'[17]16-PlantAdditions'!$E$103</f>
        <v>0</v>
      </c>
      <c r="J380" s="101">
        <f t="shared" si="68"/>
        <v>13265983.169499997</v>
      </c>
      <c r="K380" s="101">
        <f t="shared" si="69"/>
        <v>13265983.169499997</v>
      </c>
    </row>
    <row r="381" spans="1:11" s="451" customFormat="1" x14ac:dyDescent="0.2">
      <c r="A381" s="99">
        <f t="shared" si="66"/>
        <v>293</v>
      </c>
      <c r="B381" s="56" t="s">
        <v>9</v>
      </c>
      <c r="C381" s="424">
        <v>2018</v>
      </c>
      <c r="D381" s="394">
        <v>853930.00000000012</v>
      </c>
      <c r="E381" s="101">
        <f>D381*'[17]16-PlantAdditions'!$E$103</f>
        <v>64044.750000000007</v>
      </c>
      <c r="F381" s="101">
        <f t="shared" si="67"/>
        <v>917974.75000000012</v>
      </c>
      <c r="G381" s="394">
        <v>0</v>
      </c>
      <c r="H381" s="394">
        <v>0</v>
      </c>
      <c r="I381" s="101">
        <f>(G381-H381)*'[17]16-PlantAdditions'!$E$103</f>
        <v>0</v>
      </c>
      <c r="J381" s="101">
        <f t="shared" si="68"/>
        <v>14183957.919499997</v>
      </c>
      <c r="K381" s="101">
        <f t="shared" si="69"/>
        <v>14183957.919499997</v>
      </c>
    </row>
    <row r="382" spans="1:11" s="451" customFormat="1" x14ac:dyDescent="0.2">
      <c r="A382" s="99">
        <f t="shared" si="66"/>
        <v>294</v>
      </c>
      <c r="B382" s="51" t="s">
        <v>10</v>
      </c>
      <c r="C382" s="424">
        <v>2018</v>
      </c>
      <c r="D382" s="394">
        <v>882930.00000000012</v>
      </c>
      <c r="E382" s="101">
        <f>D382*'[17]16-PlantAdditions'!$E$103</f>
        <v>66219.75</v>
      </c>
      <c r="F382" s="101">
        <f t="shared" si="67"/>
        <v>949149.75000000012</v>
      </c>
      <c r="G382" s="394">
        <v>0</v>
      </c>
      <c r="H382" s="394">
        <v>0</v>
      </c>
      <c r="I382" s="101">
        <f>(G382-H382)*'[17]16-PlantAdditions'!$E$103</f>
        <v>0</v>
      </c>
      <c r="J382" s="101">
        <f t="shared" si="68"/>
        <v>15133107.669499997</v>
      </c>
      <c r="K382" s="101">
        <f t="shared" si="69"/>
        <v>15133107.669499997</v>
      </c>
    </row>
    <row r="383" spans="1:11" s="451" customFormat="1" x14ac:dyDescent="0.2">
      <c r="A383" s="99">
        <f t="shared" si="66"/>
        <v>295</v>
      </c>
      <c r="B383" s="51" t="s">
        <v>25</v>
      </c>
      <c r="C383" s="424">
        <v>2018</v>
      </c>
      <c r="D383" s="394">
        <v>895930.00000000012</v>
      </c>
      <c r="E383" s="101">
        <f>D383*'[17]16-PlantAdditions'!$E$103</f>
        <v>67194.75</v>
      </c>
      <c r="F383" s="101">
        <f t="shared" si="67"/>
        <v>963124.75000000012</v>
      </c>
      <c r="G383" s="394">
        <v>0</v>
      </c>
      <c r="H383" s="394">
        <v>0</v>
      </c>
      <c r="I383" s="101">
        <f>(G383-H383)*'[17]16-PlantAdditions'!$E$103</f>
        <v>0</v>
      </c>
      <c r="J383" s="101">
        <f t="shared" si="68"/>
        <v>16096232.419499997</v>
      </c>
      <c r="K383" s="101">
        <f t="shared" si="69"/>
        <v>16096232.419499997</v>
      </c>
    </row>
    <row r="384" spans="1:11" s="451" customFormat="1" x14ac:dyDescent="0.2">
      <c r="A384" s="99">
        <f t="shared" si="66"/>
        <v>296</v>
      </c>
      <c r="B384" s="56" t="s">
        <v>11</v>
      </c>
      <c r="C384" s="424">
        <v>2018</v>
      </c>
      <c r="D384" s="394">
        <v>880860</v>
      </c>
      <c r="E384" s="101">
        <f>D384*'[17]16-PlantAdditions'!$E$103</f>
        <v>66064.5</v>
      </c>
      <c r="F384" s="101">
        <f t="shared" si="67"/>
        <v>946924.5</v>
      </c>
      <c r="G384" s="394">
        <v>0</v>
      </c>
      <c r="H384" s="394">
        <v>0</v>
      </c>
      <c r="I384" s="101">
        <f>(G384-H384)*'[17]16-PlantAdditions'!$E$103</f>
        <v>0</v>
      </c>
      <c r="J384" s="101">
        <f t="shared" si="68"/>
        <v>17043156.919499997</v>
      </c>
      <c r="K384" s="101">
        <f t="shared" si="69"/>
        <v>17043156.919499997</v>
      </c>
    </row>
    <row r="385" spans="1:11" s="451" customFormat="1" x14ac:dyDescent="0.2">
      <c r="A385" s="99">
        <f t="shared" si="66"/>
        <v>297</v>
      </c>
      <c r="B385" s="51" t="s">
        <v>12</v>
      </c>
      <c r="C385" s="424">
        <v>2018</v>
      </c>
      <c r="D385" s="394">
        <v>882860</v>
      </c>
      <c r="E385" s="101">
        <f>D385*'[17]16-PlantAdditions'!$E$103</f>
        <v>66214.5</v>
      </c>
      <c r="F385" s="101">
        <f t="shared" si="67"/>
        <v>949074.5</v>
      </c>
      <c r="G385" s="394">
        <v>0</v>
      </c>
      <c r="H385" s="394">
        <v>0</v>
      </c>
      <c r="I385" s="101">
        <f>(G385-H385)*'[17]16-PlantAdditions'!$E$103</f>
        <v>0</v>
      </c>
      <c r="J385" s="101">
        <f t="shared" si="68"/>
        <v>17992231.419499997</v>
      </c>
      <c r="K385" s="101">
        <f t="shared" si="69"/>
        <v>17992231.419499997</v>
      </c>
    </row>
    <row r="386" spans="1:11" s="451" customFormat="1" x14ac:dyDescent="0.2">
      <c r="A386" s="99">
        <f t="shared" si="66"/>
        <v>298</v>
      </c>
      <c r="B386" s="51" t="s">
        <v>13</v>
      </c>
      <c r="C386" s="424">
        <v>2018</v>
      </c>
      <c r="D386" s="394">
        <v>945860</v>
      </c>
      <c r="E386" s="101">
        <f>D386*'[17]16-PlantAdditions'!$E$103</f>
        <v>70939.5</v>
      </c>
      <c r="F386" s="101">
        <f t="shared" si="67"/>
        <v>1016799.5</v>
      </c>
      <c r="G386" s="394">
        <v>0</v>
      </c>
      <c r="H386" s="394">
        <v>0</v>
      </c>
      <c r="I386" s="101">
        <f>(G386-H386)*'[17]16-PlantAdditions'!$E$103</f>
        <v>0</v>
      </c>
      <c r="J386" s="101">
        <f t="shared" si="68"/>
        <v>19009030.919499997</v>
      </c>
      <c r="K386" s="101">
        <f t="shared" si="69"/>
        <v>19009030.919499997</v>
      </c>
    </row>
    <row r="387" spans="1:11" s="451" customFormat="1" x14ac:dyDescent="0.2">
      <c r="A387" s="99">
        <f t="shared" si="66"/>
        <v>299</v>
      </c>
      <c r="B387" s="56" t="s">
        <v>15</v>
      </c>
      <c r="C387" s="424">
        <v>2018</v>
      </c>
      <c r="D387" s="394">
        <v>598790</v>
      </c>
      <c r="E387" s="101">
        <f>D387*'[17]16-PlantAdditions'!$E$103</f>
        <v>44909.25</v>
      </c>
      <c r="F387" s="101">
        <f t="shared" si="67"/>
        <v>643699.25</v>
      </c>
      <c r="G387" s="394">
        <v>0</v>
      </c>
      <c r="H387" s="394">
        <v>0</v>
      </c>
      <c r="I387" s="101">
        <f>(G387-H387)*'[17]16-PlantAdditions'!$E$103</f>
        <v>0</v>
      </c>
      <c r="J387" s="101">
        <f t="shared" si="68"/>
        <v>19652730.169499997</v>
      </c>
      <c r="K387" s="101">
        <f t="shared" si="69"/>
        <v>19652730.169499997</v>
      </c>
    </row>
    <row r="388" spans="1:11" s="451" customFormat="1" x14ac:dyDescent="0.2">
      <c r="A388" s="99">
        <f t="shared" si="66"/>
        <v>300</v>
      </c>
      <c r="B388" s="56" t="s">
        <v>14</v>
      </c>
      <c r="C388" s="424">
        <v>2018</v>
      </c>
      <c r="D388" s="394">
        <v>304720</v>
      </c>
      <c r="E388" s="101">
        <f>D388*'[17]16-PlantAdditions'!$E$103</f>
        <v>22854</v>
      </c>
      <c r="F388" s="101">
        <f t="shared" si="67"/>
        <v>327574</v>
      </c>
      <c r="G388" s="394">
        <v>0</v>
      </c>
      <c r="H388" s="394">
        <v>0</v>
      </c>
      <c r="I388" s="101">
        <f>(G388-H388)*'[17]16-PlantAdditions'!$E$103</f>
        <v>0</v>
      </c>
      <c r="J388" s="101">
        <f t="shared" si="68"/>
        <v>19980304.169499997</v>
      </c>
      <c r="K388" s="101">
        <f t="shared" si="69"/>
        <v>19980304.169499997</v>
      </c>
    </row>
    <row r="389" spans="1:11" s="451" customFormat="1" x14ac:dyDescent="0.2">
      <c r="A389" s="99">
        <f t="shared" si="66"/>
        <v>301</v>
      </c>
      <c r="B389" s="56" t="s">
        <v>6</v>
      </c>
      <c r="C389" s="424">
        <v>2018</v>
      </c>
      <c r="D389" s="394">
        <v>846161</v>
      </c>
      <c r="E389" s="101">
        <f>D389*'[17]16-PlantAdditions'!$E$103</f>
        <v>63462.074999999997</v>
      </c>
      <c r="F389" s="101">
        <f t="shared" si="67"/>
        <v>909623.07499999995</v>
      </c>
      <c r="G389" s="394">
        <v>36717.159999999996</v>
      </c>
      <c r="H389" s="394">
        <v>15957.7</v>
      </c>
      <c r="I389" s="101">
        <f>(G389-H389)*'[17]16-PlantAdditions'!$E$103</f>
        <v>1556.9594999999997</v>
      </c>
      <c r="J389" s="101">
        <f t="shared" si="68"/>
        <v>20851653.124999996</v>
      </c>
      <c r="K389" s="101">
        <f t="shared" si="69"/>
        <v>20851653.124999996</v>
      </c>
    </row>
    <row r="390" spans="1:11" s="451" customFormat="1" x14ac:dyDescent="0.2">
      <c r="A390" s="99">
        <f t="shared" si="66"/>
        <v>302</v>
      </c>
      <c r="B390" s="56" t="s">
        <v>7</v>
      </c>
      <c r="C390" s="424">
        <v>2019</v>
      </c>
      <c r="D390" s="394">
        <v>467930</v>
      </c>
      <c r="E390" s="101">
        <f>D390*'[17]16-PlantAdditions'!$E$103</f>
        <v>35094.75</v>
      </c>
      <c r="F390" s="101">
        <f t="shared" si="67"/>
        <v>503024.75</v>
      </c>
      <c r="G390" s="394">
        <v>930</v>
      </c>
      <c r="H390" s="394">
        <v>0</v>
      </c>
      <c r="I390" s="101">
        <f>(G390-H390)*'[17]16-PlantAdditions'!$E$103</f>
        <v>69.75</v>
      </c>
      <c r="J390" s="101">
        <f t="shared" si="68"/>
        <v>21353678.124999996</v>
      </c>
      <c r="K390" s="101">
        <f t="shared" si="69"/>
        <v>21353678.124999996</v>
      </c>
    </row>
    <row r="391" spans="1:11" s="451" customFormat="1" x14ac:dyDescent="0.2">
      <c r="A391" s="99">
        <f t="shared" si="66"/>
        <v>303</v>
      </c>
      <c r="B391" s="51" t="s">
        <v>8</v>
      </c>
      <c r="C391" s="424">
        <v>2019</v>
      </c>
      <c r="D391" s="394">
        <v>1274860.0000000002</v>
      </c>
      <c r="E391" s="101">
        <f>D391*'[17]16-PlantAdditions'!$E$103</f>
        <v>95614.500000000015</v>
      </c>
      <c r="F391" s="101">
        <f t="shared" si="67"/>
        <v>1370474.5000000002</v>
      </c>
      <c r="G391" s="394">
        <v>1860</v>
      </c>
      <c r="H391" s="394">
        <v>0</v>
      </c>
      <c r="I391" s="101">
        <f>(G391-H391)*'[17]16-PlantAdditions'!$E$103</f>
        <v>139.5</v>
      </c>
      <c r="J391" s="101">
        <f t="shared" si="68"/>
        <v>22722153.124999996</v>
      </c>
      <c r="K391" s="101">
        <f t="shared" si="69"/>
        <v>22722153.124999996</v>
      </c>
    </row>
    <row r="392" spans="1:11" s="451" customFormat="1" x14ac:dyDescent="0.2">
      <c r="A392" s="99">
        <f t="shared" si="66"/>
        <v>304</v>
      </c>
      <c r="B392" s="51" t="s">
        <v>18</v>
      </c>
      <c r="C392" s="424">
        <v>2019</v>
      </c>
      <c r="D392" s="394">
        <v>1280860.0000000002</v>
      </c>
      <c r="E392" s="101">
        <f>D392*'[17]16-PlantAdditions'!$E$103</f>
        <v>96064.500000000015</v>
      </c>
      <c r="F392" s="101">
        <f t="shared" si="67"/>
        <v>1376924.5000000002</v>
      </c>
      <c r="G392" s="394">
        <v>1860</v>
      </c>
      <c r="H392" s="394">
        <v>0</v>
      </c>
      <c r="I392" s="101">
        <f>(G392-H392)*'[17]16-PlantAdditions'!$E$103</f>
        <v>139.5</v>
      </c>
      <c r="J392" s="101">
        <f t="shared" si="68"/>
        <v>24097078.124999996</v>
      </c>
      <c r="K392" s="101">
        <f t="shared" si="69"/>
        <v>24097078.124999996</v>
      </c>
    </row>
    <row r="393" spans="1:11" s="451" customFormat="1" x14ac:dyDescent="0.2">
      <c r="A393" s="99">
        <f t="shared" si="66"/>
        <v>305</v>
      </c>
      <c r="B393" s="56" t="s">
        <v>9</v>
      </c>
      <c r="C393" s="424">
        <v>2019</v>
      </c>
      <c r="D393" s="394">
        <v>1268860.0000000002</v>
      </c>
      <c r="E393" s="101">
        <f>D393*'[17]16-PlantAdditions'!$E$103</f>
        <v>95164.500000000015</v>
      </c>
      <c r="F393" s="101">
        <f t="shared" si="67"/>
        <v>1364024.5000000002</v>
      </c>
      <c r="G393" s="394">
        <v>1860</v>
      </c>
      <c r="H393" s="394">
        <v>0</v>
      </c>
      <c r="I393" s="101">
        <f>(G393-H393)*'[17]16-PlantAdditions'!$E$103</f>
        <v>139.5</v>
      </c>
      <c r="J393" s="101">
        <f t="shared" si="68"/>
        <v>25459103.124999996</v>
      </c>
      <c r="K393" s="101">
        <f t="shared" si="69"/>
        <v>25459103.124999996</v>
      </c>
    </row>
    <row r="394" spans="1:11" s="451" customFormat="1" x14ac:dyDescent="0.2">
      <c r="A394" s="99">
        <f t="shared" si="66"/>
        <v>306</v>
      </c>
      <c r="B394" s="51" t="s">
        <v>10</v>
      </c>
      <c r="C394" s="424">
        <v>2019</v>
      </c>
      <c r="D394" s="394">
        <v>1337300</v>
      </c>
      <c r="E394" s="101">
        <f>D394*'[17]16-PlantAdditions'!$E$103</f>
        <v>100297.5</v>
      </c>
      <c r="F394" s="101">
        <f t="shared" si="67"/>
        <v>1437597.5</v>
      </c>
      <c r="G394" s="394">
        <v>9300</v>
      </c>
      <c r="H394" s="394">
        <v>0</v>
      </c>
      <c r="I394" s="101">
        <f>(G394-H394)*'[17]16-PlantAdditions'!$E$103</f>
        <v>697.5</v>
      </c>
      <c r="J394" s="101">
        <f t="shared" si="68"/>
        <v>26886703.124999996</v>
      </c>
      <c r="K394" s="101">
        <f t="shared" si="69"/>
        <v>26886703.124999996</v>
      </c>
    </row>
    <row r="395" spans="1:11" s="451" customFormat="1" x14ac:dyDescent="0.2">
      <c r="A395" s="99">
        <f t="shared" si="66"/>
        <v>307</v>
      </c>
      <c r="B395" s="51" t="s">
        <v>25</v>
      </c>
      <c r="C395" s="424">
        <v>2019</v>
      </c>
      <c r="D395" s="394">
        <v>15335150</v>
      </c>
      <c r="E395" s="101">
        <f>D395*'[17]16-PlantAdditions'!$E$103</f>
        <v>1150136.25</v>
      </c>
      <c r="F395" s="101">
        <f t="shared" si="67"/>
        <v>16485286.25</v>
      </c>
      <c r="G395" s="394">
        <v>9300</v>
      </c>
      <c r="H395" s="394">
        <v>0</v>
      </c>
      <c r="I395" s="101">
        <f>(G395-H395)*'[17]16-PlantAdditions'!$E$103</f>
        <v>697.5</v>
      </c>
      <c r="J395" s="101">
        <f t="shared" si="68"/>
        <v>43361991.875</v>
      </c>
      <c r="K395" s="101">
        <f t="shared" si="69"/>
        <v>43361991.875</v>
      </c>
    </row>
    <row r="396" spans="1:11" s="451" customFormat="1" x14ac:dyDescent="0.2">
      <c r="A396" s="99">
        <f t="shared" si="66"/>
        <v>308</v>
      </c>
      <c r="B396" s="56" t="s">
        <v>11</v>
      </c>
      <c r="C396" s="424">
        <v>2019</v>
      </c>
      <c r="D396" s="394">
        <v>698300</v>
      </c>
      <c r="E396" s="101">
        <f>D396*'[17]16-PlantAdditions'!$E$103</f>
        <v>52372.5</v>
      </c>
      <c r="F396" s="101">
        <f t="shared" si="67"/>
        <v>750672.5</v>
      </c>
      <c r="G396" s="394">
        <v>9300</v>
      </c>
      <c r="H396" s="394">
        <v>0</v>
      </c>
      <c r="I396" s="101">
        <f>(G396-H396)*'[17]16-PlantAdditions'!$E$103</f>
        <v>697.5</v>
      </c>
      <c r="J396" s="101">
        <f t="shared" si="68"/>
        <v>44102666.875</v>
      </c>
      <c r="K396" s="101">
        <f t="shared" si="69"/>
        <v>44102666.875</v>
      </c>
    </row>
    <row r="397" spans="1:11" s="451" customFormat="1" x14ac:dyDescent="0.2">
      <c r="A397" s="99">
        <f t="shared" si="66"/>
        <v>309</v>
      </c>
      <c r="B397" s="51" t="s">
        <v>12</v>
      </c>
      <c r="C397" s="424">
        <v>2019</v>
      </c>
      <c r="D397" s="394">
        <v>634300</v>
      </c>
      <c r="E397" s="101">
        <f>D397*'[17]16-PlantAdditions'!$E$103</f>
        <v>47572.5</v>
      </c>
      <c r="F397" s="101">
        <f t="shared" si="67"/>
        <v>681872.5</v>
      </c>
      <c r="G397" s="394">
        <v>13998455.939999999</v>
      </c>
      <c r="H397" s="394">
        <v>8470082.9399999995</v>
      </c>
      <c r="I397" s="101">
        <f>(G397-H397)*'[17]16-PlantAdditions'!$E$103</f>
        <v>414627.97499999998</v>
      </c>
      <c r="J397" s="101">
        <f t="shared" si="68"/>
        <v>30371455.460000001</v>
      </c>
      <c r="K397" s="101">
        <f t="shared" si="69"/>
        <v>30371455.460000001</v>
      </c>
    </row>
    <row r="398" spans="1:11" s="451" customFormat="1" x14ac:dyDescent="0.2">
      <c r="A398" s="99">
        <f t="shared" si="66"/>
        <v>310</v>
      </c>
      <c r="B398" s="51" t="s">
        <v>13</v>
      </c>
      <c r="C398" s="424">
        <v>2019</v>
      </c>
      <c r="D398" s="394">
        <v>475600</v>
      </c>
      <c r="E398" s="101">
        <f>D398*'[17]16-PlantAdditions'!$E$103</f>
        <v>35670</v>
      </c>
      <c r="F398" s="101">
        <f t="shared" si="67"/>
        <v>511270</v>
      </c>
      <c r="G398" s="394">
        <v>23600</v>
      </c>
      <c r="H398" s="394">
        <v>0</v>
      </c>
      <c r="I398" s="101">
        <f>(G398-H398)*'[17]16-PlantAdditions'!$E$103</f>
        <v>1770</v>
      </c>
      <c r="J398" s="101">
        <f t="shared" si="68"/>
        <v>30857355.460000001</v>
      </c>
      <c r="K398" s="101">
        <f t="shared" si="69"/>
        <v>30857355.460000001</v>
      </c>
    </row>
    <row r="399" spans="1:11" s="451" customFormat="1" x14ac:dyDescent="0.2">
      <c r="A399" s="99">
        <f t="shared" si="66"/>
        <v>311</v>
      </c>
      <c r="B399" s="51" t="s">
        <v>15</v>
      </c>
      <c r="C399" s="424">
        <v>2019</v>
      </c>
      <c r="D399" s="394">
        <v>15244900</v>
      </c>
      <c r="E399" s="101">
        <f>D399*'[17]16-PlantAdditions'!$E$103</f>
        <v>1143367.5</v>
      </c>
      <c r="F399" s="101">
        <f t="shared" si="67"/>
        <v>16388267.5</v>
      </c>
      <c r="G399" s="394">
        <v>14191373.269999998</v>
      </c>
      <c r="H399" s="394">
        <v>6167259.2699999996</v>
      </c>
      <c r="I399" s="101">
        <f>(G399-H399)*'[17]16-PlantAdditions'!$E$103</f>
        <v>601808.54999999981</v>
      </c>
      <c r="J399" s="101">
        <f t="shared" si="68"/>
        <v>32452441.140000004</v>
      </c>
      <c r="K399" s="101">
        <f t="shared" si="69"/>
        <v>32452441.140000004</v>
      </c>
    </row>
    <row r="400" spans="1:11" s="451" customFormat="1" x14ac:dyDescent="0.2">
      <c r="A400" s="99">
        <f t="shared" si="66"/>
        <v>312</v>
      </c>
      <c r="B400" s="51" t="s">
        <v>14</v>
      </c>
      <c r="C400" s="424">
        <v>2019</v>
      </c>
      <c r="D400" s="394">
        <v>4581991</v>
      </c>
      <c r="E400" s="101">
        <f>D400*'[17]16-PlantAdditions'!$E$103</f>
        <v>343649.32500000001</v>
      </c>
      <c r="F400" s="101">
        <f t="shared" si="67"/>
        <v>4925640.3250000002</v>
      </c>
      <c r="G400" s="394">
        <v>16164858.359999998</v>
      </c>
      <c r="H400" s="394">
        <v>6140181.3599999994</v>
      </c>
      <c r="I400" s="101">
        <f>(G400-H400)*'[17]16-PlantAdditions'!$E$103</f>
        <v>751850.77499999979</v>
      </c>
      <c r="J400" s="101">
        <f t="shared" si="68"/>
        <v>20461372.330000006</v>
      </c>
      <c r="K400" s="101">
        <f t="shared" si="69"/>
        <v>20461372.330000006</v>
      </c>
    </row>
    <row r="401" spans="1:11" s="451" customFormat="1" x14ac:dyDescent="0.2">
      <c r="A401" s="99">
        <f t="shared" si="66"/>
        <v>313</v>
      </c>
      <c r="B401" s="51" t="s">
        <v>6</v>
      </c>
      <c r="C401" s="424">
        <v>2019</v>
      </c>
      <c r="D401" s="394">
        <v>4343830.0000000019</v>
      </c>
      <c r="E401" s="101">
        <f>D401*'[17]16-PlantAdditions'!$E$103</f>
        <v>325787.25000000012</v>
      </c>
      <c r="F401" s="101">
        <f t="shared" si="67"/>
        <v>4669617.2500000019</v>
      </c>
      <c r="G401" s="394">
        <v>1285159.9999999998</v>
      </c>
      <c r="H401" s="394">
        <v>0</v>
      </c>
      <c r="I401" s="101">
        <f>(G401-H401)*'[17]16-PlantAdditions'!$E$103</f>
        <v>96386.999999999985</v>
      </c>
      <c r="J401" s="101">
        <f t="shared" si="68"/>
        <v>23749442.580000006</v>
      </c>
      <c r="K401" s="109">
        <f t="shared" si="69"/>
        <v>23749442.580000006</v>
      </c>
    </row>
    <row r="402" spans="1:11" s="451" customFormat="1" x14ac:dyDescent="0.2">
      <c r="A402" s="99">
        <f t="shared" si="66"/>
        <v>314</v>
      </c>
      <c r="B402"/>
      <c r="C402" s="448" t="s">
        <v>953</v>
      </c>
      <c r="H402" s="445"/>
      <c r="I402" s="445"/>
      <c r="K402" s="449">
        <f>AVERAGE(K389:K401)</f>
        <v>28209776.497692302</v>
      </c>
    </row>
    <row r="403" spans="1:11" s="451" customFormat="1" x14ac:dyDescent="0.2">
      <c r="A403" s="99"/>
      <c r="B403"/>
      <c r="C403" s="448"/>
      <c r="H403" s="445"/>
      <c r="I403" s="445"/>
      <c r="K403" s="449"/>
    </row>
    <row r="404" spans="1:11" s="451" customFormat="1" x14ac:dyDescent="0.2">
      <c r="B404" s="452" t="s">
        <v>977</v>
      </c>
      <c r="D404" s="459" t="s">
        <v>978</v>
      </c>
      <c r="E404" s="459"/>
      <c r="F404" s="146"/>
      <c r="G404" s="146"/>
    </row>
    <row r="405" spans="1:11" s="451" customFormat="1" x14ac:dyDescent="0.2">
      <c r="A405" s="440"/>
      <c r="B405" s="440"/>
      <c r="C405" s="440"/>
      <c r="D405" s="440" t="s">
        <v>152</v>
      </c>
      <c r="E405" s="440" t="s">
        <v>153</v>
      </c>
      <c r="F405" s="440" t="s">
        <v>154</v>
      </c>
      <c r="G405" s="440" t="s">
        <v>155</v>
      </c>
      <c r="H405" s="440" t="s">
        <v>904</v>
      </c>
      <c r="I405" s="440" t="s">
        <v>905</v>
      </c>
      <c r="J405" s="440" t="s">
        <v>920</v>
      </c>
      <c r="K405" s="440" t="s">
        <v>921</v>
      </c>
    </row>
    <row r="406" spans="1:11" s="451" customFormat="1" ht="38.25" x14ac:dyDescent="0.2">
      <c r="D406" s="453"/>
      <c r="E406" s="454" t="s">
        <v>956</v>
      </c>
      <c r="F406" s="445" t="s">
        <v>957</v>
      </c>
      <c r="G406" s="455"/>
      <c r="H406" s="453"/>
      <c r="I406" s="454" t="s">
        <v>958</v>
      </c>
      <c r="J406" s="454" t="s">
        <v>959</v>
      </c>
      <c r="K406" s="454" t="s">
        <v>960</v>
      </c>
    </row>
    <row r="407" spans="1:11" s="451" customFormat="1" x14ac:dyDescent="0.2">
      <c r="D407" s="453"/>
      <c r="E407" s="454"/>
      <c r="F407" s="445"/>
      <c r="G407" s="154" t="str">
        <f>G85</f>
        <v>Unloaded</v>
      </c>
      <c r="H407" s="453"/>
      <c r="I407" s="454"/>
      <c r="J407" s="454"/>
      <c r="K407" s="454"/>
    </row>
    <row r="408" spans="1:11" s="451" customFormat="1" x14ac:dyDescent="0.2">
      <c r="A408" s="443"/>
      <c r="B408" s="443"/>
      <c r="C408" s="443"/>
      <c r="D408" s="443" t="str">
        <f>D$52</f>
        <v>Forecast</v>
      </c>
      <c r="E408" s="443" t="str">
        <f t="shared" ref="E408:J408" si="70">E$52</f>
        <v>Corporate</v>
      </c>
      <c r="F408" s="443" t="str">
        <f t="shared" si="70"/>
        <v xml:space="preserve">Total </v>
      </c>
      <c r="G408" s="154" t="str">
        <f>G86</f>
        <v>Total</v>
      </c>
      <c r="H408" s="443" t="str">
        <f t="shared" si="70"/>
        <v>Prior Period</v>
      </c>
      <c r="I408" s="443" t="str">
        <f t="shared" si="70"/>
        <v>Over Heads</v>
      </c>
      <c r="J408" s="443" t="str">
        <f t="shared" si="70"/>
        <v>Forecast</v>
      </c>
      <c r="K408" s="443" t="str">
        <f>K$52</f>
        <v>Forecast Period</v>
      </c>
    </row>
    <row r="409" spans="1:11" s="451" customFormat="1" x14ac:dyDescent="0.2">
      <c r="A409" s="136" t="s">
        <v>292</v>
      </c>
      <c r="B409" s="55" t="s">
        <v>16</v>
      </c>
      <c r="C409" s="55" t="s">
        <v>17</v>
      </c>
      <c r="D409" s="440" t="str">
        <f>D$53</f>
        <v>Expenditures</v>
      </c>
      <c r="E409" s="440" t="str">
        <f t="shared" ref="E409:J409" si="71">E$53</f>
        <v>Overheads</v>
      </c>
      <c r="F409" s="440" t="str">
        <f t="shared" si="71"/>
        <v>CWIP Exp</v>
      </c>
      <c r="G409" s="155" t="str">
        <f>G87</f>
        <v>Plant Adds</v>
      </c>
      <c r="H409" s="440" t="str">
        <f t="shared" si="71"/>
        <v>CWIP Closed</v>
      </c>
      <c r="I409" s="440" t="str">
        <f t="shared" si="71"/>
        <v>Closed to PIS</v>
      </c>
      <c r="J409" s="440" t="str">
        <f t="shared" si="71"/>
        <v>Period CWIP</v>
      </c>
      <c r="K409" s="440" t="str">
        <f>K$53</f>
        <v>Incremental CWIP</v>
      </c>
    </row>
    <row r="410" spans="1:11" s="451" customFormat="1" x14ac:dyDescent="0.2">
      <c r="A410" s="99">
        <f>A402+1</f>
        <v>315</v>
      </c>
      <c r="B410" s="56" t="s">
        <v>6</v>
      </c>
      <c r="C410" s="424">
        <v>2017</v>
      </c>
      <c r="D410" s="445" t="s">
        <v>935</v>
      </c>
      <c r="E410" s="445" t="s">
        <v>935</v>
      </c>
      <c r="F410" s="445" t="s">
        <v>935</v>
      </c>
      <c r="G410" s="445" t="s">
        <v>935</v>
      </c>
      <c r="H410" s="445" t="s">
        <v>935</v>
      </c>
      <c r="I410" s="445" t="s">
        <v>935</v>
      </c>
      <c r="J410" s="101">
        <v>0</v>
      </c>
      <c r="K410" s="445" t="s">
        <v>935</v>
      </c>
    </row>
    <row r="411" spans="1:11" s="451" customFormat="1" x14ac:dyDescent="0.2">
      <c r="A411" s="99">
        <f>A410+1</f>
        <v>316</v>
      </c>
      <c r="B411" s="56" t="s">
        <v>7</v>
      </c>
      <c r="C411" s="424">
        <v>2018</v>
      </c>
      <c r="D411" s="394"/>
      <c r="E411" s="101">
        <v>0</v>
      </c>
      <c r="F411" s="101">
        <f>E411+D411</f>
        <v>0</v>
      </c>
      <c r="G411" s="394"/>
      <c r="H411" s="394"/>
      <c r="I411" s="101">
        <v>0</v>
      </c>
      <c r="J411" s="101">
        <f>J410+F411-G411-I411</f>
        <v>0</v>
      </c>
      <c r="K411" s="101">
        <f>J411-$J$377</f>
        <v>0</v>
      </c>
    </row>
    <row r="412" spans="1:11" s="451" customFormat="1" x14ac:dyDescent="0.2">
      <c r="A412" s="99">
        <f t="shared" ref="A412:A435" si="72">A411+1</f>
        <v>317</v>
      </c>
      <c r="B412" s="51" t="s">
        <v>8</v>
      </c>
      <c r="C412" s="424">
        <v>2018</v>
      </c>
      <c r="D412" s="394"/>
      <c r="E412" s="101">
        <v>0</v>
      </c>
      <c r="F412" s="101">
        <f t="shared" ref="F412:F434" si="73">E412+D412</f>
        <v>0</v>
      </c>
      <c r="G412" s="394"/>
      <c r="H412" s="394"/>
      <c r="I412" s="101">
        <v>0</v>
      </c>
      <c r="J412" s="101">
        <f t="shared" ref="J412:J434" si="74">J411+F412-G412-I412</f>
        <v>0</v>
      </c>
      <c r="K412" s="101">
        <f t="shared" ref="K412:K434" si="75">J412-$J$377</f>
        <v>0</v>
      </c>
    </row>
    <row r="413" spans="1:11" s="451" customFormat="1" x14ac:dyDescent="0.2">
      <c r="A413" s="99">
        <f t="shared" si="72"/>
        <v>318</v>
      </c>
      <c r="B413" s="51" t="s">
        <v>18</v>
      </c>
      <c r="C413" s="424">
        <v>2018</v>
      </c>
      <c r="D413" s="394"/>
      <c r="E413" s="101">
        <v>0</v>
      </c>
      <c r="F413" s="101">
        <f t="shared" si="73"/>
        <v>0</v>
      </c>
      <c r="G413" s="394"/>
      <c r="H413" s="394"/>
      <c r="I413" s="101">
        <v>0</v>
      </c>
      <c r="J413" s="101">
        <f t="shared" si="74"/>
        <v>0</v>
      </c>
      <c r="K413" s="101">
        <f t="shared" si="75"/>
        <v>0</v>
      </c>
    </row>
    <row r="414" spans="1:11" s="451" customFormat="1" x14ac:dyDescent="0.2">
      <c r="A414" s="99">
        <f t="shared" si="72"/>
        <v>319</v>
      </c>
      <c r="B414" s="56" t="s">
        <v>9</v>
      </c>
      <c r="C414" s="424">
        <v>2018</v>
      </c>
      <c r="D414" s="394"/>
      <c r="E414" s="101">
        <v>0</v>
      </c>
      <c r="F414" s="101">
        <f t="shared" si="73"/>
        <v>0</v>
      </c>
      <c r="G414" s="394"/>
      <c r="H414" s="394"/>
      <c r="I414" s="101">
        <v>0</v>
      </c>
      <c r="J414" s="101">
        <f t="shared" si="74"/>
        <v>0</v>
      </c>
      <c r="K414" s="101">
        <f t="shared" si="75"/>
        <v>0</v>
      </c>
    </row>
    <row r="415" spans="1:11" s="451" customFormat="1" x14ac:dyDescent="0.2">
      <c r="A415" s="99">
        <f t="shared" si="72"/>
        <v>320</v>
      </c>
      <c r="B415" s="51" t="s">
        <v>10</v>
      </c>
      <c r="C415" s="424">
        <v>2018</v>
      </c>
      <c r="D415" s="394"/>
      <c r="E415" s="101">
        <v>0</v>
      </c>
      <c r="F415" s="101">
        <f t="shared" si="73"/>
        <v>0</v>
      </c>
      <c r="G415" s="394"/>
      <c r="H415" s="394"/>
      <c r="I415" s="101">
        <v>0</v>
      </c>
      <c r="J415" s="101">
        <f t="shared" si="74"/>
        <v>0</v>
      </c>
      <c r="K415" s="101">
        <f t="shared" si="75"/>
        <v>0</v>
      </c>
    </row>
    <row r="416" spans="1:11" s="451" customFormat="1" x14ac:dyDescent="0.2">
      <c r="A416" s="99">
        <f t="shared" si="72"/>
        <v>321</v>
      </c>
      <c r="B416" s="51" t="s">
        <v>25</v>
      </c>
      <c r="C416" s="424">
        <v>2018</v>
      </c>
      <c r="D416" s="394"/>
      <c r="E416" s="101">
        <v>0</v>
      </c>
      <c r="F416" s="101">
        <f t="shared" si="73"/>
        <v>0</v>
      </c>
      <c r="G416" s="394"/>
      <c r="H416" s="394"/>
      <c r="I416" s="101">
        <v>0</v>
      </c>
      <c r="J416" s="101">
        <f t="shared" si="74"/>
        <v>0</v>
      </c>
      <c r="K416" s="101">
        <f t="shared" si="75"/>
        <v>0</v>
      </c>
    </row>
    <row r="417" spans="1:11" s="451" customFormat="1" x14ac:dyDescent="0.2">
      <c r="A417" s="99">
        <f t="shared" si="72"/>
        <v>322</v>
      </c>
      <c r="B417" s="56" t="s">
        <v>11</v>
      </c>
      <c r="C417" s="424">
        <v>2018</v>
      </c>
      <c r="D417" s="394"/>
      <c r="E417" s="101">
        <v>0</v>
      </c>
      <c r="F417" s="101">
        <f t="shared" si="73"/>
        <v>0</v>
      </c>
      <c r="G417" s="394"/>
      <c r="H417" s="394"/>
      <c r="I417" s="101">
        <v>0</v>
      </c>
      <c r="J417" s="101">
        <f t="shared" si="74"/>
        <v>0</v>
      </c>
      <c r="K417" s="101">
        <f t="shared" si="75"/>
        <v>0</v>
      </c>
    </row>
    <row r="418" spans="1:11" s="451" customFormat="1" x14ac:dyDescent="0.2">
      <c r="A418" s="99">
        <f t="shared" si="72"/>
        <v>323</v>
      </c>
      <c r="B418" s="51" t="s">
        <v>12</v>
      </c>
      <c r="C418" s="424">
        <v>2018</v>
      </c>
      <c r="D418" s="394"/>
      <c r="E418" s="101">
        <v>0</v>
      </c>
      <c r="F418" s="101">
        <f t="shared" si="73"/>
        <v>0</v>
      </c>
      <c r="G418" s="394"/>
      <c r="H418" s="394"/>
      <c r="I418" s="101">
        <v>0</v>
      </c>
      <c r="J418" s="101">
        <f t="shared" si="74"/>
        <v>0</v>
      </c>
      <c r="K418" s="101">
        <f t="shared" si="75"/>
        <v>0</v>
      </c>
    </row>
    <row r="419" spans="1:11" s="451" customFormat="1" x14ac:dyDescent="0.2">
      <c r="A419" s="99">
        <f t="shared" si="72"/>
        <v>324</v>
      </c>
      <c r="B419" s="51" t="s">
        <v>13</v>
      </c>
      <c r="C419" s="424">
        <v>2018</v>
      </c>
      <c r="D419" s="394"/>
      <c r="E419" s="101">
        <v>0</v>
      </c>
      <c r="F419" s="101">
        <f t="shared" si="73"/>
        <v>0</v>
      </c>
      <c r="G419" s="394"/>
      <c r="H419" s="394"/>
      <c r="I419" s="101">
        <v>0</v>
      </c>
      <c r="J419" s="101">
        <f t="shared" si="74"/>
        <v>0</v>
      </c>
      <c r="K419" s="101">
        <f t="shared" si="75"/>
        <v>0</v>
      </c>
    </row>
    <row r="420" spans="1:11" s="451" customFormat="1" x14ac:dyDescent="0.2">
      <c r="A420" s="99">
        <f t="shared" si="72"/>
        <v>325</v>
      </c>
      <c r="B420" s="56" t="s">
        <v>15</v>
      </c>
      <c r="C420" s="424">
        <v>2018</v>
      </c>
      <c r="D420" s="394"/>
      <c r="E420" s="101">
        <v>0</v>
      </c>
      <c r="F420" s="101">
        <f t="shared" si="73"/>
        <v>0</v>
      </c>
      <c r="G420" s="394"/>
      <c r="H420" s="394"/>
      <c r="I420" s="101">
        <v>0</v>
      </c>
      <c r="J420" s="101">
        <f t="shared" si="74"/>
        <v>0</v>
      </c>
      <c r="K420" s="101">
        <f t="shared" si="75"/>
        <v>0</v>
      </c>
    </row>
    <row r="421" spans="1:11" s="451" customFormat="1" x14ac:dyDescent="0.2">
      <c r="A421" s="99">
        <f t="shared" si="72"/>
        <v>326</v>
      </c>
      <c r="B421" s="56" t="s">
        <v>14</v>
      </c>
      <c r="C421" s="424">
        <v>2018</v>
      </c>
      <c r="D421" s="394"/>
      <c r="E421" s="101">
        <v>0</v>
      </c>
      <c r="F421" s="101">
        <f t="shared" si="73"/>
        <v>0</v>
      </c>
      <c r="G421" s="394"/>
      <c r="H421" s="394"/>
      <c r="I421" s="101">
        <v>0</v>
      </c>
      <c r="J421" s="101">
        <f t="shared" si="74"/>
        <v>0</v>
      </c>
      <c r="K421" s="101">
        <f t="shared" si="75"/>
        <v>0</v>
      </c>
    </row>
    <row r="422" spans="1:11" s="451" customFormat="1" x14ac:dyDescent="0.2">
      <c r="A422" s="99">
        <f t="shared" si="72"/>
        <v>327</v>
      </c>
      <c r="B422" s="56" t="s">
        <v>6</v>
      </c>
      <c r="C422" s="424">
        <v>2018</v>
      </c>
      <c r="D422" s="394"/>
      <c r="E422" s="101">
        <v>0</v>
      </c>
      <c r="F422" s="101">
        <f t="shared" si="73"/>
        <v>0</v>
      </c>
      <c r="G422" s="394"/>
      <c r="H422" s="394"/>
      <c r="I422" s="101">
        <v>0</v>
      </c>
      <c r="J422" s="101">
        <f t="shared" si="74"/>
        <v>0</v>
      </c>
      <c r="K422" s="101">
        <f t="shared" si="75"/>
        <v>0</v>
      </c>
    </row>
    <row r="423" spans="1:11" s="451" customFormat="1" x14ac:dyDescent="0.2">
      <c r="A423" s="99">
        <f t="shared" si="72"/>
        <v>328</v>
      </c>
      <c r="B423" s="56" t="s">
        <v>7</v>
      </c>
      <c r="C423" s="424">
        <v>2019</v>
      </c>
      <c r="D423" s="394"/>
      <c r="E423" s="101">
        <v>0</v>
      </c>
      <c r="F423" s="101">
        <f t="shared" si="73"/>
        <v>0</v>
      </c>
      <c r="G423" s="394"/>
      <c r="H423" s="394"/>
      <c r="I423" s="101">
        <v>0</v>
      </c>
      <c r="J423" s="101">
        <f t="shared" si="74"/>
        <v>0</v>
      </c>
      <c r="K423" s="101">
        <f t="shared" si="75"/>
        <v>0</v>
      </c>
    </row>
    <row r="424" spans="1:11" s="451" customFormat="1" x14ac:dyDescent="0.2">
      <c r="A424" s="99">
        <f t="shared" si="72"/>
        <v>329</v>
      </c>
      <c r="B424" s="51" t="s">
        <v>8</v>
      </c>
      <c r="C424" s="424">
        <v>2019</v>
      </c>
      <c r="D424" s="394"/>
      <c r="E424" s="101">
        <v>0</v>
      </c>
      <c r="F424" s="101">
        <f t="shared" si="73"/>
        <v>0</v>
      </c>
      <c r="G424" s="394"/>
      <c r="H424" s="394"/>
      <c r="I424" s="101">
        <v>0</v>
      </c>
      <c r="J424" s="101">
        <f t="shared" si="74"/>
        <v>0</v>
      </c>
      <c r="K424" s="101">
        <f t="shared" si="75"/>
        <v>0</v>
      </c>
    </row>
    <row r="425" spans="1:11" s="451" customFormat="1" x14ac:dyDescent="0.2">
      <c r="A425" s="99">
        <f t="shared" si="72"/>
        <v>330</v>
      </c>
      <c r="B425" s="51" t="s">
        <v>18</v>
      </c>
      <c r="C425" s="424">
        <v>2019</v>
      </c>
      <c r="D425" s="394"/>
      <c r="E425" s="101">
        <v>0</v>
      </c>
      <c r="F425" s="101">
        <f t="shared" si="73"/>
        <v>0</v>
      </c>
      <c r="G425" s="394"/>
      <c r="H425" s="394"/>
      <c r="I425" s="101">
        <v>0</v>
      </c>
      <c r="J425" s="101">
        <f t="shared" si="74"/>
        <v>0</v>
      </c>
      <c r="K425" s="101">
        <f t="shared" si="75"/>
        <v>0</v>
      </c>
    </row>
    <row r="426" spans="1:11" s="451" customFormat="1" x14ac:dyDescent="0.2">
      <c r="A426" s="99">
        <f t="shared" si="72"/>
        <v>331</v>
      </c>
      <c r="B426" s="56" t="s">
        <v>9</v>
      </c>
      <c r="C426" s="424">
        <v>2019</v>
      </c>
      <c r="D426" s="394"/>
      <c r="E426" s="101">
        <v>0</v>
      </c>
      <c r="F426" s="101">
        <f t="shared" si="73"/>
        <v>0</v>
      </c>
      <c r="G426" s="394"/>
      <c r="H426" s="394"/>
      <c r="I426" s="101">
        <v>0</v>
      </c>
      <c r="J426" s="101">
        <f t="shared" si="74"/>
        <v>0</v>
      </c>
      <c r="K426" s="101">
        <f t="shared" si="75"/>
        <v>0</v>
      </c>
    </row>
    <row r="427" spans="1:11" s="451" customFormat="1" x14ac:dyDescent="0.2">
      <c r="A427" s="99">
        <f t="shared" si="72"/>
        <v>332</v>
      </c>
      <c r="B427" s="51" t="s">
        <v>10</v>
      </c>
      <c r="C427" s="424">
        <v>2019</v>
      </c>
      <c r="D427" s="394"/>
      <c r="E427" s="101">
        <v>0</v>
      </c>
      <c r="F427" s="101">
        <f t="shared" si="73"/>
        <v>0</v>
      </c>
      <c r="G427" s="394"/>
      <c r="H427" s="394"/>
      <c r="I427" s="101">
        <v>0</v>
      </c>
      <c r="J427" s="101">
        <f t="shared" si="74"/>
        <v>0</v>
      </c>
      <c r="K427" s="101">
        <f t="shared" si="75"/>
        <v>0</v>
      </c>
    </row>
    <row r="428" spans="1:11" s="451" customFormat="1" x14ac:dyDescent="0.2">
      <c r="A428" s="99">
        <f t="shared" si="72"/>
        <v>333</v>
      </c>
      <c r="B428" s="51" t="s">
        <v>25</v>
      </c>
      <c r="C428" s="424">
        <v>2019</v>
      </c>
      <c r="D428" s="394"/>
      <c r="E428" s="101">
        <v>0</v>
      </c>
      <c r="F428" s="101">
        <f t="shared" si="73"/>
        <v>0</v>
      </c>
      <c r="G428" s="394"/>
      <c r="H428" s="394"/>
      <c r="I428" s="101">
        <v>0</v>
      </c>
      <c r="J428" s="101">
        <f t="shared" si="74"/>
        <v>0</v>
      </c>
      <c r="K428" s="101">
        <f t="shared" si="75"/>
        <v>0</v>
      </c>
    </row>
    <row r="429" spans="1:11" s="451" customFormat="1" x14ac:dyDescent="0.2">
      <c r="A429" s="99">
        <f t="shared" si="72"/>
        <v>334</v>
      </c>
      <c r="B429" s="56" t="s">
        <v>11</v>
      </c>
      <c r="C429" s="424">
        <v>2019</v>
      </c>
      <c r="D429" s="394"/>
      <c r="E429" s="101">
        <v>0</v>
      </c>
      <c r="F429" s="101">
        <f t="shared" si="73"/>
        <v>0</v>
      </c>
      <c r="G429" s="394"/>
      <c r="H429" s="394"/>
      <c r="I429" s="101">
        <v>0</v>
      </c>
      <c r="J429" s="101">
        <f t="shared" si="74"/>
        <v>0</v>
      </c>
      <c r="K429" s="101">
        <f t="shared" si="75"/>
        <v>0</v>
      </c>
    </row>
    <row r="430" spans="1:11" s="451" customFormat="1" x14ac:dyDescent="0.2">
      <c r="A430" s="99">
        <f t="shared" si="72"/>
        <v>335</v>
      </c>
      <c r="B430" s="51" t="s">
        <v>12</v>
      </c>
      <c r="C430" s="424">
        <v>2019</v>
      </c>
      <c r="D430" s="394"/>
      <c r="E430" s="101">
        <v>0</v>
      </c>
      <c r="F430" s="101">
        <f t="shared" si="73"/>
        <v>0</v>
      </c>
      <c r="G430" s="394"/>
      <c r="H430" s="394"/>
      <c r="I430" s="101">
        <v>0</v>
      </c>
      <c r="J430" s="101">
        <f t="shared" si="74"/>
        <v>0</v>
      </c>
      <c r="K430" s="101">
        <f t="shared" si="75"/>
        <v>0</v>
      </c>
    </row>
    <row r="431" spans="1:11" s="451" customFormat="1" x14ac:dyDescent="0.2">
      <c r="A431" s="99">
        <f t="shared" si="72"/>
        <v>336</v>
      </c>
      <c r="B431" s="51" t="s">
        <v>13</v>
      </c>
      <c r="C431" s="424">
        <v>2019</v>
      </c>
      <c r="D431" s="394"/>
      <c r="E431" s="101">
        <v>0</v>
      </c>
      <c r="F431" s="101">
        <f t="shared" si="73"/>
        <v>0</v>
      </c>
      <c r="G431" s="394"/>
      <c r="H431" s="394"/>
      <c r="I431" s="101">
        <v>0</v>
      </c>
      <c r="J431" s="101">
        <f t="shared" si="74"/>
        <v>0</v>
      </c>
      <c r="K431" s="101">
        <f t="shared" si="75"/>
        <v>0</v>
      </c>
    </row>
    <row r="432" spans="1:11" s="451" customFormat="1" x14ac:dyDescent="0.2">
      <c r="A432" s="99">
        <f t="shared" si="72"/>
        <v>337</v>
      </c>
      <c r="B432" s="51" t="s">
        <v>15</v>
      </c>
      <c r="C432" s="424">
        <v>2019</v>
      </c>
      <c r="D432" s="394"/>
      <c r="E432" s="101">
        <v>0</v>
      </c>
      <c r="F432" s="101">
        <f t="shared" si="73"/>
        <v>0</v>
      </c>
      <c r="G432" s="394"/>
      <c r="H432" s="394"/>
      <c r="I432" s="101">
        <v>0</v>
      </c>
      <c r="J432" s="101">
        <f t="shared" si="74"/>
        <v>0</v>
      </c>
      <c r="K432" s="101">
        <f t="shared" si="75"/>
        <v>0</v>
      </c>
    </row>
    <row r="433" spans="1:11" s="451" customFormat="1" x14ac:dyDescent="0.2">
      <c r="A433" s="99">
        <f t="shared" si="72"/>
        <v>338</v>
      </c>
      <c r="B433" s="51" t="s">
        <v>14</v>
      </c>
      <c r="C433" s="424">
        <v>2019</v>
      </c>
      <c r="D433" s="394"/>
      <c r="E433" s="101">
        <v>0</v>
      </c>
      <c r="F433" s="101">
        <f t="shared" si="73"/>
        <v>0</v>
      </c>
      <c r="G433" s="394"/>
      <c r="H433" s="394"/>
      <c r="I433" s="101">
        <v>0</v>
      </c>
      <c r="J433" s="101">
        <f t="shared" si="74"/>
        <v>0</v>
      </c>
      <c r="K433" s="101">
        <f t="shared" si="75"/>
        <v>0</v>
      </c>
    </row>
    <row r="434" spans="1:11" s="451" customFormat="1" x14ac:dyDescent="0.2">
      <c r="A434" s="99">
        <f t="shared" si="72"/>
        <v>339</v>
      </c>
      <c r="B434" s="51" t="s">
        <v>6</v>
      </c>
      <c r="C434" s="424">
        <v>2019</v>
      </c>
      <c r="D434" s="394"/>
      <c r="E434" s="101">
        <v>0</v>
      </c>
      <c r="F434" s="101">
        <f t="shared" si="73"/>
        <v>0</v>
      </c>
      <c r="G434" s="394"/>
      <c r="H434" s="394"/>
      <c r="I434" s="101">
        <v>0</v>
      </c>
      <c r="J434" s="101">
        <f t="shared" si="74"/>
        <v>0</v>
      </c>
      <c r="K434" s="109">
        <f t="shared" si="75"/>
        <v>0</v>
      </c>
    </row>
    <row r="435" spans="1:11" s="451" customFormat="1" x14ac:dyDescent="0.2">
      <c r="A435" s="99">
        <f t="shared" si="72"/>
        <v>340</v>
      </c>
      <c r="B435"/>
      <c r="C435" s="448" t="s">
        <v>953</v>
      </c>
      <c r="H435" s="445"/>
      <c r="I435" s="445"/>
      <c r="K435" s="449">
        <f>AVERAGE(K422:K434)</f>
        <v>0</v>
      </c>
    </row>
    <row r="436" spans="1:11" s="451" customFormat="1" x14ac:dyDescent="0.2">
      <c r="A436" s="99"/>
      <c r="B436"/>
      <c r="C436" s="448"/>
      <c r="H436" s="445"/>
      <c r="I436" s="445"/>
      <c r="K436" s="449"/>
    </row>
    <row r="437" spans="1:11" s="451" customFormat="1" x14ac:dyDescent="0.2">
      <c r="A437" s="443"/>
      <c r="B437" s="46" t="s">
        <v>293</v>
      </c>
      <c r="C437"/>
      <c r="D437"/>
      <c r="E437"/>
      <c r="F437"/>
      <c r="G437"/>
      <c r="H437"/>
      <c r="I437"/>
    </row>
    <row r="438" spans="1:11" s="451" customFormat="1" x14ac:dyDescent="0.2">
      <c r="A438" s="443"/>
      <c r="B438" s="51" t="s">
        <v>979</v>
      </c>
    </row>
    <row r="439" spans="1:11" s="451" customFormat="1" x14ac:dyDescent="0.2">
      <c r="A439" s="443"/>
      <c r="B439" s="51" t="s">
        <v>980</v>
      </c>
      <c r="C439"/>
      <c r="D439"/>
      <c r="E439"/>
      <c r="F439"/>
      <c r="G439"/>
      <c r="H439"/>
      <c r="I439"/>
    </row>
    <row r="440" spans="1:11" s="451" customFormat="1" x14ac:dyDescent="0.2">
      <c r="A440" s="443"/>
      <c r="C440"/>
      <c r="D440"/>
      <c r="E440"/>
      <c r="F440"/>
      <c r="G440"/>
      <c r="H440"/>
      <c r="I440"/>
    </row>
    <row r="441" spans="1:11" s="451" customFormat="1" x14ac:dyDescent="0.2">
      <c r="A441" s="443"/>
      <c r="B441" s="90" t="s">
        <v>109</v>
      </c>
      <c r="C441"/>
      <c r="D441"/>
      <c r="E441"/>
      <c r="F441"/>
      <c r="G441"/>
      <c r="H441"/>
      <c r="I441"/>
    </row>
    <row r="442" spans="1:11" s="451" customFormat="1" x14ac:dyDescent="0.2">
      <c r="A442" s="443"/>
      <c r="B442" s="151" t="s">
        <v>981</v>
      </c>
      <c r="C442"/>
      <c r="D442"/>
      <c r="E442"/>
      <c r="F442"/>
      <c r="G442"/>
      <c r="H442"/>
      <c r="I442"/>
    </row>
    <row r="443" spans="1:11" s="451" customFormat="1" x14ac:dyDescent="0.2">
      <c r="A443" s="443"/>
      <c r="B443" s="151" t="s">
        <v>982</v>
      </c>
      <c r="C443"/>
      <c r="D443"/>
      <c r="E443"/>
      <c r="F443"/>
      <c r="G443"/>
      <c r="H443"/>
      <c r="I443"/>
    </row>
    <row r="444" spans="1:11" s="451" customFormat="1" x14ac:dyDescent="0.2">
      <c r="A444" s="443"/>
      <c r="B444" s="102" t="s">
        <v>983</v>
      </c>
      <c r="C444" s="91"/>
      <c r="D444" s="91"/>
      <c r="E444" s="91"/>
      <c r="F444" s="91"/>
      <c r="G444" s="91"/>
      <c r="H444" s="91"/>
      <c r="I444" s="91"/>
    </row>
    <row r="445" spans="1:11" s="451" customFormat="1" x14ac:dyDescent="0.2">
      <c r="A445" s="443"/>
      <c r="B445" s="104"/>
      <c r="C445" s="91"/>
      <c r="D445" s="91"/>
      <c r="E445" s="91"/>
      <c r="F445" s="91"/>
      <c r="G445" s="91"/>
      <c r="H445" s="91"/>
      <c r="I445" s="91"/>
    </row>
    <row r="446" spans="1:11" s="451" customFormat="1" x14ac:dyDescent="0.2">
      <c r="A446" s="443"/>
      <c r="B446" s="51"/>
      <c r="C446" s="460"/>
      <c r="H446" s="445"/>
      <c r="I446" s="445"/>
    </row>
    <row r="447" spans="1:11" s="451" customFormat="1" x14ac:dyDescent="0.2">
      <c r="A447" s="443"/>
      <c r="B447" s="51"/>
      <c r="C447" s="460"/>
      <c r="H447" s="445"/>
      <c r="I447" s="445"/>
    </row>
    <row r="448" spans="1:11" s="451" customFormat="1" x14ac:dyDescent="0.2">
      <c r="A448" s="443"/>
      <c r="B448" s="51"/>
      <c r="C448" s="460"/>
      <c r="H448" s="445"/>
      <c r="I448" s="445"/>
    </row>
    <row r="449" spans="1:11" s="451" customFormat="1" x14ac:dyDescent="0.2">
      <c r="A449" s="443"/>
      <c r="B449" s="51"/>
      <c r="C449" s="460"/>
      <c r="H449" s="445"/>
      <c r="I449" s="445"/>
    </row>
    <row r="450" spans="1:11" s="451" customFormat="1" x14ac:dyDescent="0.2">
      <c r="A450" s="443"/>
      <c r="B450" s="51"/>
      <c r="C450" s="460"/>
      <c r="D450" s="461"/>
      <c r="E450" s="461"/>
      <c r="F450" s="461"/>
      <c r="G450" s="461"/>
      <c r="H450" s="445"/>
      <c r="I450" s="445"/>
    </row>
    <row r="451" spans="1:11" s="451" customFormat="1" x14ac:dyDescent="0.2">
      <c r="A451" s="443"/>
      <c r="C451" s="462"/>
      <c r="D451" s="463"/>
      <c r="E451" s="463"/>
      <c r="F451" s="463"/>
      <c r="G451" s="463"/>
      <c r="H451" s="445"/>
      <c r="I451" s="445"/>
    </row>
    <row r="452" spans="1:11" s="451" customFormat="1" x14ac:dyDescent="0.2"/>
    <row r="453" spans="1:11" s="451" customFormat="1" x14ac:dyDescent="0.2">
      <c r="B453" s="46"/>
    </row>
    <row r="454" spans="1:11" s="451" customFormat="1" x14ac:dyDescent="0.2">
      <c r="B454" s="51"/>
    </row>
    <row r="455" spans="1:11" x14ac:dyDescent="0.2">
      <c r="A455" s="451"/>
      <c r="B455" s="451"/>
      <c r="C455" s="451"/>
      <c r="D455" s="451"/>
      <c r="E455" s="451"/>
      <c r="F455" s="451"/>
      <c r="G455" s="451"/>
      <c r="H455" s="451"/>
      <c r="I455" s="451"/>
      <c r="J455" s="451"/>
      <c r="K455" s="451"/>
    </row>
    <row r="456" spans="1:11" x14ac:dyDescent="0.2">
      <c r="A456" s="451"/>
      <c r="B456" s="464"/>
      <c r="C456" s="451"/>
      <c r="D456" s="451"/>
      <c r="E456" s="451"/>
      <c r="F456" s="451"/>
      <c r="G456" s="451"/>
      <c r="H456" s="451"/>
      <c r="I456" s="451"/>
      <c r="J456" s="451"/>
      <c r="K456" s="451"/>
    </row>
    <row r="457" spans="1:11" x14ac:dyDescent="0.2">
      <c r="A457" s="451"/>
      <c r="B457" s="465"/>
      <c r="C457" s="451"/>
      <c r="D457" s="451"/>
      <c r="E457" s="451"/>
      <c r="F457" s="451"/>
      <c r="G457" s="451"/>
      <c r="H457" s="451"/>
      <c r="I457" s="451"/>
      <c r="J457" s="451"/>
      <c r="K457" s="451"/>
    </row>
    <row r="458" spans="1:11" x14ac:dyDescent="0.2">
      <c r="A458" s="451"/>
      <c r="B458" s="465"/>
      <c r="C458" s="451"/>
      <c r="D458" s="451"/>
      <c r="E458" s="451"/>
      <c r="F458" s="451"/>
      <c r="G458" s="451"/>
      <c r="H458" s="451"/>
      <c r="I458" s="451"/>
      <c r="J458" s="451"/>
      <c r="K458" s="451"/>
    </row>
    <row r="459" spans="1:11" x14ac:dyDescent="0.2">
      <c r="A459" s="451"/>
      <c r="B459" s="465"/>
      <c r="C459" s="451"/>
      <c r="D459" s="451"/>
      <c r="E459" s="451"/>
      <c r="F459" s="451"/>
      <c r="G459" s="451"/>
      <c r="H459" s="451"/>
      <c r="I459" s="451"/>
      <c r="J459" s="451"/>
      <c r="K459" s="451"/>
    </row>
    <row r="460" spans="1:11" x14ac:dyDescent="0.2">
      <c r="A460" s="451"/>
      <c r="B460" s="466"/>
      <c r="C460" s="451"/>
      <c r="D460" s="451"/>
      <c r="E460" s="451"/>
      <c r="F460" s="451"/>
      <c r="G460" s="451"/>
      <c r="H460" s="451"/>
      <c r="I460" s="451"/>
      <c r="J460" s="451"/>
      <c r="K460" s="451"/>
    </row>
  </sheetData>
  <mergeCells count="10">
    <mergeCell ref="D276:E276"/>
    <mergeCell ref="D307:E307"/>
    <mergeCell ref="D340:E340"/>
    <mergeCell ref="D371:E371"/>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2017 True Up TRR)&amp;RTO2020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60AD8-FC0C-42E0-AC67-6FFAD44AF568}">
  <dimension ref="A1:X112"/>
  <sheetViews>
    <sheetView topLeftCell="A49" zoomScale="120" zoomScaleNormal="12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8" customWidth="1"/>
    <col min="11" max="11" width="11" bestFit="1" customWidth="1"/>
  </cols>
  <sheetData>
    <row r="1" spans="1:24" x14ac:dyDescent="0.2">
      <c r="A1" s="90" t="s">
        <v>167</v>
      </c>
      <c r="F1" s="387" t="s">
        <v>164</v>
      </c>
      <c r="G1" s="146"/>
      <c r="H1" s="388"/>
      <c r="I1" s="388"/>
    </row>
    <row r="2" spans="1:24" x14ac:dyDescent="0.2">
      <c r="E2" s="155" t="s">
        <v>152</v>
      </c>
      <c r="F2" s="155" t="s">
        <v>153</v>
      </c>
      <c r="G2" s="155" t="s">
        <v>154</v>
      </c>
      <c r="H2" s="155" t="s">
        <v>155</v>
      </c>
      <c r="I2" s="388"/>
    </row>
    <row r="3" spans="1:24" x14ac:dyDescent="0.2">
      <c r="G3" s="388" t="s">
        <v>168</v>
      </c>
    </row>
    <row r="4" spans="1:24" x14ac:dyDescent="0.2">
      <c r="E4" s="94" t="s">
        <v>169</v>
      </c>
      <c r="F4" s="60" t="s">
        <v>165</v>
      </c>
      <c r="G4" s="94" t="s">
        <v>170</v>
      </c>
      <c r="I4" s="94"/>
    </row>
    <row r="5" spans="1:24" x14ac:dyDescent="0.2">
      <c r="A5" s="95" t="s">
        <v>42</v>
      </c>
      <c r="B5" s="98"/>
      <c r="C5" s="98" t="s">
        <v>171</v>
      </c>
      <c r="D5" s="98" t="s">
        <v>33</v>
      </c>
      <c r="E5" s="98" t="s">
        <v>34</v>
      </c>
      <c r="F5" s="55" t="s">
        <v>35</v>
      </c>
      <c r="G5" s="98" t="s">
        <v>172</v>
      </c>
      <c r="H5" s="98" t="s">
        <v>87</v>
      </c>
      <c r="I5" s="98" t="s">
        <v>45</v>
      </c>
      <c r="K5" s="98"/>
      <c r="L5" s="98"/>
      <c r="M5" s="98"/>
      <c r="N5" s="98"/>
      <c r="O5" s="98"/>
      <c r="P5" s="98"/>
      <c r="Q5" s="98"/>
      <c r="R5" s="98"/>
      <c r="S5" s="98"/>
      <c r="T5" s="98"/>
      <c r="U5" s="98"/>
      <c r="V5" s="98"/>
      <c r="W5" s="98"/>
      <c r="X5" s="98"/>
    </row>
    <row r="6" spans="1:24" x14ac:dyDescent="0.2">
      <c r="A6" s="94">
        <v>1</v>
      </c>
      <c r="C6" s="388">
        <v>920</v>
      </c>
      <c r="D6" t="s">
        <v>173</v>
      </c>
      <c r="E6" s="389">
        <v>354859044</v>
      </c>
      <c r="F6" s="388" t="s">
        <v>174</v>
      </c>
      <c r="G6" s="101">
        <f>D37</f>
        <v>69867000.913848624</v>
      </c>
      <c r="H6" s="149">
        <f t="shared" ref="H6:H19" si="0">E6-G6</f>
        <v>284992043.08615136</v>
      </c>
      <c r="J6" s="151"/>
    </row>
    <row r="7" spans="1:24" x14ac:dyDescent="0.2">
      <c r="A7" s="94">
        <f>A6+1</f>
        <v>2</v>
      </c>
      <c r="C7" s="388">
        <v>921</v>
      </c>
      <c r="D7" t="s">
        <v>175</v>
      </c>
      <c r="E7" s="389">
        <v>249803334</v>
      </c>
      <c r="F7" s="388" t="s">
        <v>176</v>
      </c>
      <c r="G7" s="101">
        <f t="shared" ref="G7:G19" si="1">D38</f>
        <v>5868285.4679282326</v>
      </c>
      <c r="H7" s="149">
        <f t="shared" si="0"/>
        <v>243935048.53207177</v>
      </c>
      <c r="J7" s="151"/>
    </row>
    <row r="8" spans="1:24" x14ac:dyDescent="0.2">
      <c r="A8" s="94">
        <f>A7+1</f>
        <v>3</v>
      </c>
      <c r="C8" s="388">
        <v>922</v>
      </c>
      <c r="D8" t="s">
        <v>177</v>
      </c>
      <c r="E8" s="389">
        <v>-145897634</v>
      </c>
      <c r="F8" s="388" t="s">
        <v>178</v>
      </c>
      <c r="G8" s="101">
        <f t="shared" si="1"/>
        <v>-48972720</v>
      </c>
      <c r="H8" s="149">
        <f t="shared" si="0"/>
        <v>-96924914</v>
      </c>
      <c r="I8" s="105" t="s">
        <v>179</v>
      </c>
      <c r="J8" s="151"/>
    </row>
    <row r="9" spans="1:24" x14ac:dyDescent="0.2">
      <c r="A9" s="94">
        <f t="shared" ref="A9:A20" si="2">A8+1</f>
        <v>4</v>
      </c>
      <c r="B9" s="94"/>
      <c r="C9" s="388">
        <v>923</v>
      </c>
      <c r="D9" t="s">
        <v>180</v>
      </c>
      <c r="E9" s="389">
        <v>54121017</v>
      </c>
      <c r="F9" s="388" t="s">
        <v>181</v>
      </c>
      <c r="G9" s="107">
        <f t="shared" si="1"/>
        <v>7741758</v>
      </c>
      <c r="H9" s="107">
        <f t="shared" si="0"/>
        <v>46379259</v>
      </c>
      <c r="J9" s="151"/>
    </row>
    <row r="10" spans="1:24" x14ac:dyDescent="0.2">
      <c r="A10" s="94">
        <f t="shared" si="2"/>
        <v>5</v>
      </c>
      <c r="B10" s="94"/>
      <c r="C10" s="388">
        <v>924</v>
      </c>
      <c r="D10" t="s">
        <v>182</v>
      </c>
      <c r="E10" s="389">
        <v>14497978</v>
      </c>
      <c r="F10" s="388" t="s">
        <v>183</v>
      </c>
      <c r="G10" s="101">
        <f t="shared" si="1"/>
        <v>0</v>
      </c>
      <c r="H10" s="149">
        <f t="shared" si="0"/>
        <v>14497978</v>
      </c>
      <c r="J10" s="151"/>
    </row>
    <row r="11" spans="1:24" x14ac:dyDescent="0.2">
      <c r="A11" s="94">
        <f t="shared" si="2"/>
        <v>6</v>
      </c>
      <c r="B11" s="94"/>
      <c r="C11" s="388">
        <v>925</v>
      </c>
      <c r="D11" t="s">
        <v>184</v>
      </c>
      <c r="E11" s="389">
        <v>117581984</v>
      </c>
      <c r="F11" s="388" t="s">
        <v>185</v>
      </c>
      <c r="G11" s="101">
        <f t="shared" si="1"/>
        <v>-694137</v>
      </c>
      <c r="H11" s="149">
        <f t="shared" si="0"/>
        <v>118276121</v>
      </c>
      <c r="J11" s="151"/>
    </row>
    <row r="12" spans="1:24" x14ac:dyDescent="0.2">
      <c r="A12" s="94">
        <f t="shared" si="2"/>
        <v>7</v>
      </c>
      <c r="B12" s="94"/>
      <c r="C12" s="388">
        <v>926</v>
      </c>
      <c r="D12" t="s">
        <v>186</v>
      </c>
      <c r="E12" s="389">
        <v>142806958</v>
      </c>
      <c r="F12" s="388" t="s">
        <v>187</v>
      </c>
      <c r="G12" s="101">
        <f t="shared" si="1"/>
        <v>-15693853.432685971</v>
      </c>
      <c r="H12" s="149">
        <f t="shared" si="0"/>
        <v>158500811.43268597</v>
      </c>
      <c r="J12" s="151"/>
    </row>
    <row r="13" spans="1:24" x14ac:dyDescent="0.2">
      <c r="A13" s="94">
        <f t="shared" si="2"/>
        <v>8</v>
      </c>
      <c r="B13" s="94"/>
      <c r="C13" s="388">
        <v>927</v>
      </c>
      <c r="D13" t="s">
        <v>156</v>
      </c>
      <c r="E13" s="389">
        <v>110632750</v>
      </c>
      <c r="F13" s="388" t="s">
        <v>188</v>
      </c>
      <c r="G13" s="101">
        <f t="shared" si="1"/>
        <v>110632750</v>
      </c>
      <c r="H13" s="149">
        <f t="shared" si="0"/>
        <v>0</v>
      </c>
      <c r="J13" s="151"/>
    </row>
    <row r="14" spans="1:24" x14ac:dyDescent="0.2">
      <c r="A14" s="94">
        <f t="shared" si="2"/>
        <v>9</v>
      </c>
      <c r="B14" s="94"/>
      <c r="C14" s="388">
        <v>928</v>
      </c>
      <c r="D14" s="151" t="s">
        <v>189</v>
      </c>
      <c r="E14" s="389">
        <v>16012736</v>
      </c>
      <c r="F14" s="388" t="s">
        <v>190</v>
      </c>
      <c r="G14" s="101">
        <f t="shared" si="1"/>
        <v>17351998</v>
      </c>
      <c r="H14" s="149">
        <f t="shared" si="0"/>
        <v>-1339262</v>
      </c>
      <c r="J14" s="151"/>
    </row>
    <row r="15" spans="1:24" x14ac:dyDescent="0.2">
      <c r="A15" s="94">
        <f t="shared" si="2"/>
        <v>10</v>
      </c>
      <c r="B15" s="94"/>
      <c r="C15" s="388">
        <v>929</v>
      </c>
      <c r="D15" t="s">
        <v>191</v>
      </c>
      <c r="E15" s="389">
        <v>0</v>
      </c>
      <c r="F15" s="388" t="s">
        <v>192</v>
      </c>
      <c r="G15" s="101">
        <f t="shared" si="1"/>
        <v>0</v>
      </c>
      <c r="H15" s="149">
        <f t="shared" si="0"/>
        <v>0</v>
      </c>
      <c r="J15" s="151"/>
    </row>
    <row r="16" spans="1:24" x14ac:dyDescent="0.2">
      <c r="A16" s="94">
        <f t="shared" si="2"/>
        <v>11</v>
      </c>
      <c r="B16" s="94"/>
      <c r="C16" s="388">
        <v>930.1</v>
      </c>
      <c r="D16" t="s">
        <v>193</v>
      </c>
      <c r="E16" s="389">
        <v>5718074</v>
      </c>
      <c r="F16" s="388" t="s">
        <v>194</v>
      </c>
      <c r="G16" s="101">
        <f t="shared" si="1"/>
        <v>0</v>
      </c>
      <c r="H16" s="149">
        <f t="shared" si="0"/>
        <v>5718074</v>
      </c>
      <c r="J16" s="151"/>
    </row>
    <row r="17" spans="1:11" x14ac:dyDescent="0.2">
      <c r="A17" s="94">
        <f t="shared" si="2"/>
        <v>12</v>
      </c>
      <c r="B17" s="94"/>
      <c r="C17" s="388">
        <v>930.2</v>
      </c>
      <c r="D17" t="s">
        <v>195</v>
      </c>
      <c r="E17" s="389">
        <v>34422373</v>
      </c>
      <c r="F17" s="388" t="s">
        <v>196</v>
      </c>
      <c r="G17" s="101">
        <f t="shared" si="1"/>
        <v>24004995.530000001</v>
      </c>
      <c r="H17" s="149">
        <f t="shared" si="0"/>
        <v>10417377.469999999</v>
      </c>
      <c r="J17" s="151"/>
    </row>
    <row r="18" spans="1:11" x14ac:dyDescent="0.2">
      <c r="A18" s="94">
        <f t="shared" si="2"/>
        <v>13</v>
      </c>
      <c r="B18" s="94"/>
      <c r="C18" s="388">
        <v>931</v>
      </c>
      <c r="D18" t="s">
        <v>197</v>
      </c>
      <c r="E18" s="389">
        <v>6627867</v>
      </c>
      <c r="F18" s="388" t="s">
        <v>198</v>
      </c>
      <c r="G18" s="101">
        <f t="shared" si="1"/>
        <v>11411119</v>
      </c>
      <c r="H18" s="149">
        <f t="shared" si="0"/>
        <v>-4783252</v>
      </c>
      <c r="J18" s="151"/>
    </row>
    <row r="19" spans="1:11" x14ac:dyDescent="0.2">
      <c r="A19" s="94">
        <f t="shared" si="2"/>
        <v>14</v>
      </c>
      <c r="B19" s="94"/>
      <c r="C19" s="388">
        <v>935</v>
      </c>
      <c r="D19" t="s">
        <v>199</v>
      </c>
      <c r="E19" s="390">
        <v>13296044</v>
      </c>
      <c r="F19" s="388" t="s">
        <v>200</v>
      </c>
      <c r="G19" s="101">
        <f t="shared" si="1"/>
        <v>697671</v>
      </c>
      <c r="H19" s="153">
        <f t="shared" si="0"/>
        <v>12598373</v>
      </c>
      <c r="J19" s="151"/>
    </row>
    <row r="20" spans="1:11" x14ac:dyDescent="0.2">
      <c r="A20" s="94">
        <f t="shared" si="2"/>
        <v>15</v>
      </c>
      <c r="E20" s="149">
        <f>SUM(E6:E19)</f>
        <v>974482525</v>
      </c>
      <c r="G20" s="158" t="s">
        <v>201</v>
      </c>
      <c r="H20" s="114">
        <f>SUM(H6:H19)</f>
        <v>792267657.52090919</v>
      </c>
    </row>
    <row r="22" spans="1:11" x14ac:dyDescent="0.2">
      <c r="F22" s="98" t="s">
        <v>34</v>
      </c>
      <c r="G22" s="98" t="s">
        <v>35</v>
      </c>
    </row>
    <row r="23" spans="1:11" x14ac:dyDescent="0.2">
      <c r="A23" s="94">
        <f>A20+1</f>
        <v>16</v>
      </c>
      <c r="E23" s="125" t="s">
        <v>202</v>
      </c>
      <c r="F23" s="107">
        <f>H20</f>
        <v>792267657.52090919</v>
      </c>
      <c r="G23" s="104" t="str">
        <f>"Line "&amp;A20&amp;""</f>
        <v>Line 15</v>
      </c>
      <c r="H23" s="91"/>
      <c r="I23" s="91"/>
      <c r="J23" s="91"/>
      <c r="K23" s="91"/>
    </row>
    <row r="24" spans="1:11" x14ac:dyDescent="0.2">
      <c r="A24" s="94">
        <f t="shared" ref="A24:A30" si="3">A23+1</f>
        <v>17</v>
      </c>
      <c r="E24" s="125" t="s">
        <v>203</v>
      </c>
      <c r="F24" s="109">
        <f>E10</f>
        <v>14497978</v>
      </c>
      <c r="G24" s="104" t="str">
        <f>"Line "&amp;A10&amp;""</f>
        <v>Line 5</v>
      </c>
      <c r="H24" s="91"/>
      <c r="I24" s="91"/>
      <c r="J24" s="91"/>
      <c r="K24" s="91"/>
    </row>
    <row r="25" spans="1:11" x14ac:dyDescent="0.2">
      <c r="A25" s="94">
        <f t="shared" si="3"/>
        <v>18</v>
      </c>
      <c r="E25" s="125" t="s">
        <v>204</v>
      </c>
      <c r="F25" s="107">
        <f>F23-F24</f>
        <v>777769679.52090919</v>
      </c>
      <c r="G25" s="104" t="str">
        <f>"Line "&amp;A23&amp;" - Line "&amp;A24&amp;""</f>
        <v>Line 16 - Line 17</v>
      </c>
      <c r="H25" s="91"/>
      <c r="I25" s="91"/>
      <c r="J25" s="91"/>
      <c r="K25" s="91"/>
    </row>
    <row r="26" spans="1:11" x14ac:dyDescent="0.2">
      <c r="A26" s="94">
        <f t="shared" si="3"/>
        <v>19</v>
      </c>
      <c r="E26" s="130" t="s">
        <v>205</v>
      </c>
      <c r="F26" s="207">
        <f>'[17]27-Allocators'!G15</f>
        <v>5.6290212846604806E-2</v>
      </c>
      <c r="G26" s="104" t="str">
        <f>"27-Allocators, Line "&amp;'[17]27-Allocators'!A15&amp;""</f>
        <v>27-Allocators, Line 9</v>
      </c>
      <c r="H26" s="91"/>
      <c r="I26" s="91"/>
      <c r="J26" s="91"/>
      <c r="K26" s="91"/>
    </row>
    <row r="27" spans="1:11" x14ac:dyDescent="0.2">
      <c r="A27" s="94">
        <f t="shared" si="3"/>
        <v>20</v>
      </c>
      <c r="E27" s="125" t="s">
        <v>206</v>
      </c>
      <c r="F27" s="107">
        <f>F25*F26</f>
        <v>43780820.805867583</v>
      </c>
      <c r="G27" s="104" t="str">
        <f>"Line "&amp;A25&amp;" * Line "&amp;A26&amp;""</f>
        <v>Line 18 * Line 19</v>
      </c>
      <c r="H27" s="91"/>
      <c r="I27" s="91"/>
      <c r="J27" s="91"/>
      <c r="K27" s="91"/>
    </row>
    <row r="28" spans="1:11" x14ac:dyDescent="0.2">
      <c r="A28" s="94">
        <f t="shared" si="3"/>
        <v>21</v>
      </c>
      <c r="E28" s="125" t="s">
        <v>207</v>
      </c>
      <c r="F28" s="115">
        <f>'[17]27-Allocators'!G28</f>
        <v>0.19111474096755637</v>
      </c>
      <c r="G28" s="105" t="str">
        <f>"27-Allocators, Line "&amp;'[17]27-Allocators'!A28&amp;""</f>
        <v>27-Allocators, Line 22</v>
      </c>
      <c r="H28" s="91"/>
      <c r="I28" s="91"/>
      <c r="J28" s="91"/>
      <c r="K28" s="91"/>
    </row>
    <row r="29" spans="1:11" x14ac:dyDescent="0.2">
      <c r="A29" s="94">
        <f t="shared" si="3"/>
        <v>22</v>
      </c>
      <c r="E29" s="125" t="s">
        <v>208</v>
      </c>
      <c r="F29" s="109">
        <f>H10*F28</f>
        <v>2770777.3100233311</v>
      </c>
      <c r="G29" s="104" t="str">
        <f>"Line "&amp;A10&amp;" Col 4 * Line "&amp;A28&amp;""</f>
        <v>Line 5 Col 4 * Line 21</v>
      </c>
      <c r="H29" s="91"/>
      <c r="I29" s="91"/>
      <c r="J29" s="91"/>
      <c r="K29" s="91"/>
    </row>
    <row r="30" spans="1:11" x14ac:dyDescent="0.2">
      <c r="A30" s="94">
        <f t="shared" si="3"/>
        <v>23</v>
      </c>
      <c r="E30" s="125" t="s">
        <v>209</v>
      </c>
      <c r="F30" s="114">
        <f>F27+F29</f>
        <v>46551598.115890913</v>
      </c>
      <c r="G30" s="104" t="str">
        <f>"Line "&amp;A27&amp;" + Line "&amp;A29&amp;""</f>
        <v>Line 20 + Line 22</v>
      </c>
      <c r="H30" s="91"/>
      <c r="I30" s="91"/>
      <c r="J30" s="91"/>
      <c r="K30" s="91"/>
    </row>
    <row r="31" spans="1:11" x14ac:dyDescent="0.2">
      <c r="E31" s="91"/>
      <c r="F31" s="91"/>
      <c r="G31" s="91"/>
      <c r="H31" s="91"/>
      <c r="I31" s="91"/>
      <c r="J31" s="91"/>
      <c r="K31" s="91"/>
    </row>
    <row r="32" spans="1:11" x14ac:dyDescent="0.2">
      <c r="B32" s="90" t="s">
        <v>210</v>
      </c>
      <c r="E32" s="391" t="s">
        <v>152</v>
      </c>
      <c r="F32" s="391" t="s">
        <v>153</v>
      </c>
      <c r="G32" s="391" t="s">
        <v>154</v>
      </c>
      <c r="H32" s="391" t="s">
        <v>155</v>
      </c>
      <c r="I32" s="91"/>
      <c r="J32" s="91"/>
      <c r="K32" s="91"/>
    </row>
    <row r="33" spans="1:11" x14ac:dyDescent="0.2">
      <c r="B33" s="90"/>
      <c r="E33" s="99" t="s">
        <v>211</v>
      </c>
      <c r="F33" s="391"/>
      <c r="G33" s="391"/>
      <c r="H33" s="391"/>
      <c r="I33" s="91"/>
      <c r="J33" s="91"/>
      <c r="K33" s="91"/>
    </row>
    <row r="34" spans="1:11" x14ac:dyDescent="0.2">
      <c r="E34" s="99" t="s">
        <v>212</v>
      </c>
      <c r="F34" s="91"/>
      <c r="G34" s="91"/>
      <c r="H34" s="91"/>
      <c r="I34" s="91"/>
      <c r="J34" s="91"/>
      <c r="K34" s="91"/>
    </row>
    <row r="35" spans="1:11" x14ac:dyDescent="0.2">
      <c r="D35" s="94" t="s">
        <v>213</v>
      </c>
      <c r="E35" s="99" t="s">
        <v>214</v>
      </c>
      <c r="F35" s="99" t="s">
        <v>215</v>
      </c>
      <c r="G35" s="99"/>
      <c r="H35" s="99"/>
      <c r="I35" s="91"/>
      <c r="J35" s="91"/>
      <c r="K35" s="91"/>
    </row>
    <row r="36" spans="1:11" x14ac:dyDescent="0.2">
      <c r="C36" s="98" t="s">
        <v>171</v>
      </c>
      <c r="D36" s="155" t="s">
        <v>216</v>
      </c>
      <c r="E36" s="135" t="s">
        <v>217</v>
      </c>
      <c r="F36" s="135" t="s">
        <v>218</v>
      </c>
      <c r="G36" s="135" t="s">
        <v>219</v>
      </c>
      <c r="H36" s="135" t="s">
        <v>220</v>
      </c>
      <c r="I36" s="135" t="s">
        <v>45</v>
      </c>
      <c r="J36" s="91"/>
      <c r="K36" s="91"/>
    </row>
    <row r="37" spans="1:11" x14ac:dyDescent="0.2">
      <c r="A37" s="94">
        <f>A30+1</f>
        <v>24</v>
      </c>
      <c r="C37" s="388">
        <v>920</v>
      </c>
      <c r="D37" s="395">
        <f>SUM(E37:H37)</f>
        <v>69867000.913848624</v>
      </c>
      <c r="E37" s="396">
        <v>-11516850.328934595</v>
      </c>
      <c r="F37" s="394"/>
      <c r="G37" s="101">
        <f>G58</f>
        <v>81383851.242783219</v>
      </c>
      <c r="H37" s="394"/>
      <c r="I37" s="104" t="s">
        <v>221</v>
      </c>
      <c r="J37" s="91"/>
    </row>
    <row r="38" spans="1:11" x14ac:dyDescent="0.2">
      <c r="A38" s="94">
        <f>A37+1</f>
        <v>25</v>
      </c>
      <c r="C38" s="388">
        <v>921</v>
      </c>
      <c r="D38" s="395">
        <f t="shared" ref="D38:D50" si="4">SUM(E38:H38)</f>
        <v>5868285.4679282326</v>
      </c>
      <c r="E38" s="396">
        <v>5868285.4679282326</v>
      </c>
      <c r="F38" s="394"/>
      <c r="G38" s="394">
        <v>0</v>
      </c>
      <c r="H38" s="394"/>
      <c r="I38" s="96"/>
    </row>
    <row r="39" spans="1:11" ht="13.5" thickBot="1" x14ac:dyDescent="0.25">
      <c r="A39" s="94">
        <f t="shared" ref="A39:A50" si="5">A38+1</f>
        <v>26</v>
      </c>
      <c r="C39" s="388">
        <v>922</v>
      </c>
      <c r="D39" s="395">
        <f t="shared" si="4"/>
        <v>-48972720</v>
      </c>
      <c r="E39" s="396">
        <v>-7655813</v>
      </c>
      <c r="F39" s="394"/>
      <c r="G39" s="58">
        <v>-41316907</v>
      </c>
      <c r="H39" s="394"/>
      <c r="I39" s="96"/>
    </row>
    <row r="40" spans="1:11" ht="13.5" thickBot="1" x14ac:dyDescent="0.25">
      <c r="A40" s="94">
        <f t="shared" si="5"/>
        <v>27</v>
      </c>
      <c r="C40" s="388">
        <v>923</v>
      </c>
      <c r="D40" s="397">
        <f t="shared" si="4"/>
        <v>7741758</v>
      </c>
      <c r="E40" s="398">
        <v>7741758</v>
      </c>
      <c r="F40" s="394"/>
      <c r="G40" s="394">
        <v>0</v>
      </c>
      <c r="H40" s="394"/>
      <c r="I40" s="96"/>
      <c r="J40" s="98"/>
      <c r="K40" s="98"/>
    </row>
    <row r="41" spans="1:11" x14ac:dyDescent="0.2">
      <c r="A41" s="94">
        <f t="shared" si="5"/>
        <v>28</v>
      </c>
      <c r="C41" s="388">
        <v>924</v>
      </c>
      <c r="D41" s="395">
        <f t="shared" si="4"/>
        <v>0</v>
      </c>
      <c r="E41" s="396">
        <v>0</v>
      </c>
      <c r="F41" s="394"/>
      <c r="G41" s="394">
        <v>0</v>
      </c>
      <c r="H41" s="394"/>
      <c r="I41" s="96"/>
      <c r="K41" s="149"/>
    </row>
    <row r="42" spans="1:11" x14ac:dyDescent="0.2">
      <c r="A42" s="94">
        <f t="shared" si="5"/>
        <v>29</v>
      </c>
      <c r="C42" s="388">
        <v>925</v>
      </c>
      <c r="D42" s="395">
        <f t="shared" si="4"/>
        <v>-694137</v>
      </c>
      <c r="E42" s="396">
        <v>-694137</v>
      </c>
      <c r="F42" s="394"/>
      <c r="G42" s="394">
        <v>0</v>
      </c>
      <c r="H42" s="394"/>
      <c r="I42" s="399"/>
      <c r="K42" s="149"/>
    </row>
    <row r="43" spans="1:11" x14ac:dyDescent="0.2">
      <c r="A43" s="94">
        <f t="shared" si="5"/>
        <v>30</v>
      </c>
      <c r="C43" s="388">
        <v>926</v>
      </c>
      <c r="D43" s="395">
        <f t="shared" si="4"/>
        <v>-15693853.432685971</v>
      </c>
      <c r="E43" s="396">
        <v>19430852.567314029</v>
      </c>
      <c r="F43" s="394"/>
      <c r="G43" s="394">
        <v>0</v>
      </c>
      <c r="H43" s="101">
        <f>E70</f>
        <v>-35124706</v>
      </c>
      <c r="I43" s="399" t="s">
        <v>157</v>
      </c>
      <c r="K43" s="149"/>
    </row>
    <row r="44" spans="1:11" x14ac:dyDescent="0.2">
      <c r="A44" s="94">
        <f t="shared" si="5"/>
        <v>31</v>
      </c>
      <c r="C44" s="388">
        <v>927</v>
      </c>
      <c r="D44" s="395">
        <f t="shared" si="4"/>
        <v>110632750</v>
      </c>
      <c r="E44" s="101">
        <v>0</v>
      </c>
      <c r="F44" s="400">
        <f>E13</f>
        <v>110632750</v>
      </c>
      <c r="G44" s="101">
        <v>0</v>
      </c>
      <c r="H44" s="101">
        <v>0</v>
      </c>
      <c r="I44" s="96" t="s">
        <v>222</v>
      </c>
      <c r="K44" s="149"/>
    </row>
    <row r="45" spans="1:11" x14ac:dyDescent="0.2">
      <c r="A45" s="94">
        <f t="shared" si="5"/>
        <v>32</v>
      </c>
      <c r="C45" s="388">
        <v>928</v>
      </c>
      <c r="D45" s="395">
        <f t="shared" si="4"/>
        <v>17351998</v>
      </c>
      <c r="E45" s="393">
        <v>17351998</v>
      </c>
      <c r="F45" s="394"/>
      <c r="G45" s="58">
        <v>0</v>
      </c>
      <c r="H45" s="394"/>
      <c r="I45" s="96"/>
      <c r="K45" s="149"/>
    </row>
    <row r="46" spans="1:11" x14ac:dyDescent="0.2">
      <c r="A46" s="94">
        <f t="shared" si="5"/>
        <v>33</v>
      </c>
      <c r="C46" s="388">
        <v>929</v>
      </c>
      <c r="D46" s="395">
        <f t="shared" si="4"/>
        <v>0</v>
      </c>
      <c r="E46" s="396">
        <v>0</v>
      </c>
      <c r="F46" s="394"/>
      <c r="G46" s="58">
        <v>0</v>
      </c>
      <c r="H46" s="394"/>
      <c r="I46" s="96"/>
      <c r="K46" s="149"/>
    </row>
    <row r="47" spans="1:11" x14ac:dyDescent="0.2">
      <c r="A47" s="94">
        <f t="shared" si="5"/>
        <v>34</v>
      </c>
      <c r="C47" s="388">
        <v>930.1</v>
      </c>
      <c r="D47" s="395">
        <f t="shared" si="4"/>
        <v>0</v>
      </c>
      <c r="E47" s="396">
        <v>0</v>
      </c>
      <c r="F47" s="394"/>
      <c r="G47" s="58">
        <v>0</v>
      </c>
      <c r="H47" s="394"/>
      <c r="I47" s="96"/>
      <c r="K47" s="149"/>
    </row>
    <row r="48" spans="1:11" x14ac:dyDescent="0.2">
      <c r="A48" s="94">
        <f t="shared" si="5"/>
        <v>35</v>
      </c>
      <c r="C48" s="388">
        <v>930.2</v>
      </c>
      <c r="D48" s="395">
        <f t="shared" si="4"/>
        <v>24004995.530000001</v>
      </c>
      <c r="E48" s="396">
        <v>24004995.530000001</v>
      </c>
      <c r="F48" s="394"/>
      <c r="G48" s="58">
        <v>0</v>
      </c>
      <c r="H48" s="394"/>
      <c r="I48" s="96"/>
      <c r="J48" s="401"/>
    </row>
    <row r="49" spans="1:10" x14ac:dyDescent="0.2">
      <c r="A49" s="94">
        <f t="shared" si="5"/>
        <v>36</v>
      </c>
      <c r="C49" s="388">
        <v>931</v>
      </c>
      <c r="D49" s="395">
        <f t="shared" si="4"/>
        <v>11411119</v>
      </c>
      <c r="E49" s="396">
        <v>11411119</v>
      </c>
      <c r="F49" s="394"/>
      <c r="G49" s="58">
        <v>0</v>
      </c>
      <c r="H49" s="394"/>
      <c r="I49" s="96"/>
      <c r="J49" s="149"/>
    </row>
    <row r="50" spans="1:10" x14ac:dyDescent="0.2">
      <c r="A50" s="94">
        <f t="shared" si="5"/>
        <v>37</v>
      </c>
      <c r="C50" s="388">
        <v>935</v>
      </c>
      <c r="D50" s="395">
        <f t="shared" si="4"/>
        <v>697671</v>
      </c>
      <c r="E50" s="396">
        <v>697671</v>
      </c>
      <c r="F50" s="394"/>
      <c r="G50" s="58">
        <v>0</v>
      </c>
      <c r="H50" s="394"/>
      <c r="I50" s="96"/>
    </row>
    <row r="51" spans="1:10" x14ac:dyDescent="0.2">
      <c r="B51" s="111" t="s">
        <v>223</v>
      </c>
      <c r="C51" s="91"/>
      <c r="D51" s="91"/>
      <c r="E51" s="91"/>
      <c r="F51" s="91"/>
      <c r="G51" s="91"/>
      <c r="H51" s="91"/>
    </row>
    <row r="52" spans="1:10" x14ac:dyDescent="0.2">
      <c r="B52" s="111"/>
      <c r="C52" s="91" t="s">
        <v>224</v>
      </c>
      <c r="D52" s="91"/>
      <c r="E52" s="91"/>
      <c r="F52" s="91"/>
      <c r="G52" s="91"/>
      <c r="H52" s="91"/>
    </row>
    <row r="53" spans="1:10" x14ac:dyDescent="0.2">
      <c r="B53" s="111"/>
      <c r="C53" s="102" t="s">
        <v>225</v>
      </c>
      <c r="D53" s="91"/>
      <c r="E53" s="91"/>
      <c r="F53" s="91"/>
      <c r="G53" s="99"/>
      <c r="H53" s="99"/>
    </row>
    <row r="54" spans="1:10" x14ac:dyDescent="0.2">
      <c r="B54" s="111"/>
      <c r="C54" s="59" t="s">
        <v>226</v>
      </c>
      <c r="D54" s="50"/>
      <c r="E54" s="50"/>
      <c r="F54" s="91"/>
      <c r="G54" s="99"/>
      <c r="H54" s="99"/>
    </row>
    <row r="55" spans="1:10" x14ac:dyDescent="0.2">
      <c r="B55" s="111"/>
      <c r="C55" s="91"/>
      <c r="D55" s="91"/>
      <c r="E55" s="91"/>
      <c r="F55" s="91"/>
      <c r="G55" s="135" t="s">
        <v>34</v>
      </c>
      <c r="H55" s="135" t="s">
        <v>35</v>
      </c>
    </row>
    <row r="56" spans="1:10" x14ac:dyDescent="0.2">
      <c r="A56" s="94"/>
      <c r="B56" s="94" t="s">
        <v>121</v>
      </c>
      <c r="E56" s="91"/>
      <c r="F56" s="125" t="s">
        <v>227</v>
      </c>
      <c r="G56" s="396">
        <v>103811324.56999999</v>
      </c>
      <c r="H56" s="104" t="s">
        <v>228</v>
      </c>
    </row>
    <row r="57" spans="1:10" x14ac:dyDescent="0.2">
      <c r="A57" s="94"/>
      <c r="B57" s="94" t="s">
        <v>123</v>
      </c>
      <c r="C57" s="151"/>
      <c r="E57" s="91"/>
      <c r="F57" s="125" t="s">
        <v>229</v>
      </c>
      <c r="G57" s="109">
        <f>E61</f>
        <v>22427473.327216774</v>
      </c>
      <c r="H57" s="399" t="str">
        <f>"Note 2, "&amp;B61&amp;""</f>
        <v>Note 2, d</v>
      </c>
    </row>
    <row r="58" spans="1:10" x14ac:dyDescent="0.2">
      <c r="A58" s="94"/>
      <c r="B58" s="94" t="s">
        <v>127</v>
      </c>
      <c r="F58" s="152" t="s">
        <v>230</v>
      </c>
      <c r="G58" s="149">
        <f>G56-G57</f>
        <v>81383851.242783219</v>
      </c>
    </row>
    <row r="59" spans="1:10" x14ac:dyDescent="0.2">
      <c r="A59" s="94"/>
      <c r="C59" s="59" t="s">
        <v>231</v>
      </c>
      <c r="D59" s="50"/>
      <c r="E59" s="50"/>
      <c r="G59" s="149"/>
    </row>
    <row r="60" spans="1:10" x14ac:dyDescent="0.2">
      <c r="A60" s="94"/>
      <c r="D60" s="97" t="s">
        <v>232</v>
      </c>
      <c r="E60" s="98" t="s">
        <v>34</v>
      </c>
      <c r="F60" s="402" t="s">
        <v>35</v>
      </c>
      <c r="G60" s="149"/>
    </row>
    <row r="61" spans="1:10" x14ac:dyDescent="0.2">
      <c r="A61" s="94"/>
      <c r="B61" s="94" t="s">
        <v>129</v>
      </c>
      <c r="D61" t="s">
        <v>233</v>
      </c>
      <c r="E61" s="58">
        <v>22427473.327216774</v>
      </c>
      <c r="F61" s="104" t="s">
        <v>234</v>
      </c>
      <c r="G61" s="101"/>
      <c r="I61" s="91"/>
    </row>
    <row r="62" spans="1:10" x14ac:dyDescent="0.2">
      <c r="A62" s="94"/>
      <c r="B62" s="99" t="s">
        <v>133</v>
      </c>
      <c r="C62" s="91"/>
      <c r="D62" s="102" t="s">
        <v>235</v>
      </c>
      <c r="E62" s="58">
        <v>10140103.249080425</v>
      </c>
      <c r="F62" s="104" t="s">
        <v>234</v>
      </c>
      <c r="G62" s="101"/>
      <c r="I62" s="62"/>
    </row>
    <row r="63" spans="1:10" x14ac:dyDescent="0.2">
      <c r="A63" s="94"/>
      <c r="B63" s="99" t="s">
        <v>136</v>
      </c>
      <c r="C63" s="91"/>
      <c r="D63" s="102" t="s">
        <v>236</v>
      </c>
      <c r="E63" s="358">
        <v>33565144.913702808</v>
      </c>
      <c r="F63" s="104" t="s">
        <v>234</v>
      </c>
      <c r="G63" s="101"/>
      <c r="I63" s="101"/>
    </row>
    <row r="64" spans="1:10" x14ac:dyDescent="0.2">
      <c r="A64" s="94"/>
      <c r="B64" s="99" t="s">
        <v>138</v>
      </c>
      <c r="C64" s="91"/>
      <c r="D64" s="125" t="s">
        <v>166</v>
      </c>
      <c r="E64" s="149">
        <f>SUM(E61:E63)</f>
        <v>66132721.49000001</v>
      </c>
      <c r="F64" s="104" t="str">
        <f>"Sum of "&amp;B61&amp;" to "&amp;B63&amp;""</f>
        <v>Sum of d to f</v>
      </c>
      <c r="G64" s="101"/>
      <c r="I64" s="91"/>
    </row>
    <row r="65" spans="1:10" x14ac:dyDescent="0.2">
      <c r="F65" s="91"/>
      <c r="G65" s="91"/>
    </row>
    <row r="66" spans="1:10" x14ac:dyDescent="0.2">
      <c r="B66" s="403" t="s">
        <v>237</v>
      </c>
      <c r="C66" s="164"/>
      <c r="D66" s="164"/>
      <c r="E66" s="164"/>
      <c r="F66" s="120"/>
      <c r="G66" s="120"/>
    </row>
    <row r="67" spans="1:10" x14ac:dyDescent="0.2">
      <c r="B67" s="164"/>
      <c r="C67" s="164"/>
      <c r="D67" s="164"/>
      <c r="E67" s="402" t="s">
        <v>34</v>
      </c>
      <c r="F67" s="404" t="s">
        <v>238</v>
      </c>
      <c r="G67" s="120"/>
    </row>
    <row r="68" spans="1:10" x14ac:dyDescent="0.2">
      <c r="A68" s="94"/>
      <c r="B68" s="165" t="s">
        <v>121</v>
      </c>
      <c r="C68" s="164"/>
      <c r="D68" s="405" t="s">
        <v>239</v>
      </c>
      <c r="E68" s="406">
        <v>40171333</v>
      </c>
      <c r="F68" s="407" t="s">
        <v>240</v>
      </c>
      <c r="G68" s="120"/>
    </row>
    <row r="69" spans="1:10" x14ac:dyDescent="0.2">
      <c r="A69" s="94"/>
      <c r="B69" s="165" t="s">
        <v>123</v>
      </c>
      <c r="C69" s="164"/>
      <c r="D69" s="405" t="s">
        <v>241</v>
      </c>
      <c r="E69" s="408">
        <v>5046627</v>
      </c>
      <c r="F69" s="407" t="s">
        <v>228</v>
      </c>
      <c r="G69" s="120"/>
    </row>
    <row r="70" spans="1:10" x14ac:dyDescent="0.2">
      <c r="A70" s="94"/>
      <c r="B70" s="165" t="s">
        <v>127</v>
      </c>
      <c r="C70" s="164"/>
      <c r="D70" s="405" t="s">
        <v>242</v>
      </c>
      <c r="E70" s="467">
        <f>E69-E68</f>
        <v>-35124706</v>
      </c>
      <c r="F70" s="410" t="str">
        <f>""&amp;B69&amp;" - "&amp;B68&amp;""</f>
        <v>b - a</v>
      </c>
      <c r="G70" s="164"/>
    </row>
    <row r="71" spans="1:10" x14ac:dyDescent="0.2">
      <c r="A71" s="94"/>
      <c r="B71" s="90" t="s">
        <v>243</v>
      </c>
      <c r="D71" s="152"/>
      <c r="E71" s="411"/>
      <c r="F71" s="399"/>
    </row>
    <row r="72" spans="1:10" x14ac:dyDescent="0.2">
      <c r="A72" s="94"/>
      <c r="B72" s="90"/>
      <c r="C72" t="str">
        <f>"Amount in Line "&amp;A44&amp;", column 2 equals amount in Line "&amp;A13&amp;", column 1 because all Franchise Requirements Expenses are excluded"</f>
        <v>Amount in Line 31, column 2 equals amount in Line 8, column 1 because all Franchise Requirements Expenses are excluded</v>
      </c>
      <c r="D72" s="152"/>
      <c r="E72" s="411"/>
      <c r="F72" s="399"/>
    </row>
    <row r="73" spans="1:10" x14ac:dyDescent="0.2">
      <c r="A73" s="94"/>
      <c r="B73" s="90"/>
      <c r="C73" s="151" t="s">
        <v>244</v>
      </c>
      <c r="D73" s="152"/>
      <c r="E73" s="411"/>
      <c r="F73" s="399"/>
    </row>
    <row r="75" spans="1:10" x14ac:dyDescent="0.2">
      <c r="B75" s="90" t="s">
        <v>109</v>
      </c>
    </row>
    <row r="76" spans="1:10" x14ac:dyDescent="0.2">
      <c r="C76" s="102" t="str">
        <f>"1) Enter amounts of A&amp;G expenses from FERC Form 1 in Lines "&amp;A6&amp;" to "&amp;A19&amp;"."</f>
        <v>1) Enter amounts of A&amp;G expenses from FERC Form 1 in Lines 1 to 14.</v>
      </c>
      <c r="D76" s="91"/>
      <c r="E76" s="91"/>
      <c r="F76" s="91"/>
      <c r="G76" s="91"/>
      <c r="H76" s="91"/>
      <c r="I76" s="91"/>
      <c r="J76" s="91"/>
    </row>
    <row r="77" spans="1:10" x14ac:dyDescent="0.2">
      <c r="C77" s="102" t="s">
        <v>245</v>
      </c>
      <c r="D77" s="91"/>
      <c r="E77" s="91"/>
      <c r="F77" s="91"/>
      <c r="G77" s="91" t="str">
        <f>"Column 3, Line "&amp;A37&amp;""</f>
        <v>Column 3, Line 24</v>
      </c>
      <c r="H77" s="91"/>
      <c r="I77" s="91"/>
      <c r="J77" s="91"/>
    </row>
    <row r="78" spans="1:10" x14ac:dyDescent="0.2">
      <c r="C78" s="104" t="str">
        <f>"is calculated in Note 2.  The PBOPs exclusion in Column 4, Line "&amp;A43&amp;" is calculated in Note 3."</f>
        <v>is calculated in Note 2.  The PBOPs exclusion in Column 4, Line 30 is calculated in Note 3.</v>
      </c>
      <c r="D78" s="91"/>
      <c r="E78" s="91"/>
      <c r="F78" s="91"/>
      <c r="G78" s="102"/>
      <c r="H78" s="91"/>
      <c r="I78" s="91"/>
      <c r="J78" s="91"/>
    </row>
    <row r="79" spans="1:10" x14ac:dyDescent="0.2">
      <c r="C79" s="104" t="s">
        <v>246</v>
      </c>
      <c r="D79" s="91"/>
      <c r="E79" s="91"/>
      <c r="F79" s="91"/>
      <c r="G79" s="91"/>
      <c r="H79" s="91"/>
      <c r="I79" s="91"/>
      <c r="J79" s="91"/>
    </row>
    <row r="80" spans="1:10" x14ac:dyDescent="0.2">
      <c r="C80" s="104" t="s">
        <v>247</v>
      </c>
      <c r="D80" s="125"/>
      <c r="E80" s="400"/>
      <c r="F80" s="104"/>
      <c r="G80" s="91"/>
      <c r="H80" s="91"/>
      <c r="I80" s="91"/>
      <c r="J80" s="91"/>
    </row>
    <row r="81" spans="3:10" x14ac:dyDescent="0.2">
      <c r="C81" s="104" t="s">
        <v>248</v>
      </c>
      <c r="D81" s="125"/>
      <c r="E81" s="400"/>
      <c r="F81" s="104"/>
      <c r="G81" s="91"/>
      <c r="H81" s="91"/>
      <c r="I81" s="91"/>
      <c r="J81" s="91"/>
    </row>
    <row r="82" spans="3:10" x14ac:dyDescent="0.2">
      <c r="C82" s="104" t="s">
        <v>249</v>
      </c>
      <c r="D82" s="91"/>
      <c r="E82" s="91"/>
      <c r="F82" s="91"/>
      <c r="G82" s="91"/>
      <c r="H82" s="91"/>
      <c r="I82" s="91"/>
      <c r="J82" s="91"/>
    </row>
    <row r="83" spans="3:10" x14ac:dyDescent="0.2">
      <c r="C83" s="104" t="s">
        <v>250</v>
      </c>
      <c r="D83" s="91"/>
      <c r="E83" s="91"/>
      <c r="F83" s="91"/>
      <c r="G83" s="91"/>
      <c r="H83" s="91"/>
      <c r="I83" s="91"/>
      <c r="J83" s="91"/>
    </row>
    <row r="84" spans="3:10" x14ac:dyDescent="0.2">
      <c r="C84" s="104" t="s">
        <v>251</v>
      </c>
      <c r="D84" s="91"/>
      <c r="E84" s="91"/>
      <c r="F84" s="91"/>
      <c r="G84" s="91"/>
      <c r="H84" s="91"/>
      <c r="I84" s="91"/>
      <c r="J84" s="91"/>
    </row>
    <row r="85" spans="3:10" x14ac:dyDescent="0.2">
      <c r="C85" s="104" t="s">
        <v>252</v>
      </c>
      <c r="D85" s="91"/>
      <c r="E85" s="91"/>
      <c r="F85" s="91"/>
      <c r="G85" s="91"/>
      <c r="H85" s="91"/>
      <c r="I85" s="91"/>
      <c r="J85" s="91"/>
    </row>
    <row r="86" spans="3:10" x14ac:dyDescent="0.2">
      <c r="C86" s="104" t="s">
        <v>253</v>
      </c>
      <c r="D86" s="91"/>
      <c r="E86" s="91"/>
      <c r="F86" s="91"/>
      <c r="G86" s="91"/>
      <c r="H86" s="91"/>
      <c r="I86" s="91"/>
      <c r="J86" s="91"/>
    </row>
    <row r="87" spans="3:10" x14ac:dyDescent="0.2">
      <c r="C87" s="104" t="s">
        <v>254</v>
      </c>
      <c r="D87" s="102"/>
      <c r="E87" s="412"/>
      <c r="F87" s="412"/>
      <c r="G87" s="412"/>
      <c r="H87" s="91"/>
      <c r="I87" s="91"/>
      <c r="J87" s="91"/>
    </row>
    <row r="88" spans="3:10" x14ac:dyDescent="0.2">
      <c r="C88" s="413" t="s">
        <v>255</v>
      </c>
      <c r="D88" s="102"/>
      <c r="E88" s="412"/>
      <c r="F88" s="412"/>
      <c r="G88" s="412"/>
      <c r="H88" s="91"/>
      <c r="I88" s="91"/>
      <c r="J88" s="91"/>
    </row>
    <row r="89" spans="3:10" x14ac:dyDescent="0.2">
      <c r="C89" s="413" t="s">
        <v>256</v>
      </c>
      <c r="D89" s="102"/>
      <c r="E89" s="412"/>
      <c r="F89" s="412"/>
      <c r="G89" s="412"/>
      <c r="H89" s="91"/>
      <c r="I89" s="91"/>
      <c r="J89" s="91"/>
    </row>
    <row r="90" spans="3:10" x14ac:dyDescent="0.2">
      <c r="C90" s="413" t="s">
        <v>257</v>
      </c>
      <c r="D90" s="102"/>
      <c r="E90" s="412"/>
      <c r="F90" s="412"/>
      <c r="G90" s="412"/>
      <c r="H90" s="91"/>
      <c r="I90" s="91"/>
      <c r="J90" s="91"/>
    </row>
    <row r="91" spans="3:10" x14ac:dyDescent="0.2">
      <c r="C91" s="104" t="s">
        <v>258</v>
      </c>
      <c r="D91" s="102"/>
      <c r="E91" s="412"/>
      <c r="F91" s="412"/>
      <c r="G91" s="412"/>
      <c r="H91" s="91"/>
      <c r="I91" s="91"/>
      <c r="J91" s="91"/>
    </row>
    <row r="92" spans="3:10" x14ac:dyDescent="0.2">
      <c r="C92" s="413" t="s">
        <v>259</v>
      </c>
      <c r="D92" s="102"/>
      <c r="E92" s="412"/>
      <c r="F92" s="412"/>
      <c r="G92" s="412"/>
      <c r="H92" s="91"/>
      <c r="I92" s="91"/>
      <c r="J92" s="91"/>
    </row>
    <row r="93" spans="3:10" x14ac:dyDescent="0.2">
      <c r="C93" s="413" t="s">
        <v>260</v>
      </c>
      <c r="D93" s="102"/>
      <c r="E93" s="412"/>
      <c r="F93" s="412"/>
      <c r="G93" s="412"/>
      <c r="H93" s="91"/>
      <c r="I93" s="91"/>
      <c r="J93" s="91"/>
    </row>
    <row r="94" spans="3:10" x14ac:dyDescent="0.2">
      <c r="C94" s="413" t="s">
        <v>261</v>
      </c>
      <c r="D94" s="102"/>
      <c r="E94" s="412"/>
      <c r="F94" s="412"/>
      <c r="G94" s="412"/>
      <c r="H94" s="91"/>
      <c r="I94" s="91"/>
      <c r="J94" s="91"/>
    </row>
    <row r="95" spans="3:10" x14ac:dyDescent="0.2">
      <c r="C95" s="413" t="s">
        <v>262</v>
      </c>
      <c r="D95" s="102"/>
      <c r="E95" s="412"/>
      <c r="F95" s="412"/>
      <c r="G95" s="412"/>
      <c r="H95" s="91"/>
      <c r="I95" s="91"/>
      <c r="J95" s="91"/>
    </row>
    <row r="96" spans="3:10" x14ac:dyDescent="0.2">
      <c r="C96" s="104" t="s">
        <v>263</v>
      </c>
      <c r="D96" s="102"/>
      <c r="E96" s="412"/>
      <c r="F96" s="412"/>
      <c r="G96" s="412"/>
      <c r="H96" s="412"/>
      <c r="I96" s="91"/>
      <c r="J96" s="91"/>
    </row>
    <row r="97" spans="3:10" x14ac:dyDescent="0.2">
      <c r="C97" s="413" t="s">
        <v>264</v>
      </c>
      <c r="D97" s="102"/>
      <c r="E97" s="412"/>
      <c r="F97" s="412"/>
      <c r="G97" s="412"/>
      <c r="H97" s="91"/>
      <c r="I97" s="91"/>
      <c r="J97" s="91"/>
    </row>
    <row r="98" spans="3:10" x14ac:dyDescent="0.2">
      <c r="C98" s="63" t="s">
        <v>265</v>
      </c>
      <c r="D98" s="102"/>
      <c r="E98" s="412"/>
      <c r="F98" s="412"/>
      <c r="G98" s="412"/>
      <c r="H98" s="91"/>
      <c r="I98" s="91"/>
      <c r="J98" s="91"/>
    </row>
    <row r="99" spans="3:10" x14ac:dyDescent="0.2">
      <c r="C99" s="63" t="s">
        <v>266</v>
      </c>
      <c r="D99" s="102"/>
      <c r="E99" s="412"/>
      <c r="F99" s="412"/>
      <c r="G99" s="412"/>
      <c r="H99" s="91"/>
      <c r="I99" s="91"/>
      <c r="J99" s="91"/>
    </row>
    <row r="100" spans="3:10" x14ac:dyDescent="0.2">
      <c r="C100" s="63" t="s">
        <v>267</v>
      </c>
      <c r="D100" s="102"/>
      <c r="E100" s="412"/>
      <c r="F100" s="412"/>
      <c r="G100" s="412"/>
      <c r="H100" s="91"/>
      <c r="I100" s="91"/>
      <c r="J100" s="91"/>
    </row>
    <row r="101" spans="3:10" x14ac:dyDescent="0.2">
      <c r="C101" s="63" t="s">
        <v>266</v>
      </c>
      <c r="D101" s="102"/>
      <c r="E101" s="412"/>
      <c r="F101" s="412"/>
      <c r="G101" s="412"/>
      <c r="H101" s="91"/>
      <c r="I101" s="91"/>
      <c r="J101" s="91"/>
    </row>
    <row r="102" spans="3:10" x14ac:dyDescent="0.2">
      <c r="C102" s="63" t="s">
        <v>268</v>
      </c>
      <c r="D102" s="102"/>
      <c r="E102" s="412"/>
      <c r="F102" s="412"/>
      <c r="G102" s="412"/>
      <c r="H102" s="91"/>
      <c r="I102" s="91"/>
      <c r="J102" s="91"/>
    </row>
    <row r="103" spans="3:10" x14ac:dyDescent="0.2">
      <c r="C103" s="413" t="s">
        <v>269</v>
      </c>
      <c r="D103" s="102"/>
      <c r="E103" s="412"/>
      <c r="F103" s="412"/>
      <c r="G103" s="412"/>
      <c r="H103" s="91"/>
      <c r="I103" s="91"/>
      <c r="J103" s="91"/>
    </row>
    <row r="104" spans="3:10" x14ac:dyDescent="0.2">
      <c r="C104" s="413" t="s">
        <v>270</v>
      </c>
      <c r="D104" s="102"/>
      <c r="E104" s="412"/>
      <c r="F104" s="412"/>
      <c r="G104" s="412"/>
      <c r="H104" s="91"/>
      <c r="I104" s="91"/>
      <c r="J104" s="91"/>
    </row>
    <row r="105" spans="3:10" x14ac:dyDescent="0.2">
      <c r="C105" s="64" t="s">
        <v>271</v>
      </c>
      <c r="D105" s="50"/>
      <c r="E105" s="50"/>
      <c r="F105" s="50"/>
      <c r="G105" s="50"/>
      <c r="H105" s="50"/>
      <c r="I105" s="50"/>
      <c r="J105" s="50"/>
    </row>
    <row r="106" spans="3:10" x14ac:dyDescent="0.2">
      <c r="C106" s="102" t="s">
        <v>272</v>
      </c>
      <c r="D106" s="91"/>
      <c r="E106" s="91"/>
      <c r="F106" s="91"/>
      <c r="G106" s="91"/>
      <c r="H106" s="91"/>
      <c r="I106" s="91"/>
      <c r="J106" s="91"/>
    </row>
    <row r="107" spans="3:10" x14ac:dyDescent="0.2">
      <c r="C107" s="64" t="s">
        <v>273</v>
      </c>
      <c r="D107" s="59"/>
      <c r="E107" s="59"/>
      <c r="F107" s="59"/>
      <c r="G107" s="59"/>
      <c r="H107" s="59"/>
      <c r="I107" s="59"/>
      <c r="J107" s="91"/>
    </row>
    <row r="108" spans="3:10" x14ac:dyDescent="0.2">
      <c r="C108" s="102" t="str">
        <f>"4) Determine the PBOPs exclusion.  The authorized amount of PBOPs expense (line "&amp;B68&amp;") may only be revised"</f>
        <v>4) Determine the PBOPs exclusion.  The authorized amount of PBOPs expense (line a) may only be revised</v>
      </c>
      <c r="D108" s="91"/>
      <c r="E108" s="91"/>
      <c r="F108" s="91"/>
      <c r="G108" s="91"/>
      <c r="H108" s="91"/>
      <c r="I108" s="91"/>
      <c r="J108" s="91"/>
    </row>
    <row r="109" spans="3:10" x14ac:dyDescent="0.2">
      <c r="C109" s="102" t="s">
        <v>274</v>
      </c>
      <c r="D109" s="91"/>
      <c r="E109" s="91"/>
      <c r="F109" s="91"/>
      <c r="G109" s="91"/>
      <c r="H109" s="91"/>
      <c r="I109" s="91"/>
      <c r="J109" s="91"/>
    </row>
    <row r="110" spans="3:10" x14ac:dyDescent="0.2">
      <c r="C110" s="102" t="s">
        <v>275</v>
      </c>
      <c r="D110" s="91"/>
      <c r="E110" s="91"/>
      <c r="F110" s="91"/>
      <c r="G110" s="91"/>
      <c r="H110" s="91"/>
      <c r="I110" s="91"/>
      <c r="J110" s="91"/>
    </row>
    <row r="111" spans="3:10" x14ac:dyDescent="0.2">
      <c r="C111" s="102" t="s">
        <v>276</v>
      </c>
      <c r="D111" s="91"/>
      <c r="E111" s="91"/>
      <c r="F111" s="91"/>
      <c r="G111" s="91"/>
      <c r="H111" s="91"/>
      <c r="I111" s="414" t="s">
        <v>984</v>
      </c>
      <c r="J111" s="415"/>
    </row>
    <row r="112" spans="3:10" x14ac:dyDescent="0.2">
      <c r="C112" s="102" t="s">
        <v>277</v>
      </c>
      <c r="D112" s="91"/>
      <c r="E112" s="91"/>
      <c r="F112" s="91"/>
      <c r="G112" s="91"/>
      <c r="H112" s="91"/>
      <c r="I112" s="91"/>
    </row>
  </sheetData>
  <pageMargins left="0.75" right="0.75" top="1" bottom="1" header="0.5" footer="0.5"/>
  <pageSetup scale="75" orientation="landscape" cellComments="asDisplayed" r:id="rId1"/>
  <headerFooter alignWithMargins="0">
    <oddHeader>&amp;CSchedule 20
Administrative and General Expenses
(Revised 2017 True Up TRR)&amp;RTO2020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W103"/>
  <sheetViews>
    <sheetView topLeftCell="G52" zoomScaleNormal="100" workbookViewId="0">
      <selection activeCell="W85" sqref="W85"/>
    </sheetView>
  </sheetViews>
  <sheetFormatPr defaultColWidth="9.140625" defaultRowHeight="15" x14ac:dyDescent="0.25"/>
  <cols>
    <col min="1" max="1" width="11.5703125" style="1" customWidth="1"/>
    <col min="2" max="2" width="9.140625" style="1"/>
    <col min="3" max="3" width="8.28515625" style="1" bestFit="1" customWidth="1"/>
    <col min="4" max="4" width="15.5703125" style="1" customWidth="1"/>
    <col min="5" max="5" width="14.140625" style="1" customWidth="1"/>
    <col min="6" max="6" width="13.7109375" style="1" customWidth="1"/>
    <col min="7" max="7" width="13.5703125" style="1" customWidth="1"/>
    <col min="8" max="8" width="15.5703125" style="1" customWidth="1"/>
    <col min="9" max="9" width="14.140625" style="1" customWidth="1"/>
    <col min="10" max="10" width="16.140625" style="1" customWidth="1"/>
    <col min="11" max="11" width="18.85546875" style="1" customWidth="1"/>
    <col min="12" max="12" width="15.5703125" style="1" customWidth="1"/>
    <col min="13" max="13" width="16" style="1" customWidth="1"/>
    <col min="14" max="14" width="15.42578125" style="1" customWidth="1"/>
    <col min="15" max="15" width="14" style="1" customWidth="1"/>
    <col min="16" max="16" width="15.5703125" style="1" bestFit="1" customWidth="1"/>
    <col min="17" max="17" width="14" style="1" customWidth="1"/>
    <col min="18" max="18" width="13.7109375" style="1" customWidth="1"/>
    <col min="19" max="19" width="14.7109375" style="1" customWidth="1"/>
    <col min="20" max="20" width="15.5703125" style="1" bestFit="1" customWidth="1"/>
    <col min="21" max="21" width="14.140625" style="1" bestFit="1" customWidth="1"/>
    <col min="22" max="22" width="11.5703125" style="1" customWidth="1"/>
    <col min="23" max="23" width="15.42578125" style="1" customWidth="1"/>
    <col min="24" max="16384" width="9.140625" style="1"/>
  </cols>
  <sheetData>
    <row r="2" spans="1:23" ht="15.75" thickBot="1" x14ac:dyDescent="0.3">
      <c r="O2" s="174"/>
    </row>
    <row r="3" spans="1:23" x14ac:dyDescent="0.25">
      <c r="A3" s="29" t="s">
        <v>27</v>
      </c>
      <c r="B3" s="30"/>
      <c r="C3" s="30"/>
      <c r="D3" s="30"/>
      <c r="E3" s="30"/>
      <c r="F3" s="30"/>
      <c r="G3" s="30"/>
      <c r="H3" s="30"/>
      <c r="I3" s="30"/>
      <c r="J3" s="30"/>
      <c r="K3" s="30"/>
      <c r="L3" s="30"/>
      <c r="M3" s="30"/>
      <c r="N3" s="30"/>
      <c r="O3" s="30"/>
      <c r="P3" s="175"/>
      <c r="Q3" s="175"/>
      <c r="R3" s="175"/>
      <c r="S3" s="175"/>
      <c r="T3" s="175"/>
      <c r="U3" s="175"/>
      <c r="V3" s="175"/>
      <c r="W3" s="210"/>
    </row>
    <row r="4" spans="1:23" ht="15.75" thickBot="1" x14ac:dyDescent="0.3">
      <c r="A4" s="2"/>
      <c r="B4" s="3"/>
      <c r="C4" s="3"/>
      <c r="D4" s="3"/>
      <c r="E4" s="3"/>
      <c r="F4" s="3"/>
      <c r="G4" s="3"/>
      <c r="H4" s="3"/>
      <c r="I4" s="3"/>
      <c r="J4" s="3"/>
      <c r="K4" s="3"/>
      <c r="L4" s="3"/>
      <c r="M4" s="3"/>
      <c r="N4" s="3"/>
      <c r="O4" s="3"/>
      <c r="P4" s="176"/>
      <c r="Q4" s="176"/>
      <c r="R4" s="176"/>
      <c r="S4" s="176"/>
      <c r="T4" s="176"/>
      <c r="U4" s="176"/>
      <c r="V4" s="176"/>
      <c r="W4" s="211"/>
    </row>
    <row r="5" spans="1:23" ht="32.25" customHeight="1" thickBot="1" x14ac:dyDescent="0.3">
      <c r="A5" s="476" t="s">
        <v>294</v>
      </c>
      <c r="B5" s="477"/>
      <c r="C5" s="477"/>
      <c r="D5" s="477"/>
      <c r="E5" s="477"/>
      <c r="F5" s="477"/>
      <c r="G5" s="478"/>
      <c r="H5" s="476" t="s">
        <v>28</v>
      </c>
      <c r="I5" s="477"/>
      <c r="J5" s="477"/>
      <c r="K5" s="477"/>
      <c r="L5" s="476" t="s">
        <v>287</v>
      </c>
      <c r="M5" s="477"/>
      <c r="N5" s="477"/>
      <c r="O5" s="479"/>
      <c r="P5" s="480" t="s">
        <v>321</v>
      </c>
      <c r="Q5" s="477"/>
      <c r="R5" s="477"/>
      <c r="S5" s="478"/>
      <c r="T5" s="480" t="s">
        <v>985</v>
      </c>
      <c r="U5" s="477"/>
      <c r="V5" s="477"/>
      <c r="W5" s="478"/>
    </row>
    <row r="6" spans="1:23" ht="15" customHeight="1" x14ac:dyDescent="0.25">
      <c r="A6" s="35"/>
      <c r="B6" s="36"/>
      <c r="C6" s="36"/>
      <c r="D6" s="36"/>
      <c r="E6" s="37" t="s">
        <v>19</v>
      </c>
      <c r="F6" s="38"/>
      <c r="G6" s="39"/>
      <c r="H6" s="4"/>
      <c r="I6" s="5" t="s">
        <v>19</v>
      </c>
      <c r="J6" s="6"/>
      <c r="K6" s="7"/>
      <c r="L6" s="35"/>
      <c r="M6" s="37" t="s">
        <v>19</v>
      </c>
      <c r="N6" s="38"/>
      <c r="O6" s="39"/>
      <c r="P6" s="35"/>
      <c r="Q6" s="37" t="s">
        <v>19</v>
      </c>
      <c r="R6" s="38"/>
      <c r="S6" s="39"/>
      <c r="T6" s="35"/>
      <c r="U6" s="37" t="s">
        <v>19</v>
      </c>
      <c r="V6" s="38"/>
      <c r="W6" s="39"/>
    </row>
    <row r="7" spans="1:23" ht="15" customHeight="1" x14ac:dyDescent="0.25">
      <c r="A7" s="13"/>
      <c r="B7" s="4"/>
      <c r="C7" s="4"/>
      <c r="D7" s="4"/>
      <c r="E7" s="5" t="s">
        <v>4</v>
      </c>
      <c r="F7" s="9"/>
      <c r="G7" s="10" t="s">
        <v>19</v>
      </c>
      <c r="H7" s="4"/>
      <c r="I7" s="5" t="s">
        <v>4</v>
      </c>
      <c r="J7" s="9"/>
      <c r="K7" s="10" t="s">
        <v>19</v>
      </c>
      <c r="L7" s="13"/>
      <c r="M7" s="5" t="s">
        <v>4</v>
      </c>
      <c r="N7" s="9"/>
      <c r="O7" s="10" t="s">
        <v>19</v>
      </c>
      <c r="P7" s="13"/>
      <c r="Q7" s="5" t="s">
        <v>4</v>
      </c>
      <c r="R7" s="9"/>
      <c r="S7" s="10" t="s">
        <v>19</v>
      </c>
      <c r="T7" s="13"/>
      <c r="U7" s="5" t="s">
        <v>4</v>
      </c>
      <c r="V7" s="9"/>
      <c r="W7" s="10" t="s">
        <v>19</v>
      </c>
    </row>
    <row r="8" spans="1:23" ht="15" customHeight="1" x14ac:dyDescent="0.25">
      <c r="A8" s="13"/>
      <c r="B8" s="4"/>
      <c r="C8" s="4"/>
      <c r="D8" s="4"/>
      <c r="E8" s="5" t="s">
        <v>5</v>
      </c>
      <c r="F8" s="9"/>
      <c r="G8" s="10" t="s">
        <v>4</v>
      </c>
      <c r="H8" s="4"/>
      <c r="I8" s="5" t="s">
        <v>5</v>
      </c>
      <c r="J8" s="9"/>
      <c r="K8" s="10" t="s">
        <v>4</v>
      </c>
      <c r="L8" s="13"/>
      <c r="M8" s="5" t="s">
        <v>5</v>
      </c>
      <c r="N8" s="9"/>
      <c r="O8" s="10" t="s">
        <v>4</v>
      </c>
      <c r="P8" s="13"/>
      <c r="Q8" s="5" t="s">
        <v>5</v>
      </c>
      <c r="R8" s="9"/>
      <c r="S8" s="10" t="s">
        <v>4</v>
      </c>
      <c r="T8" s="13"/>
      <c r="U8" s="5" t="s">
        <v>5</v>
      </c>
      <c r="V8" s="9"/>
      <c r="W8" s="10" t="s">
        <v>4</v>
      </c>
    </row>
    <row r="9" spans="1:23" ht="15" customHeight="1" x14ac:dyDescent="0.25">
      <c r="A9" s="13"/>
      <c r="B9" s="4"/>
      <c r="C9" s="8" t="s">
        <v>1</v>
      </c>
      <c r="D9" s="5" t="s">
        <v>1</v>
      </c>
      <c r="E9" s="5" t="s">
        <v>2</v>
      </c>
      <c r="F9" s="12" t="s">
        <v>3</v>
      </c>
      <c r="G9" s="10" t="s">
        <v>5</v>
      </c>
      <c r="H9" s="5" t="s">
        <v>1</v>
      </c>
      <c r="I9" s="5" t="s">
        <v>2</v>
      </c>
      <c r="J9" s="12" t="s">
        <v>3</v>
      </c>
      <c r="K9" s="10" t="s">
        <v>5</v>
      </c>
      <c r="L9" s="85" t="s">
        <v>1</v>
      </c>
      <c r="M9" s="5" t="s">
        <v>2</v>
      </c>
      <c r="N9" s="12" t="s">
        <v>3</v>
      </c>
      <c r="O9" s="10" t="s">
        <v>5</v>
      </c>
      <c r="P9" s="85" t="s">
        <v>1</v>
      </c>
      <c r="Q9" s="5" t="s">
        <v>2</v>
      </c>
      <c r="R9" s="12" t="s">
        <v>3</v>
      </c>
      <c r="S9" s="10" t="s">
        <v>5</v>
      </c>
      <c r="T9" s="85" t="s">
        <v>1</v>
      </c>
      <c r="U9" s="5" t="s">
        <v>2</v>
      </c>
      <c r="V9" s="12" t="s">
        <v>3</v>
      </c>
      <c r="W9" s="10" t="s">
        <v>5</v>
      </c>
    </row>
    <row r="10" spans="1:23" ht="15" customHeight="1" x14ac:dyDescent="0.25">
      <c r="A10" s="13"/>
      <c r="B10" s="4"/>
      <c r="C10" s="11" t="s">
        <v>3</v>
      </c>
      <c r="D10" s="5" t="s">
        <v>20</v>
      </c>
      <c r="E10" s="5" t="s">
        <v>22</v>
      </c>
      <c r="F10" s="5" t="s">
        <v>23</v>
      </c>
      <c r="G10" s="10" t="s">
        <v>2</v>
      </c>
      <c r="H10" s="5" t="s">
        <v>20</v>
      </c>
      <c r="I10" s="5" t="s">
        <v>22</v>
      </c>
      <c r="J10" s="5" t="s">
        <v>23</v>
      </c>
      <c r="K10" s="10" t="s">
        <v>2</v>
      </c>
      <c r="L10" s="85" t="s">
        <v>20</v>
      </c>
      <c r="M10" s="5" t="s">
        <v>22</v>
      </c>
      <c r="N10" s="5" t="s">
        <v>23</v>
      </c>
      <c r="O10" s="10" t="s">
        <v>2</v>
      </c>
      <c r="P10" s="85" t="s">
        <v>20</v>
      </c>
      <c r="Q10" s="5" t="s">
        <v>22</v>
      </c>
      <c r="R10" s="5" t="s">
        <v>23</v>
      </c>
      <c r="S10" s="10" t="s">
        <v>2</v>
      </c>
      <c r="T10" s="85" t="s">
        <v>20</v>
      </c>
      <c r="U10" s="5" t="s">
        <v>22</v>
      </c>
      <c r="V10" s="5" t="s">
        <v>23</v>
      </c>
      <c r="W10" s="10" t="s">
        <v>2</v>
      </c>
    </row>
    <row r="11" spans="1:23" ht="15.75" customHeight="1" x14ac:dyDescent="0.25">
      <c r="A11" s="27" t="s">
        <v>16</v>
      </c>
      <c r="B11" s="26" t="s">
        <v>17</v>
      </c>
      <c r="C11" s="26" t="s">
        <v>0</v>
      </c>
      <c r="D11" s="25" t="s">
        <v>26</v>
      </c>
      <c r="E11" s="25" t="s">
        <v>24</v>
      </c>
      <c r="F11" s="25" t="s">
        <v>16</v>
      </c>
      <c r="G11" s="28" t="s">
        <v>21</v>
      </c>
      <c r="H11" s="25" t="s">
        <v>26</v>
      </c>
      <c r="I11" s="25" t="s">
        <v>24</v>
      </c>
      <c r="J11" s="25" t="s">
        <v>16</v>
      </c>
      <c r="K11" s="28" t="s">
        <v>21</v>
      </c>
      <c r="L11" s="86" t="s">
        <v>26</v>
      </c>
      <c r="M11" s="25" t="s">
        <v>24</v>
      </c>
      <c r="N11" s="25" t="s">
        <v>16</v>
      </c>
      <c r="O11" s="28" t="s">
        <v>21</v>
      </c>
      <c r="P11" s="86" t="s">
        <v>26</v>
      </c>
      <c r="Q11" s="25" t="s">
        <v>24</v>
      </c>
      <c r="R11" s="25" t="s">
        <v>16</v>
      </c>
      <c r="S11" s="28" t="s">
        <v>21</v>
      </c>
      <c r="T11" s="86" t="s">
        <v>26</v>
      </c>
      <c r="U11" s="25" t="s">
        <v>24</v>
      </c>
      <c r="V11" s="25" t="s">
        <v>16</v>
      </c>
      <c r="W11" s="28" t="s">
        <v>21</v>
      </c>
    </row>
    <row r="12" spans="1:23" x14ac:dyDescent="0.25">
      <c r="A12" s="13" t="s">
        <v>7</v>
      </c>
      <c r="B12" s="84" t="s">
        <v>295</v>
      </c>
      <c r="C12" s="14">
        <v>2.7000000000000001E-3</v>
      </c>
      <c r="D12" s="15">
        <f>'WP-2012 True Up TRR Adj'!D8/12</f>
        <v>-719.09589325388276</v>
      </c>
      <c r="E12" s="16">
        <f>D12</f>
        <v>-719.09589325388276</v>
      </c>
      <c r="F12" s="368">
        <f>((E12)/2)*$C12</f>
        <v>-0.97077945589274173</v>
      </c>
      <c r="G12" s="17">
        <f>E12+F12</f>
        <v>-720.0666727097755</v>
      </c>
      <c r="H12" s="15">
        <v>0</v>
      </c>
      <c r="I12" s="16">
        <f>H12</f>
        <v>0</v>
      </c>
      <c r="J12" s="368">
        <f>((I12)/2)*C12</f>
        <v>0</v>
      </c>
      <c r="K12" s="17">
        <f>I12+J12</f>
        <v>0</v>
      </c>
      <c r="L12" s="74">
        <v>0</v>
      </c>
      <c r="M12" s="16">
        <f>L12</f>
        <v>0</v>
      </c>
      <c r="N12" s="368">
        <f>((M12)/2)*$C12</f>
        <v>0</v>
      </c>
      <c r="O12" s="17">
        <f>M12+N12</f>
        <v>0</v>
      </c>
      <c r="P12" s="74">
        <v>0</v>
      </c>
      <c r="Q12" s="16">
        <f>P12</f>
        <v>0</v>
      </c>
      <c r="R12" s="368">
        <f>((Q12)/2)*$C12</f>
        <v>0</v>
      </c>
      <c r="S12" s="17">
        <f>Q12+R12</f>
        <v>0</v>
      </c>
      <c r="T12" s="74">
        <v>0</v>
      </c>
      <c r="U12" s="16">
        <f>T12</f>
        <v>0</v>
      </c>
      <c r="V12" s="368">
        <f>((U12)/2)*$C12</f>
        <v>0</v>
      </c>
      <c r="W12" s="17">
        <f>U12+V12</f>
        <v>0</v>
      </c>
    </row>
    <row r="13" spans="1:23" x14ac:dyDescent="0.25">
      <c r="A13" s="13" t="s">
        <v>8</v>
      </c>
      <c r="B13" s="84" t="s">
        <v>295</v>
      </c>
      <c r="C13" s="14">
        <v>2.7000000000000001E-3</v>
      </c>
      <c r="D13" s="15">
        <f>D12</f>
        <v>-719.09589325388276</v>
      </c>
      <c r="E13" s="16">
        <f>D13+G12</f>
        <v>-1439.1625659636584</v>
      </c>
      <c r="F13" s="368">
        <f t="shared" ref="F13:F44" si="0">(((E13+G12))/2)*$C13</f>
        <v>-2.9149594722091359</v>
      </c>
      <c r="G13" s="17">
        <f t="shared" ref="G13:G23" si="1">E13+F13</f>
        <v>-1442.0775254358675</v>
      </c>
      <c r="H13" s="15">
        <v>0</v>
      </c>
      <c r="I13" s="16">
        <f>H13+K12</f>
        <v>0</v>
      </c>
      <c r="J13" s="368">
        <f t="shared" ref="J13:J44" si="2">(((I13+K12))/2)*$C13</f>
        <v>0</v>
      </c>
      <c r="K13" s="17">
        <f t="shared" ref="K13:K23" si="3">I13+J13</f>
        <v>0</v>
      </c>
      <c r="L13" s="74">
        <v>0</v>
      </c>
      <c r="M13" s="16">
        <f>L13+O12</f>
        <v>0</v>
      </c>
      <c r="N13" s="368">
        <f t="shared" ref="N13:N44" si="4">(((M13+O12))/2)*$C13</f>
        <v>0</v>
      </c>
      <c r="O13" s="17">
        <f t="shared" ref="O13:O23" si="5">M13+N13</f>
        <v>0</v>
      </c>
      <c r="P13" s="74">
        <v>0</v>
      </c>
      <c r="Q13" s="16">
        <f>P13+S12</f>
        <v>0</v>
      </c>
      <c r="R13" s="368">
        <f t="shared" ref="R13:R44" si="6">(((Q13+S12))/2)*$C13</f>
        <v>0</v>
      </c>
      <c r="S13" s="17">
        <f t="shared" ref="S13:S23" si="7">Q13+R13</f>
        <v>0</v>
      </c>
      <c r="T13" s="74">
        <v>0</v>
      </c>
      <c r="U13" s="16">
        <f>T13+W12</f>
        <v>0</v>
      </c>
      <c r="V13" s="368">
        <f t="shared" ref="V13:V44" si="8">(((U13+W12))/2)*$C13</f>
        <v>0</v>
      </c>
      <c r="W13" s="17">
        <f t="shared" ref="W13:W23" si="9">U13+V13</f>
        <v>0</v>
      </c>
    </row>
    <row r="14" spans="1:23" x14ac:dyDescent="0.25">
      <c r="A14" s="13" t="s">
        <v>18</v>
      </c>
      <c r="B14" s="84" t="s">
        <v>295</v>
      </c>
      <c r="C14" s="14">
        <v>2.7000000000000001E-3</v>
      </c>
      <c r="D14" s="15">
        <f t="shared" ref="D14:D23" si="10">D13</f>
        <v>-719.09589325388276</v>
      </c>
      <c r="E14" s="16">
        <f t="shared" ref="E14:E47" si="11">D14+G13</f>
        <v>-2161.1734186897502</v>
      </c>
      <c r="F14" s="368">
        <f t="shared" si="0"/>
        <v>-4.8643887745695844</v>
      </c>
      <c r="G14" s="17">
        <f t="shared" si="1"/>
        <v>-2166.0378074643199</v>
      </c>
      <c r="H14" s="15">
        <v>0</v>
      </c>
      <c r="I14" s="16">
        <f t="shared" ref="I14:I47" si="12">H14+K13</f>
        <v>0</v>
      </c>
      <c r="J14" s="368">
        <f t="shared" si="2"/>
        <v>0</v>
      </c>
      <c r="K14" s="17">
        <f t="shared" si="3"/>
        <v>0</v>
      </c>
      <c r="L14" s="74">
        <v>0</v>
      </c>
      <c r="M14" s="16">
        <f t="shared" ref="M14:M35" si="13">L14+O13</f>
        <v>0</v>
      </c>
      <c r="N14" s="368">
        <f t="shared" si="4"/>
        <v>0</v>
      </c>
      <c r="O14" s="17">
        <f t="shared" si="5"/>
        <v>0</v>
      </c>
      <c r="P14" s="74">
        <v>0</v>
      </c>
      <c r="Q14" s="16">
        <f t="shared" ref="Q14:Q47" si="14">P14+S13</f>
        <v>0</v>
      </c>
      <c r="R14" s="368">
        <f t="shared" si="6"/>
        <v>0</v>
      </c>
      <c r="S14" s="17">
        <f t="shared" si="7"/>
        <v>0</v>
      </c>
      <c r="T14" s="74">
        <v>0</v>
      </c>
      <c r="U14" s="16">
        <f t="shared" ref="U14:U47" si="15">T14+W13</f>
        <v>0</v>
      </c>
      <c r="V14" s="368">
        <f t="shared" si="8"/>
        <v>0</v>
      </c>
      <c r="W14" s="17">
        <f t="shared" si="9"/>
        <v>0</v>
      </c>
    </row>
    <row r="15" spans="1:23" x14ac:dyDescent="0.25">
      <c r="A15" s="13" t="s">
        <v>9</v>
      </c>
      <c r="B15" s="84" t="s">
        <v>295</v>
      </c>
      <c r="C15" s="14">
        <v>2.7000000000000001E-3</v>
      </c>
      <c r="D15" s="15">
        <f t="shared" si="10"/>
        <v>-719.09589325388276</v>
      </c>
      <c r="E15" s="16">
        <f t="shared" si="11"/>
        <v>-2885.1337007182028</v>
      </c>
      <c r="F15" s="368">
        <f t="shared" si="0"/>
        <v>-6.8190815360464052</v>
      </c>
      <c r="G15" s="17">
        <f t="shared" si="1"/>
        <v>-2891.9527822542491</v>
      </c>
      <c r="H15" s="15">
        <v>0</v>
      </c>
      <c r="I15" s="16">
        <f t="shared" si="12"/>
        <v>0</v>
      </c>
      <c r="J15" s="368">
        <f t="shared" si="2"/>
        <v>0</v>
      </c>
      <c r="K15" s="17">
        <f t="shared" si="3"/>
        <v>0</v>
      </c>
      <c r="L15" s="74">
        <v>0</v>
      </c>
      <c r="M15" s="16">
        <f t="shared" si="13"/>
        <v>0</v>
      </c>
      <c r="N15" s="368">
        <f t="shared" si="4"/>
        <v>0</v>
      </c>
      <c r="O15" s="17">
        <f t="shared" si="5"/>
        <v>0</v>
      </c>
      <c r="P15" s="74">
        <v>0</v>
      </c>
      <c r="Q15" s="16">
        <f t="shared" si="14"/>
        <v>0</v>
      </c>
      <c r="R15" s="368">
        <f t="shared" si="6"/>
        <v>0</v>
      </c>
      <c r="S15" s="17">
        <f t="shared" si="7"/>
        <v>0</v>
      </c>
      <c r="T15" s="74">
        <v>0</v>
      </c>
      <c r="U15" s="16">
        <f t="shared" si="15"/>
        <v>0</v>
      </c>
      <c r="V15" s="368">
        <f t="shared" si="8"/>
        <v>0</v>
      </c>
      <c r="W15" s="17">
        <f t="shared" si="9"/>
        <v>0</v>
      </c>
    </row>
    <row r="16" spans="1:23" x14ac:dyDescent="0.25">
      <c r="A16" s="13" t="s">
        <v>10</v>
      </c>
      <c r="B16" s="84" t="s">
        <v>295</v>
      </c>
      <c r="C16" s="14">
        <v>2.7000000000000001E-3</v>
      </c>
      <c r="D16" s="15">
        <f t="shared" si="10"/>
        <v>-719.09589325388276</v>
      </c>
      <c r="E16" s="16">
        <f t="shared" si="11"/>
        <v>-3611.048675508132</v>
      </c>
      <c r="F16" s="368">
        <f t="shared" si="0"/>
        <v>-8.7790519679792141</v>
      </c>
      <c r="G16" s="17">
        <f t="shared" si="1"/>
        <v>-3619.8277274761112</v>
      </c>
      <c r="H16" s="15">
        <v>0</v>
      </c>
      <c r="I16" s="16">
        <f t="shared" si="12"/>
        <v>0</v>
      </c>
      <c r="J16" s="368">
        <f t="shared" si="2"/>
        <v>0</v>
      </c>
      <c r="K16" s="17">
        <f t="shared" si="3"/>
        <v>0</v>
      </c>
      <c r="L16" s="74">
        <v>0</v>
      </c>
      <c r="M16" s="16">
        <f t="shared" si="13"/>
        <v>0</v>
      </c>
      <c r="N16" s="368">
        <f t="shared" si="4"/>
        <v>0</v>
      </c>
      <c r="O16" s="17">
        <f t="shared" si="5"/>
        <v>0</v>
      </c>
      <c r="P16" s="74">
        <v>0</v>
      </c>
      <c r="Q16" s="16">
        <f t="shared" si="14"/>
        <v>0</v>
      </c>
      <c r="R16" s="368">
        <f t="shared" si="6"/>
        <v>0</v>
      </c>
      <c r="S16" s="17">
        <f t="shared" si="7"/>
        <v>0</v>
      </c>
      <c r="T16" s="74">
        <v>0</v>
      </c>
      <c r="U16" s="16">
        <f t="shared" si="15"/>
        <v>0</v>
      </c>
      <c r="V16" s="368">
        <f t="shared" si="8"/>
        <v>0</v>
      </c>
      <c r="W16" s="17">
        <f t="shared" si="9"/>
        <v>0</v>
      </c>
    </row>
    <row r="17" spans="1:23" x14ac:dyDescent="0.25">
      <c r="A17" s="13" t="s">
        <v>25</v>
      </c>
      <c r="B17" s="84" t="s">
        <v>295</v>
      </c>
      <c r="C17" s="14">
        <v>2.7000000000000001E-3</v>
      </c>
      <c r="D17" s="15">
        <f t="shared" si="10"/>
        <v>-719.09589325388276</v>
      </c>
      <c r="E17" s="16">
        <f t="shared" si="11"/>
        <v>-4338.9236207299937</v>
      </c>
      <c r="F17" s="368">
        <f t="shared" si="0"/>
        <v>-10.744314320078242</v>
      </c>
      <c r="G17" s="17">
        <f t="shared" si="1"/>
        <v>-4349.6679350500717</v>
      </c>
      <c r="H17" s="15">
        <v>0</v>
      </c>
      <c r="I17" s="16">
        <f t="shared" si="12"/>
        <v>0</v>
      </c>
      <c r="J17" s="368">
        <f t="shared" si="2"/>
        <v>0</v>
      </c>
      <c r="K17" s="17">
        <f t="shared" si="3"/>
        <v>0</v>
      </c>
      <c r="L17" s="74">
        <v>0</v>
      </c>
      <c r="M17" s="16">
        <f t="shared" si="13"/>
        <v>0</v>
      </c>
      <c r="N17" s="368">
        <f t="shared" si="4"/>
        <v>0</v>
      </c>
      <c r="O17" s="17">
        <f t="shared" si="5"/>
        <v>0</v>
      </c>
      <c r="P17" s="74">
        <v>0</v>
      </c>
      <c r="Q17" s="16">
        <f t="shared" si="14"/>
        <v>0</v>
      </c>
      <c r="R17" s="368">
        <f t="shared" si="6"/>
        <v>0</v>
      </c>
      <c r="S17" s="17">
        <f t="shared" si="7"/>
        <v>0</v>
      </c>
      <c r="T17" s="74">
        <v>0</v>
      </c>
      <c r="U17" s="16">
        <f t="shared" si="15"/>
        <v>0</v>
      </c>
      <c r="V17" s="368">
        <f t="shared" si="8"/>
        <v>0</v>
      </c>
      <c r="W17" s="17">
        <f t="shared" si="9"/>
        <v>0</v>
      </c>
    </row>
    <row r="18" spans="1:23" x14ac:dyDescent="0.25">
      <c r="A18" s="13" t="s">
        <v>11</v>
      </c>
      <c r="B18" s="84" t="s">
        <v>295</v>
      </c>
      <c r="C18" s="14">
        <v>2.7000000000000001E-3</v>
      </c>
      <c r="D18" s="15">
        <f t="shared" si="10"/>
        <v>-719.09589325388276</v>
      </c>
      <c r="E18" s="16">
        <f t="shared" si="11"/>
        <v>-5068.7638283039541</v>
      </c>
      <c r="F18" s="368">
        <f t="shared" si="0"/>
        <v>-12.714882880527936</v>
      </c>
      <c r="G18" s="17">
        <f t="shared" si="1"/>
        <v>-5081.4787111844817</v>
      </c>
      <c r="H18" s="15">
        <v>0</v>
      </c>
      <c r="I18" s="16">
        <f t="shared" si="12"/>
        <v>0</v>
      </c>
      <c r="J18" s="368">
        <f t="shared" si="2"/>
        <v>0</v>
      </c>
      <c r="K18" s="17">
        <f t="shared" si="3"/>
        <v>0</v>
      </c>
      <c r="L18" s="74">
        <v>0</v>
      </c>
      <c r="M18" s="16">
        <f t="shared" si="13"/>
        <v>0</v>
      </c>
      <c r="N18" s="368">
        <f t="shared" si="4"/>
        <v>0</v>
      </c>
      <c r="O18" s="17">
        <f t="shared" si="5"/>
        <v>0</v>
      </c>
      <c r="P18" s="74">
        <v>0</v>
      </c>
      <c r="Q18" s="16">
        <f t="shared" si="14"/>
        <v>0</v>
      </c>
      <c r="R18" s="368">
        <f t="shared" si="6"/>
        <v>0</v>
      </c>
      <c r="S18" s="17">
        <f t="shared" si="7"/>
        <v>0</v>
      </c>
      <c r="T18" s="74">
        <v>0</v>
      </c>
      <c r="U18" s="16">
        <f t="shared" si="15"/>
        <v>0</v>
      </c>
      <c r="V18" s="368">
        <f t="shared" si="8"/>
        <v>0</v>
      </c>
      <c r="W18" s="17">
        <f t="shared" si="9"/>
        <v>0</v>
      </c>
    </row>
    <row r="19" spans="1:23" x14ac:dyDescent="0.25">
      <c r="A19" s="13" t="s">
        <v>12</v>
      </c>
      <c r="B19" s="84" t="s">
        <v>295</v>
      </c>
      <c r="C19" s="14">
        <v>2.7000000000000001E-3</v>
      </c>
      <c r="D19" s="15">
        <f t="shared" si="10"/>
        <v>-719.09589325388276</v>
      </c>
      <c r="E19" s="16">
        <f t="shared" si="11"/>
        <v>-5800.5746044383641</v>
      </c>
      <c r="F19" s="368">
        <f t="shared" si="0"/>
        <v>-14.690771976090842</v>
      </c>
      <c r="G19" s="17">
        <f t="shared" si="1"/>
        <v>-5815.2653764144552</v>
      </c>
      <c r="H19" s="15">
        <v>0</v>
      </c>
      <c r="I19" s="16">
        <f t="shared" si="12"/>
        <v>0</v>
      </c>
      <c r="J19" s="368">
        <f t="shared" si="2"/>
        <v>0</v>
      </c>
      <c r="K19" s="17">
        <f t="shared" si="3"/>
        <v>0</v>
      </c>
      <c r="L19" s="74">
        <v>0</v>
      </c>
      <c r="M19" s="16">
        <f t="shared" si="13"/>
        <v>0</v>
      </c>
      <c r="N19" s="368">
        <f t="shared" si="4"/>
        <v>0</v>
      </c>
      <c r="O19" s="17">
        <f t="shared" si="5"/>
        <v>0</v>
      </c>
      <c r="P19" s="74">
        <v>0</v>
      </c>
      <c r="Q19" s="16">
        <f t="shared" si="14"/>
        <v>0</v>
      </c>
      <c r="R19" s="368">
        <f t="shared" si="6"/>
        <v>0</v>
      </c>
      <c r="S19" s="17">
        <f t="shared" si="7"/>
        <v>0</v>
      </c>
      <c r="T19" s="74">
        <v>0</v>
      </c>
      <c r="U19" s="16">
        <f t="shared" si="15"/>
        <v>0</v>
      </c>
      <c r="V19" s="368">
        <f t="shared" si="8"/>
        <v>0</v>
      </c>
      <c r="W19" s="17">
        <f t="shared" si="9"/>
        <v>0</v>
      </c>
    </row>
    <row r="20" spans="1:23" x14ac:dyDescent="0.25">
      <c r="A20" s="13" t="s">
        <v>13</v>
      </c>
      <c r="B20" s="84" t="s">
        <v>295</v>
      </c>
      <c r="C20" s="14">
        <v>2.7000000000000001E-3</v>
      </c>
      <c r="D20" s="15">
        <f t="shared" si="10"/>
        <v>-719.09589325388276</v>
      </c>
      <c r="E20" s="16">
        <f t="shared" si="11"/>
        <v>-6534.3612696683376</v>
      </c>
      <c r="F20" s="368">
        <f t="shared" si="0"/>
        <v>-16.671995972211771</v>
      </c>
      <c r="G20" s="17">
        <f t="shared" si="1"/>
        <v>-6551.033265640549</v>
      </c>
      <c r="H20" s="15">
        <v>0</v>
      </c>
      <c r="I20" s="16">
        <f t="shared" si="12"/>
        <v>0</v>
      </c>
      <c r="J20" s="368">
        <f t="shared" si="2"/>
        <v>0</v>
      </c>
      <c r="K20" s="17">
        <f t="shared" si="3"/>
        <v>0</v>
      </c>
      <c r="L20" s="74">
        <v>0</v>
      </c>
      <c r="M20" s="16">
        <f t="shared" si="13"/>
        <v>0</v>
      </c>
      <c r="N20" s="368">
        <f t="shared" si="4"/>
        <v>0</v>
      </c>
      <c r="O20" s="17">
        <f t="shared" si="5"/>
        <v>0</v>
      </c>
      <c r="P20" s="74">
        <v>0</v>
      </c>
      <c r="Q20" s="16">
        <f t="shared" si="14"/>
        <v>0</v>
      </c>
      <c r="R20" s="368">
        <f t="shared" si="6"/>
        <v>0</v>
      </c>
      <c r="S20" s="17">
        <f t="shared" si="7"/>
        <v>0</v>
      </c>
      <c r="T20" s="74">
        <v>0</v>
      </c>
      <c r="U20" s="16">
        <f t="shared" si="15"/>
        <v>0</v>
      </c>
      <c r="V20" s="368">
        <f t="shared" si="8"/>
        <v>0</v>
      </c>
      <c r="W20" s="17">
        <f t="shared" si="9"/>
        <v>0</v>
      </c>
    </row>
    <row r="21" spans="1:23" x14ac:dyDescent="0.25">
      <c r="A21" s="13" t="s">
        <v>15</v>
      </c>
      <c r="B21" s="84" t="s">
        <v>295</v>
      </c>
      <c r="C21" s="14">
        <v>2.7000000000000001E-3</v>
      </c>
      <c r="D21" s="15">
        <f t="shared" si="10"/>
        <v>-719.09589325388276</v>
      </c>
      <c r="E21" s="16">
        <f t="shared" si="11"/>
        <v>-7270.1291588944314</v>
      </c>
      <c r="F21" s="368">
        <f t="shared" si="0"/>
        <v>-18.658569273122225</v>
      </c>
      <c r="G21" s="17">
        <f t="shared" si="1"/>
        <v>-7288.7877281675537</v>
      </c>
      <c r="H21" s="15">
        <v>0</v>
      </c>
      <c r="I21" s="16">
        <f t="shared" si="12"/>
        <v>0</v>
      </c>
      <c r="J21" s="368">
        <f t="shared" si="2"/>
        <v>0</v>
      </c>
      <c r="K21" s="17">
        <f t="shared" si="3"/>
        <v>0</v>
      </c>
      <c r="L21" s="74">
        <v>0</v>
      </c>
      <c r="M21" s="16">
        <f t="shared" si="13"/>
        <v>0</v>
      </c>
      <c r="N21" s="368">
        <f t="shared" si="4"/>
        <v>0</v>
      </c>
      <c r="O21" s="17">
        <f t="shared" si="5"/>
        <v>0</v>
      </c>
      <c r="P21" s="74">
        <v>0</v>
      </c>
      <c r="Q21" s="16">
        <f t="shared" si="14"/>
        <v>0</v>
      </c>
      <c r="R21" s="368">
        <f t="shared" si="6"/>
        <v>0</v>
      </c>
      <c r="S21" s="17">
        <f t="shared" si="7"/>
        <v>0</v>
      </c>
      <c r="T21" s="74">
        <v>0</v>
      </c>
      <c r="U21" s="16">
        <f t="shared" si="15"/>
        <v>0</v>
      </c>
      <c r="V21" s="368">
        <f t="shared" si="8"/>
        <v>0</v>
      </c>
      <c r="W21" s="17">
        <f t="shared" si="9"/>
        <v>0</v>
      </c>
    </row>
    <row r="22" spans="1:23" x14ac:dyDescent="0.25">
      <c r="A22" s="13" t="s">
        <v>14</v>
      </c>
      <c r="B22" s="84" t="s">
        <v>295</v>
      </c>
      <c r="C22" s="14">
        <v>2.7000000000000001E-3</v>
      </c>
      <c r="D22" s="15">
        <f t="shared" si="10"/>
        <v>-719.09589325388276</v>
      </c>
      <c r="E22" s="16">
        <f t="shared" si="11"/>
        <v>-8007.8836214214361</v>
      </c>
      <c r="F22" s="368">
        <f t="shared" si="0"/>
        <v>-20.650506321945137</v>
      </c>
      <c r="G22" s="17">
        <f t="shared" si="1"/>
        <v>-8028.5341277433809</v>
      </c>
      <c r="H22" s="15">
        <v>0</v>
      </c>
      <c r="I22" s="16">
        <f t="shared" si="12"/>
        <v>0</v>
      </c>
      <c r="J22" s="368">
        <f t="shared" si="2"/>
        <v>0</v>
      </c>
      <c r="K22" s="17">
        <f t="shared" si="3"/>
        <v>0</v>
      </c>
      <c r="L22" s="74">
        <v>0</v>
      </c>
      <c r="M22" s="16">
        <f t="shared" si="13"/>
        <v>0</v>
      </c>
      <c r="N22" s="368">
        <f t="shared" si="4"/>
        <v>0</v>
      </c>
      <c r="O22" s="17">
        <f t="shared" si="5"/>
        <v>0</v>
      </c>
      <c r="P22" s="74">
        <v>0</v>
      </c>
      <c r="Q22" s="16">
        <f t="shared" si="14"/>
        <v>0</v>
      </c>
      <c r="R22" s="368">
        <f t="shared" si="6"/>
        <v>0</v>
      </c>
      <c r="S22" s="17">
        <f t="shared" si="7"/>
        <v>0</v>
      </c>
      <c r="T22" s="74">
        <v>0</v>
      </c>
      <c r="U22" s="16">
        <f t="shared" si="15"/>
        <v>0</v>
      </c>
      <c r="V22" s="368">
        <f t="shared" si="8"/>
        <v>0</v>
      </c>
      <c r="W22" s="17">
        <f t="shared" si="9"/>
        <v>0</v>
      </c>
    </row>
    <row r="23" spans="1:23" x14ac:dyDescent="0.25">
      <c r="A23" s="13" t="s">
        <v>6</v>
      </c>
      <c r="B23" s="84" t="s">
        <v>295</v>
      </c>
      <c r="C23" s="14">
        <v>2.7000000000000001E-3</v>
      </c>
      <c r="D23" s="15">
        <f t="shared" si="10"/>
        <v>-719.09589325388276</v>
      </c>
      <c r="E23" s="16">
        <f t="shared" si="11"/>
        <v>-8747.6300209972633</v>
      </c>
      <c r="F23" s="368">
        <f t="shared" si="0"/>
        <v>-22.647821600799872</v>
      </c>
      <c r="G23" s="16">
        <f t="shared" si="1"/>
        <v>-8770.2778425980632</v>
      </c>
      <c r="H23" s="74">
        <v>0</v>
      </c>
      <c r="I23" s="16">
        <f t="shared" si="12"/>
        <v>0</v>
      </c>
      <c r="J23" s="368">
        <f t="shared" si="2"/>
        <v>0</v>
      </c>
      <c r="K23" s="17">
        <f t="shared" si="3"/>
        <v>0</v>
      </c>
      <c r="L23" s="74">
        <v>0</v>
      </c>
      <c r="M23" s="16">
        <f t="shared" si="13"/>
        <v>0</v>
      </c>
      <c r="N23" s="368">
        <f t="shared" si="4"/>
        <v>0</v>
      </c>
      <c r="O23" s="17">
        <f t="shared" si="5"/>
        <v>0</v>
      </c>
      <c r="P23" s="74">
        <v>0</v>
      </c>
      <c r="Q23" s="16">
        <f t="shared" si="14"/>
        <v>0</v>
      </c>
      <c r="R23" s="368">
        <f t="shared" si="6"/>
        <v>0</v>
      </c>
      <c r="S23" s="17">
        <f t="shared" si="7"/>
        <v>0</v>
      </c>
      <c r="T23" s="74">
        <v>0</v>
      </c>
      <c r="U23" s="16">
        <f t="shared" si="15"/>
        <v>0</v>
      </c>
      <c r="V23" s="368">
        <f t="shared" si="8"/>
        <v>0</v>
      </c>
      <c r="W23" s="17">
        <f t="shared" si="9"/>
        <v>0</v>
      </c>
    </row>
    <row r="24" spans="1:23" x14ac:dyDescent="0.25">
      <c r="A24" s="13" t="s">
        <v>7</v>
      </c>
      <c r="B24" s="31" t="s">
        <v>29</v>
      </c>
      <c r="C24" s="14">
        <v>2.7000000000000001E-3</v>
      </c>
      <c r="D24" s="15">
        <v>0</v>
      </c>
      <c r="E24" s="16">
        <f t="shared" si="11"/>
        <v>-8770.2778425980632</v>
      </c>
      <c r="F24" s="368">
        <f t="shared" si="0"/>
        <v>-23.679750175014771</v>
      </c>
      <c r="G24" s="17">
        <f>E24+F24</f>
        <v>-8793.9575927730784</v>
      </c>
      <c r="H24" s="15">
        <f>'WP-2013 True Up TRR Adj'!D8/12</f>
        <v>-16699.917612344027</v>
      </c>
      <c r="I24" s="16">
        <f t="shared" si="12"/>
        <v>-16699.917612344027</v>
      </c>
      <c r="J24" s="368">
        <f t="shared" si="2"/>
        <v>-22.544888776664436</v>
      </c>
      <c r="K24" s="17">
        <f>I24+J24</f>
        <v>-16722.462501120692</v>
      </c>
      <c r="L24" s="74">
        <v>0</v>
      </c>
      <c r="M24" s="16">
        <f t="shared" si="13"/>
        <v>0</v>
      </c>
      <c r="N24" s="368">
        <f t="shared" si="4"/>
        <v>0</v>
      </c>
      <c r="O24" s="17">
        <f>M24+N24</f>
        <v>0</v>
      </c>
      <c r="P24" s="74">
        <v>0</v>
      </c>
      <c r="Q24" s="16">
        <f t="shared" si="14"/>
        <v>0</v>
      </c>
      <c r="R24" s="368">
        <f t="shared" si="6"/>
        <v>0</v>
      </c>
      <c r="S24" s="17">
        <f>Q24+R24</f>
        <v>0</v>
      </c>
      <c r="T24" s="74">
        <v>0</v>
      </c>
      <c r="U24" s="16">
        <f t="shared" si="15"/>
        <v>0</v>
      </c>
      <c r="V24" s="368">
        <f t="shared" si="8"/>
        <v>0</v>
      </c>
      <c r="W24" s="17">
        <f>U24+V24</f>
        <v>0</v>
      </c>
    </row>
    <row r="25" spans="1:23" x14ac:dyDescent="0.25">
      <c r="A25" s="13" t="s">
        <v>8</v>
      </c>
      <c r="B25" s="31" t="s">
        <v>29</v>
      </c>
      <c r="C25" s="14">
        <v>2.7000000000000001E-3</v>
      </c>
      <c r="D25" s="15">
        <v>0</v>
      </c>
      <c r="E25" s="16">
        <f t="shared" si="11"/>
        <v>-8793.9575927730784</v>
      </c>
      <c r="F25" s="368">
        <f t="shared" si="0"/>
        <v>-23.743685500487313</v>
      </c>
      <c r="G25" s="17">
        <f t="shared" ref="G25:G46" si="16">E25+F25</f>
        <v>-8817.7012782735655</v>
      </c>
      <c r="H25" s="15">
        <f t="shared" ref="H25:H35" si="17">H24</f>
        <v>-16699.917612344027</v>
      </c>
      <c r="I25" s="16">
        <f t="shared" si="12"/>
        <v>-33422.380113464722</v>
      </c>
      <c r="J25" s="368">
        <f t="shared" si="2"/>
        <v>-67.695537529690313</v>
      </c>
      <c r="K25" s="17">
        <f t="shared" ref="K25:K47" si="18">I25+J25</f>
        <v>-33490.075650994411</v>
      </c>
      <c r="L25" s="74">
        <v>0</v>
      </c>
      <c r="M25" s="16">
        <f t="shared" si="13"/>
        <v>0</v>
      </c>
      <c r="N25" s="368">
        <f t="shared" si="4"/>
        <v>0</v>
      </c>
      <c r="O25" s="17">
        <f t="shared" ref="O25:O47" si="19">M25+N25</f>
        <v>0</v>
      </c>
      <c r="P25" s="74">
        <v>0</v>
      </c>
      <c r="Q25" s="16">
        <f t="shared" si="14"/>
        <v>0</v>
      </c>
      <c r="R25" s="368">
        <f t="shared" si="6"/>
        <v>0</v>
      </c>
      <c r="S25" s="17">
        <f t="shared" ref="S25:S47" si="20">Q25+R25</f>
        <v>0</v>
      </c>
      <c r="T25" s="74">
        <v>0</v>
      </c>
      <c r="U25" s="16">
        <f t="shared" si="15"/>
        <v>0</v>
      </c>
      <c r="V25" s="368">
        <f t="shared" si="8"/>
        <v>0</v>
      </c>
      <c r="W25" s="17">
        <f t="shared" ref="W25:W71" si="21">U25+V25</f>
        <v>0</v>
      </c>
    </row>
    <row r="26" spans="1:23" x14ac:dyDescent="0.25">
      <c r="A26" s="13" t="s">
        <v>18</v>
      </c>
      <c r="B26" s="31" t="s">
        <v>29</v>
      </c>
      <c r="C26" s="14">
        <v>2.7000000000000001E-3</v>
      </c>
      <c r="D26" s="15">
        <v>0</v>
      </c>
      <c r="E26" s="16">
        <f t="shared" si="11"/>
        <v>-8817.7012782735655</v>
      </c>
      <c r="F26" s="368">
        <f t="shared" si="0"/>
        <v>-23.807793451338629</v>
      </c>
      <c r="G26" s="17">
        <f t="shared" si="16"/>
        <v>-8841.5090717249041</v>
      </c>
      <c r="H26" s="15">
        <f t="shared" si="17"/>
        <v>-16699.917612344027</v>
      </c>
      <c r="I26" s="16">
        <f t="shared" si="12"/>
        <v>-50189.993263338438</v>
      </c>
      <c r="J26" s="368">
        <f t="shared" si="2"/>
        <v>-112.96809303434935</v>
      </c>
      <c r="K26" s="17">
        <f t="shared" si="18"/>
        <v>-50302.961356372791</v>
      </c>
      <c r="L26" s="74">
        <v>0</v>
      </c>
      <c r="M26" s="16">
        <f t="shared" si="13"/>
        <v>0</v>
      </c>
      <c r="N26" s="368">
        <f t="shared" si="4"/>
        <v>0</v>
      </c>
      <c r="O26" s="17">
        <f t="shared" si="19"/>
        <v>0</v>
      </c>
      <c r="P26" s="74">
        <v>0</v>
      </c>
      <c r="Q26" s="16">
        <f t="shared" si="14"/>
        <v>0</v>
      </c>
      <c r="R26" s="368">
        <f t="shared" si="6"/>
        <v>0</v>
      </c>
      <c r="S26" s="17">
        <f t="shared" si="20"/>
        <v>0</v>
      </c>
      <c r="T26" s="74">
        <v>0</v>
      </c>
      <c r="U26" s="16">
        <f t="shared" si="15"/>
        <v>0</v>
      </c>
      <c r="V26" s="368">
        <f t="shared" si="8"/>
        <v>0</v>
      </c>
      <c r="W26" s="17">
        <f t="shared" si="21"/>
        <v>0</v>
      </c>
    </row>
    <row r="27" spans="1:23" x14ac:dyDescent="0.25">
      <c r="A27" s="13" t="s">
        <v>9</v>
      </c>
      <c r="B27" s="31" t="s">
        <v>29</v>
      </c>
      <c r="C27" s="14">
        <v>2.7000000000000001E-3</v>
      </c>
      <c r="D27" s="15">
        <v>0</v>
      </c>
      <c r="E27" s="16">
        <f t="shared" si="11"/>
        <v>-8841.5090717249041</v>
      </c>
      <c r="F27" s="368">
        <f t="shared" si="0"/>
        <v>-23.872074493657241</v>
      </c>
      <c r="G27" s="17">
        <f t="shared" si="16"/>
        <v>-8865.3811462185622</v>
      </c>
      <c r="H27" s="15">
        <f t="shared" si="17"/>
        <v>-16699.917612344027</v>
      </c>
      <c r="I27" s="16">
        <f t="shared" si="12"/>
        <v>-67002.878968716817</v>
      </c>
      <c r="J27" s="368">
        <f t="shared" si="2"/>
        <v>-158.36288443887099</v>
      </c>
      <c r="K27" s="17">
        <f t="shared" si="18"/>
        <v>-67161.24185315569</v>
      </c>
      <c r="L27" s="74">
        <v>0</v>
      </c>
      <c r="M27" s="16">
        <f t="shared" si="13"/>
        <v>0</v>
      </c>
      <c r="N27" s="368">
        <f t="shared" si="4"/>
        <v>0</v>
      </c>
      <c r="O27" s="17">
        <f t="shared" si="19"/>
        <v>0</v>
      </c>
      <c r="P27" s="74">
        <v>0</v>
      </c>
      <c r="Q27" s="16">
        <f t="shared" si="14"/>
        <v>0</v>
      </c>
      <c r="R27" s="368">
        <f t="shared" si="6"/>
        <v>0</v>
      </c>
      <c r="S27" s="17">
        <f t="shared" si="20"/>
        <v>0</v>
      </c>
      <c r="T27" s="74">
        <v>0</v>
      </c>
      <c r="U27" s="16">
        <f t="shared" si="15"/>
        <v>0</v>
      </c>
      <c r="V27" s="368">
        <f t="shared" si="8"/>
        <v>0</v>
      </c>
      <c r="W27" s="17">
        <f t="shared" si="21"/>
        <v>0</v>
      </c>
    </row>
    <row r="28" spans="1:23" x14ac:dyDescent="0.25">
      <c r="A28" s="13" t="s">
        <v>10</v>
      </c>
      <c r="B28" s="31" t="s">
        <v>29</v>
      </c>
      <c r="C28" s="14">
        <v>2.7000000000000001E-3</v>
      </c>
      <c r="D28" s="15">
        <v>0</v>
      </c>
      <c r="E28" s="16">
        <f t="shared" si="11"/>
        <v>-8865.3811462185622</v>
      </c>
      <c r="F28" s="368">
        <f t="shared" si="0"/>
        <v>-23.936529094790121</v>
      </c>
      <c r="G28" s="17">
        <f t="shared" si="16"/>
        <v>-8889.3176753133521</v>
      </c>
      <c r="H28" s="15">
        <f t="shared" si="17"/>
        <v>-16699.917612344027</v>
      </c>
      <c r="I28" s="16">
        <f t="shared" si="12"/>
        <v>-83861.159465499717</v>
      </c>
      <c r="J28" s="368">
        <f t="shared" si="2"/>
        <v>-203.8802417801848</v>
      </c>
      <c r="K28" s="17">
        <f t="shared" si="18"/>
        <v>-84065.039707279895</v>
      </c>
      <c r="L28" s="74">
        <v>0</v>
      </c>
      <c r="M28" s="16">
        <f t="shared" si="13"/>
        <v>0</v>
      </c>
      <c r="N28" s="368">
        <f t="shared" si="4"/>
        <v>0</v>
      </c>
      <c r="O28" s="17">
        <f t="shared" si="19"/>
        <v>0</v>
      </c>
      <c r="P28" s="74">
        <v>0</v>
      </c>
      <c r="Q28" s="16">
        <f t="shared" si="14"/>
        <v>0</v>
      </c>
      <c r="R28" s="368">
        <f t="shared" si="6"/>
        <v>0</v>
      </c>
      <c r="S28" s="17">
        <f t="shared" si="20"/>
        <v>0</v>
      </c>
      <c r="T28" s="74">
        <v>0</v>
      </c>
      <c r="U28" s="16">
        <f t="shared" si="15"/>
        <v>0</v>
      </c>
      <c r="V28" s="368">
        <f t="shared" si="8"/>
        <v>0</v>
      </c>
      <c r="W28" s="17">
        <f t="shared" si="21"/>
        <v>0</v>
      </c>
    </row>
    <row r="29" spans="1:23" x14ac:dyDescent="0.25">
      <c r="A29" s="13" t="s">
        <v>25</v>
      </c>
      <c r="B29" s="31" t="s">
        <v>29</v>
      </c>
      <c r="C29" s="14">
        <v>2.7000000000000001E-3</v>
      </c>
      <c r="D29" s="15">
        <v>0</v>
      </c>
      <c r="E29" s="16">
        <f t="shared" si="11"/>
        <v>-8889.3176753133521</v>
      </c>
      <c r="F29" s="368">
        <f t="shared" si="0"/>
        <v>-24.001157723346051</v>
      </c>
      <c r="G29" s="17">
        <f t="shared" si="16"/>
        <v>-8913.3188330366975</v>
      </c>
      <c r="H29" s="15">
        <f t="shared" si="17"/>
        <v>-16699.917612344027</v>
      </c>
      <c r="I29" s="16">
        <f t="shared" si="12"/>
        <v>-100764.95731962392</v>
      </c>
      <c r="J29" s="368">
        <f t="shared" si="2"/>
        <v>-249.52049598632016</v>
      </c>
      <c r="K29" s="17">
        <f t="shared" si="18"/>
        <v>-101014.47781561024</v>
      </c>
      <c r="L29" s="74">
        <v>0</v>
      </c>
      <c r="M29" s="16">
        <f t="shared" si="13"/>
        <v>0</v>
      </c>
      <c r="N29" s="368">
        <f t="shared" si="4"/>
        <v>0</v>
      </c>
      <c r="O29" s="17">
        <f t="shared" si="19"/>
        <v>0</v>
      </c>
      <c r="P29" s="74">
        <v>0</v>
      </c>
      <c r="Q29" s="16">
        <f t="shared" si="14"/>
        <v>0</v>
      </c>
      <c r="R29" s="368">
        <f t="shared" si="6"/>
        <v>0</v>
      </c>
      <c r="S29" s="17">
        <f t="shared" si="20"/>
        <v>0</v>
      </c>
      <c r="T29" s="74">
        <v>0</v>
      </c>
      <c r="U29" s="16">
        <f t="shared" si="15"/>
        <v>0</v>
      </c>
      <c r="V29" s="368">
        <f t="shared" si="8"/>
        <v>0</v>
      </c>
      <c r="W29" s="17">
        <f t="shared" si="21"/>
        <v>0</v>
      </c>
    </row>
    <row r="30" spans="1:23" x14ac:dyDescent="0.25">
      <c r="A30" s="13" t="s">
        <v>11</v>
      </c>
      <c r="B30" s="31" t="s">
        <v>29</v>
      </c>
      <c r="C30" s="14">
        <v>2.7000000000000001E-3</v>
      </c>
      <c r="D30" s="15">
        <v>0</v>
      </c>
      <c r="E30" s="16">
        <f t="shared" si="11"/>
        <v>-8913.3188330366975</v>
      </c>
      <c r="F30" s="368">
        <f t="shared" si="0"/>
        <v>-24.065960849199083</v>
      </c>
      <c r="G30" s="17">
        <f t="shared" si="16"/>
        <v>-8937.3847938858962</v>
      </c>
      <c r="H30" s="15">
        <f t="shared" si="17"/>
        <v>-16699.917612344027</v>
      </c>
      <c r="I30" s="16">
        <f t="shared" si="12"/>
        <v>-117714.39542795427</v>
      </c>
      <c r="J30" s="368">
        <f t="shared" si="2"/>
        <v>-295.28397887881209</v>
      </c>
      <c r="K30" s="17">
        <f t="shared" si="18"/>
        <v>-118009.67940683308</v>
      </c>
      <c r="L30" s="74">
        <v>0</v>
      </c>
      <c r="M30" s="16">
        <f t="shared" si="13"/>
        <v>0</v>
      </c>
      <c r="N30" s="368">
        <f t="shared" si="4"/>
        <v>0</v>
      </c>
      <c r="O30" s="17">
        <f t="shared" si="19"/>
        <v>0</v>
      </c>
      <c r="P30" s="74">
        <v>0</v>
      </c>
      <c r="Q30" s="16">
        <f t="shared" si="14"/>
        <v>0</v>
      </c>
      <c r="R30" s="368">
        <f t="shared" si="6"/>
        <v>0</v>
      </c>
      <c r="S30" s="17">
        <f t="shared" si="20"/>
        <v>0</v>
      </c>
      <c r="T30" s="74">
        <v>0</v>
      </c>
      <c r="U30" s="16">
        <f t="shared" si="15"/>
        <v>0</v>
      </c>
      <c r="V30" s="368">
        <f t="shared" si="8"/>
        <v>0</v>
      </c>
      <c r="W30" s="17">
        <f t="shared" si="21"/>
        <v>0</v>
      </c>
    </row>
    <row r="31" spans="1:23" x14ac:dyDescent="0.25">
      <c r="A31" s="13" t="s">
        <v>12</v>
      </c>
      <c r="B31" s="31" t="s">
        <v>29</v>
      </c>
      <c r="C31" s="14">
        <v>2.7000000000000001E-3</v>
      </c>
      <c r="D31" s="15">
        <v>0</v>
      </c>
      <c r="E31" s="16">
        <f t="shared" si="11"/>
        <v>-8937.3847938858962</v>
      </c>
      <c r="F31" s="368">
        <f t="shared" si="0"/>
        <v>-24.13093894349192</v>
      </c>
      <c r="G31" s="17">
        <f t="shared" si="16"/>
        <v>-8961.5157328293881</v>
      </c>
      <c r="H31" s="15">
        <f t="shared" si="17"/>
        <v>-16699.917612344027</v>
      </c>
      <c r="I31" s="16">
        <f t="shared" si="12"/>
        <v>-134709.5970191771</v>
      </c>
      <c r="J31" s="368">
        <f t="shared" si="2"/>
        <v>-341.17102317511376</v>
      </c>
      <c r="K31" s="17">
        <f t="shared" si="18"/>
        <v>-135050.76804235223</v>
      </c>
      <c r="L31" s="74">
        <v>0</v>
      </c>
      <c r="M31" s="16">
        <f t="shared" si="13"/>
        <v>0</v>
      </c>
      <c r="N31" s="368">
        <f t="shared" si="4"/>
        <v>0</v>
      </c>
      <c r="O31" s="17">
        <f t="shared" si="19"/>
        <v>0</v>
      </c>
      <c r="P31" s="74">
        <v>0</v>
      </c>
      <c r="Q31" s="16">
        <f t="shared" si="14"/>
        <v>0</v>
      </c>
      <c r="R31" s="368">
        <f t="shared" si="6"/>
        <v>0</v>
      </c>
      <c r="S31" s="17">
        <f t="shared" si="20"/>
        <v>0</v>
      </c>
      <c r="T31" s="74">
        <v>0</v>
      </c>
      <c r="U31" s="16">
        <f t="shared" si="15"/>
        <v>0</v>
      </c>
      <c r="V31" s="368">
        <f t="shared" si="8"/>
        <v>0</v>
      </c>
      <c r="W31" s="17">
        <f t="shared" si="21"/>
        <v>0</v>
      </c>
    </row>
    <row r="32" spans="1:23" x14ac:dyDescent="0.25">
      <c r="A32" s="13" t="s">
        <v>13</v>
      </c>
      <c r="B32" s="31" t="s">
        <v>29</v>
      </c>
      <c r="C32" s="14">
        <v>2.7000000000000001E-3</v>
      </c>
      <c r="D32" s="15">
        <v>0</v>
      </c>
      <c r="E32" s="16">
        <f t="shared" si="11"/>
        <v>-8961.5157328293881</v>
      </c>
      <c r="F32" s="368">
        <f t="shared" si="0"/>
        <v>-24.196092478639351</v>
      </c>
      <c r="G32" s="17">
        <f t="shared" si="16"/>
        <v>-8985.711825308028</v>
      </c>
      <c r="H32" s="15">
        <f t="shared" si="17"/>
        <v>-16699.917612344027</v>
      </c>
      <c r="I32" s="16">
        <f t="shared" si="12"/>
        <v>-151750.68565469625</v>
      </c>
      <c r="J32" s="368">
        <f t="shared" si="2"/>
        <v>-387.18196249101544</v>
      </c>
      <c r="K32" s="17">
        <f t="shared" si="18"/>
        <v>-152137.86761718726</v>
      </c>
      <c r="L32" s="74">
        <v>0</v>
      </c>
      <c r="M32" s="16">
        <f t="shared" si="13"/>
        <v>0</v>
      </c>
      <c r="N32" s="368">
        <f t="shared" si="4"/>
        <v>0</v>
      </c>
      <c r="O32" s="17">
        <f t="shared" si="19"/>
        <v>0</v>
      </c>
      <c r="P32" s="74">
        <v>0</v>
      </c>
      <c r="Q32" s="16">
        <f t="shared" si="14"/>
        <v>0</v>
      </c>
      <c r="R32" s="368">
        <f t="shared" si="6"/>
        <v>0</v>
      </c>
      <c r="S32" s="17">
        <f t="shared" si="20"/>
        <v>0</v>
      </c>
      <c r="T32" s="74">
        <v>0</v>
      </c>
      <c r="U32" s="16">
        <f t="shared" si="15"/>
        <v>0</v>
      </c>
      <c r="V32" s="368">
        <f t="shared" si="8"/>
        <v>0</v>
      </c>
      <c r="W32" s="17">
        <f t="shared" si="21"/>
        <v>0</v>
      </c>
    </row>
    <row r="33" spans="1:23" x14ac:dyDescent="0.25">
      <c r="A33" s="13" t="s">
        <v>15</v>
      </c>
      <c r="B33" s="31" t="s">
        <v>29</v>
      </c>
      <c r="C33" s="14">
        <v>2.7000000000000001E-3</v>
      </c>
      <c r="D33" s="15">
        <v>0</v>
      </c>
      <c r="E33" s="16">
        <f t="shared" si="11"/>
        <v>-8985.711825308028</v>
      </c>
      <c r="F33" s="368">
        <f t="shared" si="0"/>
        <v>-24.261421928331679</v>
      </c>
      <c r="G33" s="17">
        <f t="shared" si="16"/>
        <v>-9009.9732472363594</v>
      </c>
      <c r="H33" s="15">
        <f t="shared" si="17"/>
        <v>-16699.917612344027</v>
      </c>
      <c r="I33" s="16">
        <f t="shared" si="12"/>
        <v>-168837.78522953129</v>
      </c>
      <c r="J33" s="368">
        <f t="shared" si="2"/>
        <v>-433.31713134307006</v>
      </c>
      <c r="K33" s="17">
        <f t="shared" si="18"/>
        <v>-169271.10236087436</v>
      </c>
      <c r="L33" s="74">
        <v>0</v>
      </c>
      <c r="M33" s="16">
        <f t="shared" si="13"/>
        <v>0</v>
      </c>
      <c r="N33" s="368">
        <f t="shared" si="4"/>
        <v>0</v>
      </c>
      <c r="O33" s="17">
        <f t="shared" si="19"/>
        <v>0</v>
      </c>
      <c r="P33" s="74">
        <v>0</v>
      </c>
      <c r="Q33" s="16">
        <f t="shared" si="14"/>
        <v>0</v>
      </c>
      <c r="R33" s="368">
        <f t="shared" si="6"/>
        <v>0</v>
      </c>
      <c r="S33" s="17">
        <f t="shared" si="20"/>
        <v>0</v>
      </c>
      <c r="T33" s="74">
        <v>0</v>
      </c>
      <c r="U33" s="16">
        <f t="shared" si="15"/>
        <v>0</v>
      </c>
      <c r="V33" s="368">
        <f t="shared" si="8"/>
        <v>0</v>
      </c>
      <c r="W33" s="17">
        <f t="shared" si="21"/>
        <v>0</v>
      </c>
    </row>
    <row r="34" spans="1:23" x14ac:dyDescent="0.25">
      <c r="A34" s="13" t="s">
        <v>14</v>
      </c>
      <c r="B34" s="31" t="s">
        <v>29</v>
      </c>
      <c r="C34" s="14">
        <v>2.7000000000000001E-3</v>
      </c>
      <c r="D34" s="15">
        <v>0</v>
      </c>
      <c r="E34" s="16">
        <f t="shared" si="11"/>
        <v>-9009.9732472363594</v>
      </c>
      <c r="F34" s="368">
        <f t="shared" si="0"/>
        <v>-24.326927767538173</v>
      </c>
      <c r="G34" s="17">
        <f t="shared" si="16"/>
        <v>-9034.3001750038984</v>
      </c>
      <c r="H34" s="15">
        <f t="shared" si="17"/>
        <v>-16699.917612344027</v>
      </c>
      <c r="I34" s="16">
        <f t="shared" si="12"/>
        <v>-185971.01997321838</v>
      </c>
      <c r="J34" s="368">
        <f t="shared" si="2"/>
        <v>-479.57686515102523</v>
      </c>
      <c r="K34" s="17">
        <f t="shared" si="18"/>
        <v>-186450.59683836941</v>
      </c>
      <c r="L34" s="74">
        <v>0</v>
      </c>
      <c r="M34" s="16">
        <f t="shared" si="13"/>
        <v>0</v>
      </c>
      <c r="N34" s="368">
        <f t="shared" si="4"/>
        <v>0</v>
      </c>
      <c r="O34" s="17">
        <f t="shared" si="19"/>
        <v>0</v>
      </c>
      <c r="P34" s="74">
        <v>0</v>
      </c>
      <c r="Q34" s="16">
        <f t="shared" si="14"/>
        <v>0</v>
      </c>
      <c r="R34" s="368">
        <f t="shared" si="6"/>
        <v>0</v>
      </c>
      <c r="S34" s="17">
        <f t="shared" si="20"/>
        <v>0</v>
      </c>
      <c r="T34" s="74">
        <v>0</v>
      </c>
      <c r="U34" s="16">
        <f t="shared" si="15"/>
        <v>0</v>
      </c>
      <c r="V34" s="368">
        <f t="shared" si="8"/>
        <v>0</v>
      </c>
      <c r="W34" s="17">
        <f t="shared" si="21"/>
        <v>0</v>
      </c>
    </row>
    <row r="35" spans="1:23" x14ac:dyDescent="0.25">
      <c r="A35" s="13" t="s">
        <v>6</v>
      </c>
      <c r="B35" s="31" t="s">
        <v>29</v>
      </c>
      <c r="C35" s="14">
        <v>2.7000000000000001E-3</v>
      </c>
      <c r="D35" s="15">
        <v>0</v>
      </c>
      <c r="E35" s="16">
        <f t="shared" si="11"/>
        <v>-9034.3001750038984</v>
      </c>
      <c r="F35" s="368">
        <f t="shared" si="0"/>
        <v>-24.392610472510526</v>
      </c>
      <c r="G35" s="16">
        <f t="shared" si="16"/>
        <v>-9058.692785476409</v>
      </c>
      <c r="H35" s="74">
        <f t="shared" si="17"/>
        <v>-16699.917612344027</v>
      </c>
      <c r="I35" s="16">
        <f t="shared" si="12"/>
        <v>-203150.51445071344</v>
      </c>
      <c r="J35" s="368">
        <f t="shared" si="2"/>
        <v>-525.9615002402619</v>
      </c>
      <c r="K35" s="17">
        <f t="shared" si="18"/>
        <v>-203676.4759509537</v>
      </c>
      <c r="L35" s="74">
        <v>0</v>
      </c>
      <c r="M35" s="16">
        <f t="shared" si="13"/>
        <v>0</v>
      </c>
      <c r="N35" s="368">
        <f t="shared" si="4"/>
        <v>0</v>
      </c>
      <c r="O35" s="17">
        <f t="shared" si="19"/>
        <v>0</v>
      </c>
      <c r="P35" s="74">
        <v>0</v>
      </c>
      <c r="Q35" s="16">
        <f t="shared" si="14"/>
        <v>0</v>
      </c>
      <c r="R35" s="368">
        <f t="shared" si="6"/>
        <v>0</v>
      </c>
      <c r="S35" s="17">
        <f t="shared" si="20"/>
        <v>0</v>
      </c>
      <c r="T35" s="74">
        <v>0</v>
      </c>
      <c r="U35" s="16">
        <f t="shared" si="15"/>
        <v>0</v>
      </c>
      <c r="V35" s="368">
        <f t="shared" si="8"/>
        <v>0</v>
      </c>
      <c r="W35" s="17">
        <f t="shared" si="21"/>
        <v>0</v>
      </c>
    </row>
    <row r="36" spans="1:23" x14ac:dyDescent="0.25">
      <c r="A36" s="13" t="s">
        <v>7</v>
      </c>
      <c r="B36" s="82" t="s">
        <v>288</v>
      </c>
      <c r="C36" s="14">
        <v>2.7000000000000001E-3</v>
      </c>
      <c r="D36" s="15">
        <v>0</v>
      </c>
      <c r="E36" s="16">
        <f t="shared" si="11"/>
        <v>-9058.692785476409</v>
      </c>
      <c r="F36" s="368">
        <f t="shared" si="0"/>
        <v>-24.458470520786307</v>
      </c>
      <c r="G36" s="16">
        <f t="shared" si="16"/>
        <v>-9083.1512559971961</v>
      </c>
      <c r="H36" s="74">
        <v>0</v>
      </c>
      <c r="I36" s="16">
        <f t="shared" si="12"/>
        <v>-203676.4759509537</v>
      </c>
      <c r="J36" s="368">
        <f t="shared" si="2"/>
        <v>-549.92648506757496</v>
      </c>
      <c r="K36" s="75">
        <f t="shared" si="18"/>
        <v>-204226.40243602128</v>
      </c>
      <c r="L36" s="74">
        <f>('WP-2014 True Up TRR Adj'!D8)/12</f>
        <v>-2494.9162461260953</v>
      </c>
      <c r="M36" s="16">
        <f>L36+O35</f>
        <v>-2494.9162461260953</v>
      </c>
      <c r="N36" s="368">
        <f t="shared" si="4"/>
        <v>-3.3681369322702288</v>
      </c>
      <c r="O36" s="75">
        <f>M36+N36</f>
        <v>-2498.2843830583656</v>
      </c>
      <c r="P36" s="74">
        <v>0</v>
      </c>
      <c r="Q36" s="16">
        <f t="shared" si="14"/>
        <v>0</v>
      </c>
      <c r="R36" s="368">
        <f t="shared" si="6"/>
        <v>0</v>
      </c>
      <c r="S36" s="75">
        <f t="shared" si="20"/>
        <v>0</v>
      </c>
      <c r="T36" s="74">
        <v>0</v>
      </c>
      <c r="U36" s="16">
        <f t="shared" si="15"/>
        <v>0</v>
      </c>
      <c r="V36" s="368">
        <f t="shared" si="8"/>
        <v>0</v>
      </c>
      <c r="W36" s="75">
        <f t="shared" si="21"/>
        <v>0</v>
      </c>
    </row>
    <row r="37" spans="1:23" x14ac:dyDescent="0.25">
      <c r="A37" s="13" t="s">
        <v>8</v>
      </c>
      <c r="B37" s="82" t="s">
        <v>288</v>
      </c>
      <c r="C37" s="14">
        <v>2.7000000000000001E-3</v>
      </c>
      <c r="D37" s="15">
        <v>0</v>
      </c>
      <c r="E37" s="16">
        <f t="shared" si="11"/>
        <v>-9083.1512559971961</v>
      </c>
      <c r="F37" s="368">
        <f t="shared" si="0"/>
        <v>-24.52450839119243</v>
      </c>
      <c r="G37" s="16">
        <f t="shared" si="16"/>
        <v>-9107.6757643883884</v>
      </c>
      <c r="H37" s="74">
        <v>0</v>
      </c>
      <c r="I37" s="16">
        <f t="shared" si="12"/>
        <v>-204226.40243602128</v>
      </c>
      <c r="J37" s="368">
        <f t="shared" si="2"/>
        <v>-551.41128657725744</v>
      </c>
      <c r="K37" s="75">
        <f t="shared" si="18"/>
        <v>-204777.81372259854</v>
      </c>
      <c r="L37" s="74">
        <f>L36</f>
        <v>-2494.9162461260953</v>
      </c>
      <c r="M37" s="16">
        <f t="shared" ref="M37:M47" si="22">L37+O36</f>
        <v>-4993.2006291844609</v>
      </c>
      <c r="N37" s="368">
        <f t="shared" si="4"/>
        <v>-10.113504766527816</v>
      </c>
      <c r="O37" s="75">
        <f t="shared" si="19"/>
        <v>-5003.3141339509884</v>
      </c>
      <c r="P37" s="74">
        <v>0</v>
      </c>
      <c r="Q37" s="16">
        <f t="shared" si="14"/>
        <v>0</v>
      </c>
      <c r="R37" s="368">
        <f t="shared" si="6"/>
        <v>0</v>
      </c>
      <c r="S37" s="75">
        <f t="shared" si="20"/>
        <v>0</v>
      </c>
      <c r="T37" s="74">
        <v>0</v>
      </c>
      <c r="U37" s="16">
        <f t="shared" si="15"/>
        <v>0</v>
      </c>
      <c r="V37" s="368">
        <f t="shared" si="8"/>
        <v>0</v>
      </c>
      <c r="W37" s="75">
        <f t="shared" si="21"/>
        <v>0</v>
      </c>
    </row>
    <row r="38" spans="1:23" x14ac:dyDescent="0.25">
      <c r="A38" s="13" t="s">
        <v>18</v>
      </c>
      <c r="B38" s="82" t="s">
        <v>288</v>
      </c>
      <c r="C38" s="14">
        <v>2.7000000000000001E-3</v>
      </c>
      <c r="D38" s="15">
        <v>0</v>
      </c>
      <c r="E38" s="16">
        <f t="shared" si="11"/>
        <v>-9107.6757643883884</v>
      </c>
      <c r="F38" s="368">
        <f t="shared" si="0"/>
        <v>-24.590724563848649</v>
      </c>
      <c r="G38" s="16">
        <f t="shared" si="16"/>
        <v>-9132.2664889522366</v>
      </c>
      <c r="H38" s="74">
        <v>0</v>
      </c>
      <c r="I38" s="16">
        <f t="shared" si="12"/>
        <v>-204777.81372259854</v>
      </c>
      <c r="J38" s="368">
        <f t="shared" si="2"/>
        <v>-552.90009705101613</v>
      </c>
      <c r="K38" s="75">
        <f t="shared" si="18"/>
        <v>-205330.71381964957</v>
      </c>
      <c r="L38" s="74">
        <f t="shared" ref="L38:L47" si="23">L37</f>
        <v>-2494.9162461260953</v>
      </c>
      <c r="M38" s="16">
        <f t="shared" si="22"/>
        <v>-7498.2303800770842</v>
      </c>
      <c r="N38" s="368">
        <f t="shared" si="4"/>
        <v>-16.877085093937897</v>
      </c>
      <c r="O38" s="75">
        <f t="shared" si="19"/>
        <v>-7515.1074651710223</v>
      </c>
      <c r="P38" s="74">
        <v>0</v>
      </c>
      <c r="Q38" s="16">
        <f t="shared" si="14"/>
        <v>0</v>
      </c>
      <c r="R38" s="368">
        <f t="shared" si="6"/>
        <v>0</v>
      </c>
      <c r="S38" s="75">
        <f t="shared" si="20"/>
        <v>0</v>
      </c>
      <c r="T38" s="74">
        <v>0</v>
      </c>
      <c r="U38" s="16">
        <f t="shared" si="15"/>
        <v>0</v>
      </c>
      <c r="V38" s="368">
        <f t="shared" si="8"/>
        <v>0</v>
      </c>
      <c r="W38" s="75">
        <f t="shared" si="21"/>
        <v>0</v>
      </c>
    </row>
    <row r="39" spans="1:23" x14ac:dyDescent="0.25">
      <c r="A39" s="13" t="s">
        <v>9</v>
      </c>
      <c r="B39" s="82" t="s">
        <v>288</v>
      </c>
      <c r="C39" s="14">
        <v>2.7000000000000001E-3</v>
      </c>
      <c r="D39" s="15">
        <v>0</v>
      </c>
      <c r="E39" s="16">
        <f t="shared" si="11"/>
        <v>-9132.2664889522366</v>
      </c>
      <c r="F39" s="368">
        <f t="shared" si="0"/>
        <v>-24.65711952017104</v>
      </c>
      <c r="G39" s="16">
        <f t="shared" si="16"/>
        <v>-9156.9236084724071</v>
      </c>
      <c r="H39" s="74">
        <v>0</v>
      </c>
      <c r="I39" s="16">
        <f t="shared" si="12"/>
        <v>-205330.71381964957</v>
      </c>
      <c r="J39" s="368">
        <f t="shared" si="2"/>
        <v>-554.39292731305386</v>
      </c>
      <c r="K39" s="75">
        <f t="shared" si="18"/>
        <v>-205885.10674696261</v>
      </c>
      <c r="L39" s="74">
        <f t="shared" si="23"/>
        <v>-2494.9162461260953</v>
      </c>
      <c r="M39" s="16">
        <f t="shared" si="22"/>
        <v>-10010.023711297117</v>
      </c>
      <c r="N39" s="368">
        <f t="shared" si="4"/>
        <v>-23.658927088231987</v>
      </c>
      <c r="O39" s="75">
        <f t="shared" si="19"/>
        <v>-10033.682638385349</v>
      </c>
      <c r="P39" s="74">
        <v>0</v>
      </c>
      <c r="Q39" s="16">
        <f t="shared" si="14"/>
        <v>0</v>
      </c>
      <c r="R39" s="368">
        <f t="shared" si="6"/>
        <v>0</v>
      </c>
      <c r="S39" s="75">
        <f t="shared" si="20"/>
        <v>0</v>
      </c>
      <c r="T39" s="74">
        <v>0</v>
      </c>
      <c r="U39" s="16">
        <f t="shared" si="15"/>
        <v>0</v>
      </c>
      <c r="V39" s="368">
        <f t="shared" si="8"/>
        <v>0</v>
      </c>
      <c r="W39" s="75">
        <f t="shared" si="21"/>
        <v>0</v>
      </c>
    </row>
    <row r="40" spans="1:23" x14ac:dyDescent="0.25">
      <c r="A40" s="13" t="s">
        <v>10</v>
      </c>
      <c r="B40" s="82" t="s">
        <v>288</v>
      </c>
      <c r="C40" s="14">
        <v>2.7000000000000001E-3</v>
      </c>
      <c r="D40" s="15">
        <v>0</v>
      </c>
      <c r="E40" s="16">
        <f t="shared" si="11"/>
        <v>-9156.9236084724071</v>
      </c>
      <c r="F40" s="368">
        <f t="shared" si="0"/>
        <v>-24.723693742875501</v>
      </c>
      <c r="G40" s="16">
        <f t="shared" si="16"/>
        <v>-9181.6473022152823</v>
      </c>
      <c r="H40" s="74">
        <v>0</v>
      </c>
      <c r="I40" s="16">
        <f t="shared" si="12"/>
        <v>-205885.10674696261</v>
      </c>
      <c r="J40" s="368">
        <f t="shared" si="2"/>
        <v>-555.88978821679905</v>
      </c>
      <c r="K40" s="75">
        <f t="shared" si="18"/>
        <v>-206440.99653517941</v>
      </c>
      <c r="L40" s="74">
        <f t="shared" si="23"/>
        <v>-2494.9162461260953</v>
      </c>
      <c r="M40" s="16">
        <f t="shared" si="22"/>
        <v>-12528.598884511444</v>
      </c>
      <c r="N40" s="368">
        <f t="shared" si="4"/>
        <v>-30.459080055910675</v>
      </c>
      <c r="O40" s="75">
        <f t="shared" si="19"/>
        <v>-12559.057964567355</v>
      </c>
      <c r="P40" s="74">
        <v>0</v>
      </c>
      <c r="Q40" s="16">
        <f t="shared" si="14"/>
        <v>0</v>
      </c>
      <c r="R40" s="368">
        <f t="shared" si="6"/>
        <v>0</v>
      </c>
      <c r="S40" s="75">
        <f t="shared" si="20"/>
        <v>0</v>
      </c>
      <c r="T40" s="74">
        <v>0</v>
      </c>
      <c r="U40" s="16">
        <f t="shared" si="15"/>
        <v>0</v>
      </c>
      <c r="V40" s="368">
        <f t="shared" si="8"/>
        <v>0</v>
      </c>
      <c r="W40" s="75">
        <f t="shared" si="21"/>
        <v>0</v>
      </c>
    </row>
    <row r="41" spans="1:23" x14ac:dyDescent="0.25">
      <c r="A41" s="13" t="s">
        <v>25</v>
      </c>
      <c r="B41" s="82" t="s">
        <v>288</v>
      </c>
      <c r="C41" s="14">
        <v>2.7000000000000001E-3</v>
      </c>
      <c r="D41" s="15">
        <v>0</v>
      </c>
      <c r="E41" s="16">
        <f t="shared" si="11"/>
        <v>-9181.6473022152823</v>
      </c>
      <c r="F41" s="368">
        <f t="shared" si="0"/>
        <v>-24.790447715981262</v>
      </c>
      <c r="G41" s="17">
        <f t="shared" si="16"/>
        <v>-9206.4377499312632</v>
      </c>
      <c r="H41" s="15">
        <v>0</v>
      </c>
      <c r="I41" s="16">
        <f t="shared" si="12"/>
        <v>-206440.99653517941</v>
      </c>
      <c r="J41" s="368">
        <f t="shared" si="2"/>
        <v>-557.39069064498449</v>
      </c>
      <c r="K41" s="75">
        <f t="shared" si="18"/>
        <v>-206998.38722582438</v>
      </c>
      <c r="L41" s="74">
        <f t="shared" si="23"/>
        <v>-2494.9162461260953</v>
      </c>
      <c r="M41" s="16">
        <f t="shared" si="22"/>
        <v>-15053.97421069345</v>
      </c>
      <c r="N41" s="368">
        <f t="shared" si="4"/>
        <v>-37.277593436602089</v>
      </c>
      <c r="O41" s="75">
        <f t="shared" si="19"/>
        <v>-15091.251804130052</v>
      </c>
      <c r="P41" s="74">
        <v>0</v>
      </c>
      <c r="Q41" s="16">
        <f t="shared" si="14"/>
        <v>0</v>
      </c>
      <c r="R41" s="368">
        <f t="shared" si="6"/>
        <v>0</v>
      </c>
      <c r="S41" s="75">
        <f t="shared" si="20"/>
        <v>0</v>
      </c>
      <c r="T41" s="74">
        <v>0</v>
      </c>
      <c r="U41" s="16">
        <f t="shared" si="15"/>
        <v>0</v>
      </c>
      <c r="V41" s="368">
        <f t="shared" si="8"/>
        <v>0</v>
      </c>
      <c r="W41" s="75">
        <f t="shared" si="21"/>
        <v>0</v>
      </c>
    </row>
    <row r="42" spans="1:23" x14ac:dyDescent="0.25">
      <c r="A42" s="13" t="s">
        <v>11</v>
      </c>
      <c r="B42" s="82" t="s">
        <v>288</v>
      </c>
      <c r="C42" s="14">
        <v>2.7000000000000001E-3</v>
      </c>
      <c r="D42" s="15">
        <v>0</v>
      </c>
      <c r="E42" s="16">
        <f t="shared" si="11"/>
        <v>-9206.4377499312632</v>
      </c>
      <c r="F42" s="368">
        <f t="shared" si="0"/>
        <v>-24.857381924814412</v>
      </c>
      <c r="G42" s="16">
        <f t="shared" si="16"/>
        <v>-9231.2951318560772</v>
      </c>
      <c r="H42" s="74">
        <v>0</v>
      </c>
      <c r="I42" s="16">
        <f t="shared" si="12"/>
        <v>-206998.38722582438</v>
      </c>
      <c r="J42" s="368">
        <f t="shared" si="2"/>
        <v>-558.89564550972591</v>
      </c>
      <c r="K42" s="75">
        <f t="shared" si="18"/>
        <v>-207557.28287133412</v>
      </c>
      <c r="L42" s="74">
        <f t="shared" si="23"/>
        <v>-2494.9162461260953</v>
      </c>
      <c r="M42" s="16">
        <f t="shared" si="22"/>
        <v>-17586.168050256147</v>
      </c>
      <c r="N42" s="368">
        <f t="shared" si="4"/>
        <v>-44.114516803421374</v>
      </c>
      <c r="O42" s="75">
        <f t="shared" si="19"/>
        <v>-17630.282567059567</v>
      </c>
      <c r="P42" s="74">
        <v>0</v>
      </c>
      <c r="Q42" s="16">
        <f t="shared" si="14"/>
        <v>0</v>
      </c>
      <c r="R42" s="368">
        <f t="shared" si="6"/>
        <v>0</v>
      </c>
      <c r="S42" s="75">
        <f t="shared" si="20"/>
        <v>0</v>
      </c>
      <c r="T42" s="74">
        <v>0</v>
      </c>
      <c r="U42" s="16">
        <f t="shared" si="15"/>
        <v>0</v>
      </c>
      <c r="V42" s="368">
        <f t="shared" si="8"/>
        <v>0</v>
      </c>
      <c r="W42" s="75">
        <f t="shared" si="21"/>
        <v>0</v>
      </c>
    </row>
    <row r="43" spans="1:23" x14ac:dyDescent="0.25">
      <c r="A43" s="13" t="s">
        <v>12</v>
      </c>
      <c r="B43" s="82" t="s">
        <v>288</v>
      </c>
      <c r="C43" s="14">
        <v>2.7000000000000001E-3</v>
      </c>
      <c r="D43" s="15">
        <v>0</v>
      </c>
      <c r="E43" s="16">
        <f t="shared" si="11"/>
        <v>-9231.2951318560772</v>
      </c>
      <c r="F43" s="368">
        <f t="shared" si="0"/>
        <v>-24.924496856011409</v>
      </c>
      <c r="G43" s="17">
        <f t="shared" si="16"/>
        <v>-9256.2196287120878</v>
      </c>
      <c r="H43" s="15">
        <v>0</v>
      </c>
      <c r="I43" s="16">
        <f t="shared" si="12"/>
        <v>-207557.28287133412</v>
      </c>
      <c r="J43" s="368">
        <f t="shared" si="2"/>
        <v>-560.40466375260212</v>
      </c>
      <c r="K43" s="75">
        <f t="shared" si="18"/>
        <v>-208117.6875350867</v>
      </c>
      <c r="L43" s="74">
        <f t="shared" si="23"/>
        <v>-2494.9162461260953</v>
      </c>
      <c r="M43" s="16">
        <f t="shared" si="22"/>
        <v>-20125.198813185663</v>
      </c>
      <c r="N43" s="368">
        <f t="shared" si="4"/>
        <v>-50.969899863331058</v>
      </c>
      <c r="O43" s="75">
        <f t="shared" si="19"/>
        <v>-20176.168713048995</v>
      </c>
      <c r="P43" s="74">
        <v>0</v>
      </c>
      <c r="Q43" s="16">
        <f t="shared" si="14"/>
        <v>0</v>
      </c>
      <c r="R43" s="368">
        <f t="shared" si="6"/>
        <v>0</v>
      </c>
      <c r="S43" s="75">
        <f t="shared" si="20"/>
        <v>0</v>
      </c>
      <c r="T43" s="74">
        <v>0</v>
      </c>
      <c r="U43" s="16">
        <f t="shared" si="15"/>
        <v>0</v>
      </c>
      <c r="V43" s="368">
        <f t="shared" si="8"/>
        <v>0</v>
      </c>
      <c r="W43" s="75">
        <f t="shared" si="21"/>
        <v>0</v>
      </c>
    </row>
    <row r="44" spans="1:23" x14ac:dyDescent="0.25">
      <c r="A44" s="13" t="s">
        <v>13</v>
      </c>
      <c r="B44" s="82" t="s">
        <v>288</v>
      </c>
      <c r="C44" s="14">
        <v>2.7000000000000001E-3</v>
      </c>
      <c r="D44" s="15">
        <v>0</v>
      </c>
      <c r="E44" s="16">
        <f t="shared" si="11"/>
        <v>-9256.2196287120878</v>
      </c>
      <c r="F44" s="368">
        <f t="shared" si="0"/>
        <v>-24.991792997522637</v>
      </c>
      <c r="G44" s="16">
        <f t="shared" si="16"/>
        <v>-9281.2114217096096</v>
      </c>
      <c r="H44" s="74">
        <v>0</v>
      </c>
      <c r="I44" s="16">
        <f t="shared" si="12"/>
        <v>-208117.6875350867</v>
      </c>
      <c r="J44" s="368">
        <f t="shared" si="2"/>
        <v>-561.91775634473413</v>
      </c>
      <c r="K44" s="75">
        <f t="shared" si="18"/>
        <v>-208679.60529143145</v>
      </c>
      <c r="L44" s="74">
        <f t="shared" si="23"/>
        <v>-2494.9162461260953</v>
      </c>
      <c r="M44" s="16">
        <f t="shared" si="22"/>
        <v>-22671.084959175092</v>
      </c>
      <c r="N44" s="368">
        <f t="shared" si="4"/>
        <v>-57.843792457502524</v>
      </c>
      <c r="O44" s="75">
        <f t="shared" si="19"/>
        <v>-22728.928751632593</v>
      </c>
      <c r="P44" s="74">
        <v>0</v>
      </c>
      <c r="Q44" s="16">
        <f t="shared" si="14"/>
        <v>0</v>
      </c>
      <c r="R44" s="368">
        <f t="shared" si="6"/>
        <v>0</v>
      </c>
      <c r="S44" s="75">
        <f t="shared" si="20"/>
        <v>0</v>
      </c>
      <c r="T44" s="74">
        <v>0</v>
      </c>
      <c r="U44" s="16">
        <f t="shared" si="15"/>
        <v>0</v>
      </c>
      <c r="V44" s="368">
        <f t="shared" si="8"/>
        <v>0</v>
      </c>
      <c r="W44" s="75">
        <f t="shared" si="21"/>
        <v>0</v>
      </c>
    </row>
    <row r="45" spans="1:23" x14ac:dyDescent="0.25">
      <c r="A45" s="13" t="s">
        <v>15</v>
      </c>
      <c r="B45" s="82" t="s">
        <v>288</v>
      </c>
      <c r="C45" s="14">
        <v>2.7000000000000001E-3</v>
      </c>
      <c r="D45" s="15">
        <v>0</v>
      </c>
      <c r="E45" s="16">
        <f t="shared" si="11"/>
        <v>-9281.2114217096096</v>
      </c>
      <c r="F45" s="368">
        <f t="shared" ref="F45:F71" si="24">(((E45+G44))/2)*$C45</f>
        <v>-25.059270838615948</v>
      </c>
      <c r="G45" s="16">
        <f t="shared" si="16"/>
        <v>-9306.2706925482253</v>
      </c>
      <c r="H45" s="74">
        <v>0</v>
      </c>
      <c r="I45" s="16">
        <f t="shared" si="12"/>
        <v>-208679.60529143145</v>
      </c>
      <c r="J45" s="368">
        <f t="shared" ref="J45:J71" si="25">(((I45+K44))/2)*$C45</f>
        <v>-563.43493428686497</v>
      </c>
      <c r="K45" s="75">
        <f t="shared" si="18"/>
        <v>-209243.04022571832</v>
      </c>
      <c r="L45" s="74">
        <f t="shared" si="23"/>
        <v>-2494.9162461260953</v>
      </c>
      <c r="M45" s="16">
        <f t="shared" si="22"/>
        <v>-25223.84499775869</v>
      </c>
      <c r="N45" s="368">
        <f t="shared" ref="N45:N71" si="26">(((M45+O44))/2)*$C45</f>
        <v>-64.736244561678234</v>
      </c>
      <c r="O45" s="75">
        <f t="shared" si="19"/>
        <v>-25288.581242320368</v>
      </c>
      <c r="P45" s="74">
        <v>0</v>
      </c>
      <c r="Q45" s="16">
        <f t="shared" si="14"/>
        <v>0</v>
      </c>
      <c r="R45" s="368">
        <f t="shared" ref="R45:R71" si="27">(((Q45+S44))/2)*$C45</f>
        <v>0</v>
      </c>
      <c r="S45" s="75">
        <f t="shared" si="20"/>
        <v>0</v>
      </c>
      <c r="T45" s="74">
        <v>0</v>
      </c>
      <c r="U45" s="16">
        <f t="shared" si="15"/>
        <v>0</v>
      </c>
      <c r="V45" s="368">
        <f t="shared" ref="V45:V71" si="28">(((U45+W44))/2)*$C45</f>
        <v>0</v>
      </c>
      <c r="W45" s="75">
        <f t="shared" si="21"/>
        <v>0</v>
      </c>
    </row>
    <row r="46" spans="1:23" x14ac:dyDescent="0.25">
      <c r="A46" s="13" t="s">
        <v>14</v>
      </c>
      <c r="B46" s="82" t="s">
        <v>288</v>
      </c>
      <c r="C46" s="14">
        <v>2.7000000000000001E-3</v>
      </c>
      <c r="D46" s="15">
        <v>0</v>
      </c>
      <c r="E46" s="16">
        <f t="shared" si="11"/>
        <v>-9306.2706925482253</v>
      </c>
      <c r="F46" s="368">
        <f t="shared" si="24"/>
        <v>-25.126930869880209</v>
      </c>
      <c r="G46" s="16">
        <f t="shared" si="16"/>
        <v>-9331.3976234181064</v>
      </c>
      <c r="H46" s="74">
        <v>0</v>
      </c>
      <c r="I46" s="16">
        <f t="shared" si="12"/>
        <v>-209243.04022571832</v>
      </c>
      <c r="J46" s="368">
        <f t="shared" si="25"/>
        <v>-564.9562086094395</v>
      </c>
      <c r="K46" s="75">
        <f t="shared" si="18"/>
        <v>-209807.99643432777</v>
      </c>
      <c r="L46" s="74">
        <f t="shared" si="23"/>
        <v>-2494.9162461260953</v>
      </c>
      <c r="M46" s="16">
        <f t="shared" si="22"/>
        <v>-27783.497488446465</v>
      </c>
      <c r="N46" s="368">
        <f t="shared" si="26"/>
        <v>-71.647306286535226</v>
      </c>
      <c r="O46" s="75">
        <f t="shared" si="19"/>
        <v>-27855.144794732998</v>
      </c>
      <c r="P46" s="74">
        <v>0</v>
      </c>
      <c r="Q46" s="16">
        <f t="shared" si="14"/>
        <v>0</v>
      </c>
      <c r="R46" s="368">
        <f t="shared" si="27"/>
        <v>0</v>
      </c>
      <c r="S46" s="75">
        <f t="shared" si="20"/>
        <v>0</v>
      </c>
      <c r="T46" s="74">
        <v>0</v>
      </c>
      <c r="U46" s="16">
        <f t="shared" si="15"/>
        <v>0</v>
      </c>
      <c r="V46" s="368">
        <f t="shared" si="28"/>
        <v>0</v>
      </c>
      <c r="W46" s="75">
        <f t="shared" si="21"/>
        <v>0</v>
      </c>
    </row>
    <row r="47" spans="1:23" x14ac:dyDescent="0.25">
      <c r="A47" s="13" t="s">
        <v>6</v>
      </c>
      <c r="B47" s="82" t="s">
        <v>288</v>
      </c>
      <c r="C47" s="369">
        <v>2.7000000000000001E-3</v>
      </c>
      <c r="D47" s="15">
        <v>0</v>
      </c>
      <c r="E47" s="16">
        <f t="shared" si="11"/>
        <v>-9331.3976234181064</v>
      </c>
      <c r="F47" s="368">
        <f t="shared" si="24"/>
        <v>-25.194773583228887</v>
      </c>
      <c r="G47" s="16">
        <f>E47+F47</f>
        <v>-9356.5923970013355</v>
      </c>
      <c r="H47" s="74">
        <v>0</v>
      </c>
      <c r="I47" s="16">
        <f t="shared" si="12"/>
        <v>-209807.99643432777</v>
      </c>
      <c r="J47" s="368">
        <f t="shared" si="25"/>
        <v>-566.48159037268499</v>
      </c>
      <c r="K47" s="75">
        <f t="shared" si="18"/>
        <v>-210374.47802470045</v>
      </c>
      <c r="L47" s="74">
        <f t="shared" si="23"/>
        <v>-2494.9162461260953</v>
      </c>
      <c r="M47" s="16">
        <f t="shared" si="22"/>
        <v>-30350.061040859095</v>
      </c>
      <c r="N47" s="368">
        <f t="shared" si="26"/>
        <v>-78.577027878049321</v>
      </c>
      <c r="O47" s="75">
        <f t="shared" si="19"/>
        <v>-30428.638068737146</v>
      </c>
      <c r="P47" s="74">
        <v>0</v>
      </c>
      <c r="Q47" s="16">
        <f t="shared" si="14"/>
        <v>0</v>
      </c>
      <c r="R47" s="368">
        <f t="shared" si="27"/>
        <v>0</v>
      </c>
      <c r="S47" s="75">
        <f t="shared" si="20"/>
        <v>0</v>
      </c>
      <c r="T47" s="74">
        <v>0</v>
      </c>
      <c r="U47" s="16">
        <f t="shared" si="15"/>
        <v>0</v>
      </c>
      <c r="V47" s="368">
        <f t="shared" si="28"/>
        <v>0</v>
      </c>
      <c r="W47" s="75">
        <f t="shared" si="21"/>
        <v>0</v>
      </c>
    </row>
    <row r="48" spans="1:23" x14ac:dyDescent="0.25">
      <c r="A48" s="13" t="s">
        <v>7</v>
      </c>
      <c r="B48" s="187" t="s">
        <v>309</v>
      </c>
      <c r="C48" s="369">
        <v>2.7000000000000001E-3</v>
      </c>
      <c r="D48" s="15">
        <v>0</v>
      </c>
      <c r="E48" s="16">
        <f t="shared" ref="E48:E59" si="29">D48+G47</f>
        <v>-9356.5923970013355</v>
      </c>
      <c r="F48" s="368">
        <f t="shared" si="24"/>
        <v>-25.262799471903609</v>
      </c>
      <c r="G48" s="16">
        <f t="shared" ref="G48:G58" si="30">E48+F48</f>
        <v>-9381.8551964732396</v>
      </c>
      <c r="H48" s="74">
        <v>0</v>
      </c>
      <c r="I48" s="16">
        <f t="shared" ref="I48:I59" si="31">H48+K47</f>
        <v>-210374.47802470045</v>
      </c>
      <c r="J48" s="368">
        <f t="shared" si="25"/>
        <v>-568.0110906666913</v>
      </c>
      <c r="K48" s="75">
        <f t="shared" ref="K48:K59" si="32">I48+J48</f>
        <v>-210942.48911536715</v>
      </c>
      <c r="L48" s="74">
        <v>0</v>
      </c>
      <c r="M48" s="16">
        <f t="shared" ref="M48:M59" si="33">L48+O47</f>
        <v>-30428.638068737146</v>
      </c>
      <c r="N48" s="368">
        <f t="shared" si="26"/>
        <v>-82.157322785590296</v>
      </c>
      <c r="O48" s="75">
        <f t="shared" ref="O48:O59" si="34">M48+N48</f>
        <v>-30510.795391522737</v>
      </c>
      <c r="P48" s="74">
        <v>0</v>
      </c>
      <c r="Q48" s="368">
        <f>P48+S47</f>
        <v>0</v>
      </c>
      <c r="R48" s="368">
        <f t="shared" si="27"/>
        <v>0</v>
      </c>
      <c r="S48" s="75">
        <f>Q48+R48</f>
        <v>0</v>
      </c>
      <c r="T48" s="74">
        <v>0</v>
      </c>
      <c r="U48" s="16">
        <f>T48+W47</f>
        <v>0</v>
      </c>
      <c r="V48" s="368">
        <f t="shared" si="28"/>
        <v>0</v>
      </c>
      <c r="W48" s="75">
        <f t="shared" si="21"/>
        <v>0</v>
      </c>
    </row>
    <row r="49" spans="1:23" x14ac:dyDescent="0.25">
      <c r="A49" s="13" t="s">
        <v>8</v>
      </c>
      <c r="B49" s="187" t="s">
        <v>309</v>
      </c>
      <c r="C49" s="369">
        <v>2.7000000000000001E-3</v>
      </c>
      <c r="D49" s="15">
        <v>0</v>
      </c>
      <c r="E49" s="16">
        <f t="shared" si="29"/>
        <v>-9381.8551964732396</v>
      </c>
      <c r="F49" s="368">
        <f t="shared" si="24"/>
        <v>-25.331009030477748</v>
      </c>
      <c r="G49" s="16">
        <f t="shared" si="30"/>
        <v>-9407.1862055037182</v>
      </c>
      <c r="H49" s="74">
        <v>0</v>
      </c>
      <c r="I49" s="16">
        <f t="shared" si="31"/>
        <v>-210942.48911536715</v>
      </c>
      <c r="J49" s="368">
        <f t="shared" si="25"/>
        <v>-569.54472061149136</v>
      </c>
      <c r="K49" s="75">
        <f t="shared" si="32"/>
        <v>-211512.03383597865</v>
      </c>
      <c r="L49" s="74">
        <v>0</v>
      </c>
      <c r="M49" s="16">
        <f t="shared" si="33"/>
        <v>-30510.795391522737</v>
      </c>
      <c r="N49" s="368">
        <f t="shared" si="26"/>
        <v>-82.379147557111395</v>
      </c>
      <c r="O49" s="75">
        <f t="shared" si="34"/>
        <v>-30593.17453907985</v>
      </c>
      <c r="P49" s="74">
        <v>0</v>
      </c>
      <c r="Q49" s="368">
        <f>P49+S48</f>
        <v>0</v>
      </c>
      <c r="R49" s="368">
        <f t="shared" si="27"/>
        <v>0</v>
      </c>
      <c r="S49" s="75">
        <f t="shared" ref="S49:S59" si="35">Q49+R49</f>
        <v>0</v>
      </c>
      <c r="T49" s="74">
        <v>0</v>
      </c>
      <c r="U49" s="16">
        <f t="shared" ref="U49:U71" si="36">T49+W48</f>
        <v>0</v>
      </c>
      <c r="V49" s="368">
        <f t="shared" si="28"/>
        <v>0</v>
      </c>
      <c r="W49" s="75">
        <f t="shared" si="21"/>
        <v>0</v>
      </c>
    </row>
    <row r="50" spans="1:23" x14ac:dyDescent="0.25">
      <c r="A50" s="13" t="s">
        <v>18</v>
      </c>
      <c r="B50" s="187" t="s">
        <v>309</v>
      </c>
      <c r="C50" s="369">
        <v>2.7000000000000001E-3</v>
      </c>
      <c r="D50" s="15">
        <v>0</v>
      </c>
      <c r="E50" s="16">
        <f t="shared" si="29"/>
        <v>-9407.1862055037182</v>
      </c>
      <c r="F50" s="368">
        <f t="shared" si="24"/>
        <v>-25.399402754860041</v>
      </c>
      <c r="G50" s="16">
        <f t="shared" si="30"/>
        <v>-9432.5856082585778</v>
      </c>
      <c r="H50" s="74">
        <v>0</v>
      </c>
      <c r="I50" s="16">
        <f t="shared" si="31"/>
        <v>-211512.03383597865</v>
      </c>
      <c r="J50" s="368">
        <f t="shared" si="25"/>
        <v>-571.08249135714243</v>
      </c>
      <c r="K50" s="75">
        <f t="shared" si="32"/>
        <v>-212083.1163273358</v>
      </c>
      <c r="L50" s="74">
        <v>0</v>
      </c>
      <c r="M50" s="16">
        <f t="shared" si="33"/>
        <v>-30593.17453907985</v>
      </c>
      <c r="N50" s="368">
        <f t="shared" si="26"/>
        <v>-82.601571255515594</v>
      </c>
      <c r="O50" s="75">
        <f t="shared" si="34"/>
        <v>-30675.776110335366</v>
      </c>
      <c r="P50" s="74">
        <v>0</v>
      </c>
      <c r="Q50" s="16">
        <f t="shared" ref="Q50:Q59" si="37">P50+S49</f>
        <v>0</v>
      </c>
      <c r="R50" s="368">
        <f t="shared" si="27"/>
        <v>0</v>
      </c>
      <c r="S50" s="75">
        <f t="shared" si="35"/>
        <v>0</v>
      </c>
      <c r="T50" s="74">
        <v>0</v>
      </c>
      <c r="U50" s="16">
        <f t="shared" si="36"/>
        <v>0</v>
      </c>
      <c r="V50" s="368">
        <f t="shared" si="28"/>
        <v>0</v>
      </c>
      <c r="W50" s="75">
        <f t="shared" si="21"/>
        <v>0</v>
      </c>
    </row>
    <row r="51" spans="1:23" x14ac:dyDescent="0.25">
      <c r="A51" s="13" t="s">
        <v>9</v>
      </c>
      <c r="B51" s="187" t="s">
        <v>309</v>
      </c>
      <c r="C51" s="369">
        <v>2.7000000000000001E-3</v>
      </c>
      <c r="D51" s="15">
        <v>0</v>
      </c>
      <c r="E51" s="16">
        <f t="shared" si="29"/>
        <v>-9432.5856082585778</v>
      </c>
      <c r="F51" s="368">
        <f t="shared" si="24"/>
        <v>-25.467981142298161</v>
      </c>
      <c r="G51" s="16">
        <f t="shared" si="30"/>
        <v>-9458.0535894008754</v>
      </c>
      <c r="H51" s="74">
        <v>0</v>
      </c>
      <c r="I51" s="16">
        <f t="shared" si="31"/>
        <v>-212083.1163273358</v>
      </c>
      <c r="J51" s="368">
        <f t="shared" si="25"/>
        <v>-572.62441408380664</v>
      </c>
      <c r="K51" s="75">
        <f t="shared" si="32"/>
        <v>-212655.74074141961</v>
      </c>
      <c r="L51" s="74">
        <v>0</v>
      </c>
      <c r="M51" s="16">
        <f t="shared" si="33"/>
        <v>-30675.776110335366</v>
      </c>
      <c r="N51" s="368">
        <f t="shared" si="26"/>
        <v>-82.824595497905491</v>
      </c>
      <c r="O51" s="75">
        <f t="shared" si="34"/>
        <v>-30758.600705833273</v>
      </c>
      <c r="P51" s="74">
        <v>0</v>
      </c>
      <c r="Q51" s="16">
        <f t="shared" si="37"/>
        <v>0</v>
      </c>
      <c r="R51" s="368">
        <f t="shared" si="27"/>
        <v>0</v>
      </c>
      <c r="S51" s="75">
        <f t="shared" si="35"/>
        <v>0</v>
      </c>
      <c r="T51" s="74">
        <v>0</v>
      </c>
      <c r="U51" s="16">
        <f t="shared" si="36"/>
        <v>0</v>
      </c>
      <c r="V51" s="368">
        <f t="shared" si="28"/>
        <v>0</v>
      </c>
      <c r="W51" s="75">
        <f t="shared" si="21"/>
        <v>0</v>
      </c>
    </row>
    <row r="52" spans="1:23" x14ac:dyDescent="0.25">
      <c r="A52" s="13" t="s">
        <v>10</v>
      </c>
      <c r="B52" s="187" t="s">
        <v>309</v>
      </c>
      <c r="C52" s="369">
        <v>2.7000000000000001E-3</v>
      </c>
      <c r="D52" s="15">
        <v>0</v>
      </c>
      <c r="E52" s="16">
        <f t="shared" si="29"/>
        <v>-9458.0535894008754</v>
      </c>
      <c r="F52" s="368">
        <f t="shared" si="24"/>
        <v>-25.536744691382363</v>
      </c>
      <c r="G52" s="16">
        <f t="shared" si="30"/>
        <v>-9483.5903340922578</v>
      </c>
      <c r="H52" s="74">
        <v>0</v>
      </c>
      <c r="I52" s="16">
        <f t="shared" si="31"/>
        <v>-212655.74074141961</v>
      </c>
      <c r="J52" s="368">
        <f t="shared" si="25"/>
        <v>-574.17050000183292</v>
      </c>
      <c r="K52" s="75">
        <f t="shared" si="32"/>
        <v>-213229.91124142145</v>
      </c>
      <c r="L52" s="74">
        <v>0</v>
      </c>
      <c r="M52" s="16">
        <f t="shared" si="33"/>
        <v>-30758.600705833273</v>
      </c>
      <c r="N52" s="368">
        <f t="shared" si="26"/>
        <v>-83.048221905749841</v>
      </c>
      <c r="O52" s="75">
        <f t="shared" si="34"/>
        <v>-30841.648927739021</v>
      </c>
      <c r="P52" s="74">
        <v>0</v>
      </c>
      <c r="Q52" s="16">
        <f t="shared" si="37"/>
        <v>0</v>
      </c>
      <c r="R52" s="368">
        <f t="shared" si="27"/>
        <v>0</v>
      </c>
      <c r="S52" s="75">
        <f t="shared" si="35"/>
        <v>0</v>
      </c>
      <c r="T52" s="74">
        <v>0</v>
      </c>
      <c r="U52" s="16">
        <f t="shared" si="36"/>
        <v>0</v>
      </c>
      <c r="V52" s="368">
        <f t="shared" si="28"/>
        <v>0</v>
      </c>
      <c r="W52" s="75">
        <f t="shared" si="21"/>
        <v>0</v>
      </c>
    </row>
    <row r="53" spans="1:23" x14ac:dyDescent="0.25">
      <c r="A53" s="13" t="s">
        <v>25</v>
      </c>
      <c r="B53" s="187" t="s">
        <v>309</v>
      </c>
      <c r="C53" s="369">
        <v>2.7000000000000001E-3</v>
      </c>
      <c r="D53" s="15">
        <v>0</v>
      </c>
      <c r="E53" s="16">
        <f t="shared" si="29"/>
        <v>-9483.5903340922578</v>
      </c>
      <c r="F53" s="368">
        <f t="shared" si="24"/>
        <v>-25.605693902049097</v>
      </c>
      <c r="G53" s="17">
        <f t="shared" si="30"/>
        <v>-9509.1960279943069</v>
      </c>
      <c r="H53" s="15">
        <v>0</v>
      </c>
      <c r="I53" s="16">
        <f t="shared" si="31"/>
        <v>-213229.91124142145</v>
      </c>
      <c r="J53" s="368">
        <f t="shared" si="25"/>
        <v>-575.72076035183795</v>
      </c>
      <c r="K53" s="75">
        <f t="shared" si="32"/>
        <v>-213805.63200177328</v>
      </c>
      <c r="L53" s="74">
        <v>0</v>
      </c>
      <c r="M53" s="16">
        <f t="shared" si="33"/>
        <v>-30841.648927739021</v>
      </c>
      <c r="N53" s="368">
        <f t="shared" si="26"/>
        <v>-83.272452104895365</v>
      </c>
      <c r="O53" s="75">
        <f t="shared" si="34"/>
        <v>-30924.921379843916</v>
      </c>
      <c r="P53" s="74">
        <v>0</v>
      </c>
      <c r="Q53" s="16">
        <f t="shared" si="37"/>
        <v>0</v>
      </c>
      <c r="R53" s="368">
        <f t="shared" si="27"/>
        <v>0</v>
      </c>
      <c r="S53" s="75">
        <f t="shared" si="35"/>
        <v>0</v>
      </c>
      <c r="T53" s="74">
        <v>0</v>
      </c>
      <c r="U53" s="16">
        <f t="shared" si="36"/>
        <v>0</v>
      </c>
      <c r="V53" s="368">
        <f t="shared" si="28"/>
        <v>0</v>
      </c>
      <c r="W53" s="75">
        <f t="shared" si="21"/>
        <v>0</v>
      </c>
    </row>
    <row r="54" spans="1:23" x14ac:dyDescent="0.25">
      <c r="A54" s="13" t="s">
        <v>11</v>
      </c>
      <c r="B54" s="187" t="s">
        <v>309</v>
      </c>
      <c r="C54" s="369">
        <v>2.7000000000000001E-3</v>
      </c>
      <c r="D54" s="15">
        <v>0</v>
      </c>
      <c r="E54" s="16">
        <f t="shared" si="29"/>
        <v>-9509.1960279943069</v>
      </c>
      <c r="F54" s="368">
        <f t="shared" si="24"/>
        <v>-25.674829275584631</v>
      </c>
      <c r="G54" s="16">
        <f t="shared" si="30"/>
        <v>-9534.8708572698906</v>
      </c>
      <c r="H54" s="74">
        <v>0</v>
      </c>
      <c r="I54" s="16">
        <f t="shared" si="31"/>
        <v>-213805.63200177328</v>
      </c>
      <c r="J54" s="368">
        <f t="shared" si="25"/>
        <v>-577.27520640478792</v>
      </c>
      <c r="K54" s="75">
        <f t="shared" si="32"/>
        <v>-214382.90720817808</v>
      </c>
      <c r="L54" s="74">
        <v>0</v>
      </c>
      <c r="M54" s="16">
        <f t="shared" si="33"/>
        <v>-30924.921379843916</v>
      </c>
      <c r="N54" s="368">
        <f t="shared" si="26"/>
        <v>-83.497287725578573</v>
      </c>
      <c r="O54" s="75">
        <f t="shared" si="34"/>
        <v>-31008.418667569495</v>
      </c>
      <c r="P54" s="74">
        <v>0</v>
      </c>
      <c r="Q54" s="16">
        <f t="shared" si="37"/>
        <v>0</v>
      </c>
      <c r="R54" s="368">
        <f t="shared" si="27"/>
        <v>0</v>
      </c>
      <c r="S54" s="75">
        <f t="shared" si="35"/>
        <v>0</v>
      </c>
      <c r="T54" s="74">
        <v>0</v>
      </c>
      <c r="U54" s="16">
        <f t="shared" si="36"/>
        <v>0</v>
      </c>
      <c r="V54" s="368">
        <f t="shared" si="28"/>
        <v>0</v>
      </c>
      <c r="W54" s="75">
        <f t="shared" si="21"/>
        <v>0</v>
      </c>
    </row>
    <row r="55" spans="1:23" x14ac:dyDescent="0.25">
      <c r="A55" s="13" t="s">
        <v>12</v>
      </c>
      <c r="B55" s="187" t="s">
        <v>309</v>
      </c>
      <c r="C55" s="369">
        <v>2.7000000000000001E-3</v>
      </c>
      <c r="D55" s="15">
        <v>0</v>
      </c>
      <c r="E55" s="16">
        <f t="shared" si="29"/>
        <v>-9534.8708572698906</v>
      </c>
      <c r="F55" s="368">
        <f t="shared" si="24"/>
        <v>-25.744151314628706</v>
      </c>
      <c r="G55" s="17">
        <f t="shared" si="30"/>
        <v>-9560.6150085845202</v>
      </c>
      <c r="H55" s="15">
        <v>0</v>
      </c>
      <c r="I55" s="16">
        <f t="shared" si="31"/>
        <v>-214382.90720817808</v>
      </c>
      <c r="J55" s="368">
        <f t="shared" si="25"/>
        <v>-578.83384946208082</v>
      </c>
      <c r="K55" s="75">
        <f t="shared" si="32"/>
        <v>-214961.74105764015</v>
      </c>
      <c r="L55" s="74">
        <v>0</v>
      </c>
      <c r="M55" s="16">
        <f t="shared" si="33"/>
        <v>-31008.418667569495</v>
      </c>
      <c r="N55" s="368">
        <f t="shared" si="26"/>
        <v>-83.722730402437634</v>
      </c>
      <c r="O55" s="75">
        <f t="shared" si="34"/>
        <v>-31092.141397971933</v>
      </c>
      <c r="P55" s="74">
        <v>0</v>
      </c>
      <c r="Q55" s="16">
        <f t="shared" si="37"/>
        <v>0</v>
      </c>
      <c r="R55" s="368">
        <f t="shared" si="27"/>
        <v>0</v>
      </c>
      <c r="S55" s="75">
        <f t="shared" si="35"/>
        <v>0</v>
      </c>
      <c r="T55" s="74">
        <v>0</v>
      </c>
      <c r="U55" s="16">
        <f t="shared" si="36"/>
        <v>0</v>
      </c>
      <c r="V55" s="368">
        <f t="shared" si="28"/>
        <v>0</v>
      </c>
      <c r="W55" s="75">
        <f t="shared" si="21"/>
        <v>0</v>
      </c>
    </row>
    <row r="56" spans="1:23" x14ac:dyDescent="0.25">
      <c r="A56" s="13" t="s">
        <v>13</v>
      </c>
      <c r="B56" s="187" t="s">
        <v>309</v>
      </c>
      <c r="C56" s="369">
        <v>2.7000000000000001E-3</v>
      </c>
      <c r="D56" s="15">
        <v>0</v>
      </c>
      <c r="E56" s="16">
        <f t="shared" si="29"/>
        <v>-9560.6150085845202</v>
      </c>
      <c r="F56" s="368">
        <f t="shared" si="24"/>
        <v>-25.813660523178207</v>
      </c>
      <c r="G56" s="16">
        <f t="shared" si="30"/>
        <v>-9586.4286691076977</v>
      </c>
      <c r="H56" s="74">
        <v>0</v>
      </c>
      <c r="I56" s="16">
        <f t="shared" si="31"/>
        <v>-214961.74105764015</v>
      </c>
      <c r="J56" s="368">
        <f t="shared" si="25"/>
        <v>-580.39670085562841</v>
      </c>
      <c r="K56" s="75">
        <f t="shared" si="32"/>
        <v>-215542.13775849578</v>
      </c>
      <c r="L56" s="74">
        <v>0</v>
      </c>
      <c r="M56" s="16">
        <f t="shared" si="33"/>
        <v>-31092.141397971933</v>
      </c>
      <c r="N56" s="368">
        <f t="shared" si="26"/>
        <v>-83.948781774524221</v>
      </c>
      <c r="O56" s="75">
        <f t="shared" si="34"/>
        <v>-31176.090179746458</v>
      </c>
      <c r="P56" s="74">
        <v>0</v>
      </c>
      <c r="Q56" s="16">
        <f t="shared" si="37"/>
        <v>0</v>
      </c>
      <c r="R56" s="368">
        <f t="shared" si="27"/>
        <v>0</v>
      </c>
      <c r="S56" s="75">
        <f t="shared" si="35"/>
        <v>0</v>
      </c>
      <c r="T56" s="74">
        <v>0</v>
      </c>
      <c r="U56" s="16">
        <f t="shared" si="36"/>
        <v>0</v>
      </c>
      <c r="V56" s="368">
        <f t="shared" si="28"/>
        <v>0</v>
      </c>
      <c r="W56" s="75">
        <f t="shared" si="21"/>
        <v>0</v>
      </c>
    </row>
    <row r="57" spans="1:23" x14ac:dyDescent="0.25">
      <c r="A57" s="13" t="s">
        <v>15</v>
      </c>
      <c r="B57" s="187" t="s">
        <v>309</v>
      </c>
      <c r="C57" s="369">
        <v>2.7000000000000001E-3</v>
      </c>
      <c r="D57" s="15">
        <v>0</v>
      </c>
      <c r="E57" s="16">
        <f t="shared" si="29"/>
        <v>-9586.4286691076977</v>
      </c>
      <c r="F57" s="368">
        <f t="shared" si="24"/>
        <v>-25.883357406590786</v>
      </c>
      <c r="G57" s="16">
        <f t="shared" si="30"/>
        <v>-9612.3120265142879</v>
      </c>
      <c r="H57" s="74">
        <v>0</v>
      </c>
      <c r="I57" s="16">
        <f t="shared" si="31"/>
        <v>-215542.13775849578</v>
      </c>
      <c r="J57" s="368">
        <f t="shared" si="25"/>
        <v>-581.96377194793865</v>
      </c>
      <c r="K57" s="75">
        <f t="shared" si="32"/>
        <v>-216124.10153044373</v>
      </c>
      <c r="L57" s="74">
        <v>0</v>
      </c>
      <c r="M57" s="16">
        <f t="shared" si="33"/>
        <v>-31176.090179746458</v>
      </c>
      <c r="N57" s="368">
        <f t="shared" si="26"/>
        <v>-84.175443485315441</v>
      </c>
      <c r="O57" s="75">
        <f t="shared" si="34"/>
        <v>-31260.265623231771</v>
      </c>
      <c r="P57" s="74">
        <v>0</v>
      </c>
      <c r="Q57" s="16">
        <f t="shared" si="37"/>
        <v>0</v>
      </c>
      <c r="R57" s="368">
        <f t="shared" si="27"/>
        <v>0</v>
      </c>
      <c r="S57" s="75">
        <f t="shared" si="35"/>
        <v>0</v>
      </c>
      <c r="T57" s="74">
        <v>0</v>
      </c>
      <c r="U57" s="16">
        <f t="shared" si="36"/>
        <v>0</v>
      </c>
      <c r="V57" s="368">
        <f t="shared" si="28"/>
        <v>0</v>
      </c>
      <c r="W57" s="75">
        <f t="shared" si="21"/>
        <v>0</v>
      </c>
    </row>
    <row r="58" spans="1:23" x14ac:dyDescent="0.25">
      <c r="A58" s="13" t="s">
        <v>14</v>
      </c>
      <c r="B58" s="187" t="s">
        <v>309</v>
      </c>
      <c r="C58" s="369">
        <v>2.7000000000000001E-3</v>
      </c>
      <c r="D58" s="15">
        <v>0</v>
      </c>
      <c r="E58" s="16">
        <f t="shared" si="29"/>
        <v>-9612.3120265142879</v>
      </c>
      <c r="F58" s="368">
        <f t="shared" si="24"/>
        <v>-25.953242471588577</v>
      </c>
      <c r="G58" s="16">
        <f t="shared" si="30"/>
        <v>-9638.2652689858769</v>
      </c>
      <c r="H58" s="74">
        <v>0</v>
      </c>
      <c r="I58" s="16">
        <f t="shared" si="31"/>
        <v>-216124.10153044373</v>
      </c>
      <c r="J58" s="368">
        <f t="shared" si="25"/>
        <v>-583.53507413219813</v>
      </c>
      <c r="K58" s="75">
        <f t="shared" si="32"/>
        <v>-216707.63660457594</v>
      </c>
      <c r="L58" s="74">
        <v>0</v>
      </c>
      <c r="M58" s="16">
        <f t="shared" si="33"/>
        <v>-31260.265623231771</v>
      </c>
      <c r="N58" s="368">
        <f t="shared" si="26"/>
        <v>-84.40271718272578</v>
      </c>
      <c r="O58" s="75">
        <f t="shared" si="34"/>
        <v>-31344.668340414497</v>
      </c>
      <c r="P58" s="74">
        <v>0</v>
      </c>
      <c r="Q58" s="16">
        <f t="shared" si="37"/>
        <v>0</v>
      </c>
      <c r="R58" s="368">
        <f t="shared" si="27"/>
        <v>0</v>
      </c>
      <c r="S58" s="75">
        <f t="shared" si="35"/>
        <v>0</v>
      </c>
      <c r="T58" s="74">
        <v>0</v>
      </c>
      <c r="U58" s="16">
        <f t="shared" si="36"/>
        <v>0</v>
      </c>
      <c r="V58" s="368">
        <f t="shared" si="28"/>
        <v>0</v>
      </c>
      <c r="W58" s="75">
        <f t="shared" si="21"/>
        <v>0</v>
      </c>
    </row>
    <row r="59" spans="1:23" x14ac:dyDescent="0.25">
      <c r="A59" s="13" t="s">
        <v>6</v>
      </c>
      <c r="B59" s="187" t="s">
        <v>309</v>
      </c>
      <c r="C59" s="369">
        <v>2.7000000000000001E-3</v>
      </c>
      <c r="D59" s="15">
        <v>0</v>
      </c>
      <c r="E59" s="16">
        <f t="shared" si="29"/>
        <v>-9638.2652689858769</v>
      </c>
      <c r="F59" s="368">
        <f t="shared" si="24"/>
        <v>-26.023316226261869</v>
      </c>
      <c r="G59" s="16">
        <f>E59+F59</f>
        <v>-9664.2885852121381</v>
      </c>
      <c r="H59" s="74">
        <v>0</v>
      </c>
      <c r="I59" s="16">
        <f t="shared" si="31"/>
        <v>-216707.63660457594</v>
      </c>
      <c r="J59" s="368">
        <f t="shared" si="25"/>
        <v>-585.11061883235504</v>
      </c>
      <c r="K59" s="75">
        <f t="shared" si="32"/>
        <v>-217292.74722340828</v>
      </c>
      <c r="L59" s="74">
        <v>0</v>
      </c>
      <c r="M59" s="16">
        <f t="shared" si="33"/>
        <v>-31344.668340414497</v>
      </c>
      <c r="N59" s="368">
        <f t="shared" si="26"/>
        <v>-84.630604519119146</v>
      </c>
      <c r="O59" s="75">
        <f t="shared" si="34"/>
        <v>-31429.298944933616</v>
      </c>
      <c r="P59" s="74">
        <v>0</v>
      </c>
      <c r="Q59" s="16">
        <f t="shared" si="37"/>
        <v>0</v>
      </c>
      <c r="R59" s="368">
        <f t="shared" si="27"/>
        <v>0</v>
      </c>
      <c r="S59" s="75">
        <f t="shared" si="35"/>
        <v>0</v>
      </c>
      <c r="T59" s="74">
        <v>0</v>
      </c>
      <c r="U59" s="16">
        <f t="shared" si="36"/>
        <v>0</v>
      </c>
      <c r="V59" s="368">
        <f t="shared" si="28"/>
        <v>0</v>
      </c>
      <c r="W59" s="75">
        <f t="shared" si="21"/>
        <v>0</v>
      </c>
    </row>
    <row r="60" spans="1:23" x14ac:dyDescent="0.25">
      <c r="A60" s="13" t="s">
        <v>7</v>
      </c>
      <c r="B60" s="209" t="s">
        <v>320</v>
      </c>
      <c r="C60" s="369">
        <v>2.7000000000000001E-3</v>
      </c>
      <c r="D60" s="15">
        <v>0</v>
      </c>
      <c r="E60" s="16">
        <f t="shared" ref="E60:E71" si="38">D60+G59</f>
        <v>-9664.2885852121381</v>
      </c>
      <c r="F60" s="368">
        <f t="shared" si="24"/>
        <v>-26.093579180072773</v>
      </c>
      <c r="G60" s="16">
        <f t="shared" ref="G60:G71" si="39">E60+F60</f>
        <v>-9690.3821643922111</v>
      </c>
      <c r="H60" s="74">
        <v>0</v>
      </c>
      <c r="I60" s="16">
        <f t="shared" ref="I60:I71" si="40">H60+K59</f>
        <v>-217292.74722340828</v>
      </c>
      <c r="J60" s="368">
        <f t="shared" si="25"/>
        <v>-586.69041750320241</v>
      </c>
      <c r="K60" s="75">
        <f t="shared" ref="K60:K71" si="41">I60+J60</f>
        <v>-217879.43764091149</v>
      </c>
      <c r="L60" s="74">
        <v>0</v>
      </c>
      <c r="M60" s="16">
        <f t="shared" ref="M60:M71" si="42">L60+O59</f>
        <v>-31429.298944933616</v>
      </c>
      <c r="N60" s="368">
        <f t="shared" si="26"/>
        <v>-84.859107151320771</v>
      </c>
      <c r="O60" s="75">
        <f t="shared" ref="O60:O71" si="43">M60+N60</f>
        <v>-31514.158052084938</v>
      </c>
      <c r="P60" s="74">
        <f>('WP-2016 True Up TRR Adj'!$D$8)/12</f>
        <v>-93.207261006037399</v>
      </c>
      <c r="Q60" s="16">
        <f t="shared" ref="Q60:Q71" si="44">P60+S59</f>
        <v>-93.207261006037399</v>
      </c>
      <c r="R60" s="368">
        <f t="shared" si="27"/>
        <v>-0.1258298023581505</v>
      </c>
      <c r="S60" s="75">
        <f t="shared" ref="S60:S71" si="45">Q60+R60</f>
        <v>-93.333090808395553</v>
      </c>
      <c r="T60" s="74">
        <v>0</v>
      </c>
      <c r="U60" s="16">
        <f t="shared" si="36"/>
        <v>0</v>
      </c>
      <c r="V60" s="368">
        <f t="shared" si="28"/>
        <v>0</v>
      </c>
      <c r="W60" s="75">
        <f t="shared" si="21"/>
        <v>0</v>
      </c>
    </row>
    <row r="61" spans="1:23" x14ac:dyDescent="0.25">
      <c r="A61" s="13" t="s">
        <v>8</v>
      </c>
      <c r="B61" s="209" t="s">
        <v>320</v>
      </c>
      <c r="C61" s="369">
        <v>2.7000000000000001E-3</v>
      </c>
      <c r="D61" s="15">
        <v>0</v>
      </c>
      <c r="E61" s="16">
        <f t="shared" si="38"/>
        <v>-9690.3821643922111</v>
      </c>
      <c r="F61" s="368">
        <f t="shared" si="24"/>
        <v>-26.164031843858972</v>
      </c>
      <c r="G61" s="16">
        <f t="shared" si="39"/>
        <v>-9716.5461962360696</v>
      </c>
      <c r="H61" s="74">
        <v>0</v>
      </c>
      <c r="I61" s="16">
        <f t="shared" si="40"/>
        <v>-217879.43764091149</v>
      </c>
      <c r="J61" s="368">
        <f t="shared" si="25"/>
        <v>-588.27448163046108</v>
      </c>
      <c r="K61" s="75">
        <f t="shared" si="41"/>
        <v>-218467.71212254194</v>
      </c>
      <c r="L61" s="74">
        <v>0</v>
      </c>
      <c r="M61" s="16">
        <f t="shared" si="42"/>
        <v>-31514.158052084938</v>
      </c>
      <c r="N61" s="368">
        <f t="shared" si="26"/>
        <v>-85.088226740629338</v>
      </c>
      <c r="O61" s="75">
        <f t="shared" si="43"/>
        <v>-31599.246278825569</v>
      </c>
      <c r="P61" s="74">
        <f>('WP-2016 True Up TRR Adj'!$D$8)/12</f>
        <v>-93.207261006037399</v>
      </c>
      <c r="Q61" s="16">
        <f t="shared" si="44"/>
        <v>-186.54035181443294</v>
      </c>
      <c r="R61" s="368">
        <f t="shared" si="27"/>
        <v>-0.37782914754081853</v>
      </c>
      <c r="S61" s="75">
        <f t="shared" si="45"/>
        <v>-186.91818096197375</v>
      </c>
      <c r="T61" s="74">
        <v>0</v>
      </c>
      <c r="U61" s="16">
        <f t="shared" si="36"/>
        <v>0</v>
      </c>
      <c r="V61" s="16">
        <f t="shared" si="28"/>
        <v>0</v>
      </c>
      <c r="W61" s="75">
        <f t="shared" si="21"/>
        <v>0</v>
      </c>
    </row>
    <row r="62" spans="1:23" x14ac:dyDescent="0.25">
      <c r="A62" s="13" t="s">
        <v>18</v>
      </c>
      <c r="B62" s="209" t="s">
        <v>320</v>
      </c>
      <c r="C62" s="369">
        <v>2.7000000000000001E-3</v>
      </c>
      <c r="D62" s="15">
        <v>0</v>
      </c>
      <c r="E62" s="16">
        <f t="shared" si="38"/>
        <v>-9716.5461962360696</v>
      </c>
      <c r="F62" s="368">
        <f t="shared" si="24"/>
        <v>-26.234674729837391</v>
      </c>
      <c r="G62" s="16">
        <f t="shared" si="39"/>
        <v>-9742.7808709659075</v>
      </c>
      <c r="H62" s="74">
        <v>0</v>
      </c>
      <c r="I62" s="16">
        <f t="shared" si="40"/>
        <v>-218467.71212254194</v>
      </c>
      <c r="J62" s="368">
        <f t="shared" si="25"/>
        <v>-589.86282273086329</v>
      </c>
      <c r="K62" s="75">
        <f t="shared" si="41"/>
        <v>-219057.57494527279</v>
      </c>
      <c r="L62" s="74">
        <v>0</v>
      </c>
      <c r="M62" s="16">
        <f t="shared" si="42"/>
        <v>-31599.246278825569</v>
      </c>
      <c r="N62" s="368">
        <f t="shared" si="26"/>
        <v>-85.317964952829044</v>
      </c>
      <c r="O62" s="75">
        <f t="shared" si="43"/>
        <v>-31684.564243778397</v>
      </c>
      <c r="P62" s="74">
        <f>('WP-2016 True Up TRR Adj'!$D$8)/12</f>
        <v>-93.207261006037399</v>
      </c>
      <c r="Q62" s="16">
        <f t="shared" si="44"/>
        <v>-280.12544196801116</v>
      </c>
      <c r="R62" s="368">
        <f t="shared" si="27"/>
        <v>-0.63050889095547968</v>
      </c>
      <c r="S62" s="75">
        <f t="shared" si="45"/>
        <v>-280.75595085896663</v>
      </c>
      <c r="T62" s="74">
        <v>0</v>
      </c>
      <c r="U62" s="16">
        <f t="shared" si="36"/>
        <v>0</v>
      </c>
      <c r="V62" s="16">
        <f t="shared" si="28"/>
        <v>0</v>
      </c>
      <c r="W62" s="75">
        <f t="shared" si="21"/>
        <v>0</v>
      </c>
    </row>
    <row r="63" spans="1:23" x14ac:dyDescent="0.25">
      <c r="A63" s="13" t="s">
        <v>9</v>
      </c>
      <c r="B63" s="209" t="s">
        <v>320</v>
      </c>
      <c r="C63" s="369">
        <v>2.8999999999999998E-3</v>
      </c>
      <c r="D63" s="15">
        <v>0</v>
      </c>
      <c r="E63" s="16">
        <f t="shared" si="38"/>
        <v>-9742.7808709659075</v>
      </c>
      <c r="F63" s="368">
        <f t="shared" si="24"/>
        <v>-28.25406452580113</v>
      </c>
      <c r="G63" s="16">
        <f t="shared" si="39"/>
        <v>-9771.0349354917089</v>
      </c>
      <c r="H63" s="74">
        <v>0</v>
      </c>
      <c r="I63" s="16">
        <f t="shared" si="40"/>
        <v>-219057.57494527279</v>
      </c>
      <c r="J63" s="368">
        <f t="shared" si="25"/>
        <v>-635.26696734129109</v>
      </c>
      <c r="K63" s="75">
        <f t="shared" si="41"/>
        <v>-219692.84191261409</v>
      </c>
      <c r="L63" s="74">
        <v>0</v>
      </c>
      <c r="M63" s="16">
        <f t="shared" si="42"/>
        <v>-31684.564243778397</v>
      </c>
      <c r="N63" s="368">
        <f t="shared" si="26"/>
        <v>-91.885236306957339</v>
      </c>
      <c r="O63" s="75">
        <f t="shared" si="43"/>
        <v>-31776.449480085354</v>
      </c>
      <c r="P63" s="74">
        <f>('WP-2016 True Up TRR Adj'!$D$8)/12</f>
        <v>-93.207261006037399</v>
      </c>
      <c r="Q63" s="16">
        <f t="shared" si="44"/>
        <v>-373.96321186500404</v>
      </c>
      <c r="R63" s="368">
        <f t="shared" si="27"/>
        <v>-0.9493427859497573</v>
      </c>
      <c r="S63" s="75">
        <f t="shared" si="45"/>
        <v>-374.91255465095378</v>
      </c>
      <c r="T63" s="74">
        <v>0</v>
      </c>
      <c r="U63" s="16">
        <f t="shared" si="36"/>
        <v>0</v>
      </c>
      <c r="V63" s="16">
        <f t="shared" si="28"/>
        <v>0</v>
      </c>
      <c r="W63" s="75">
        <f t="shared" si="21"/>
        <v>0</v>
      </c>
    </row>
    <row r="64" spans="1:23" x14ac:dyDescent="0.25">
      <c r="A64" s="13" t="s">
        <v>10</v>
      </c>
      <c r="B64" s="209" t="s">
        <v>320</v>
      </c>
      <c r="C64" s="369">
        <v>2.8999999999999998E-3</v>
      </c>
      <c r="D64" s="15">
        <v>0</v>
      </c>
      <c r="E64" s="16">
        <f t="shared" si="38"/>
        <v>-9771.0349354917089</v>
      </c>
      <c r="F64" s="368">
        <f t="shared" si="24"/>
        <v>-28.336001312925955</v>
      </c>
      <c r="G64" s="16">
        <f t="shared" si="39"/>
        <v>-9799.3709368046348</v>
      </c>
      <c r="H64" s="74">
        <v>0</v>
      </c>
      <c r="I64" s="16">
        <f t="shared" si="40"/>
        <v>-219692.84191261409</v>
      </c>
      <c r="J64" s="368">
        <f t="shared" si="25"/>
        <v>-637.10924154658085</v>
      </c>
      <c r="K64" s="75">
        <f t="shared" si="41"/>
        <v>-220329.95115416066</v>
      </c>
      <c r="L64" s="74">
        <v>0</v>
      </c>
      <c r="M64" s="16">
        <f t="shared" si="42"/>
        <v>-31776.449480085354</v>
      </c>
      <c r="N64" s="368">
        <f t="shared" si="26"/>
        <v>-92.15170349224752</v>
      </c>
      <c r="O64" s="75">
        <f t="shared" si="43"/>
        <v>-31868.601183577601</v>
      </c>
      <c r="P64" s="74">
        <f>('WP-2016 True Up TRR Adj'!$D$8)/12</f>
        <v>-93.207261006037399</v>
      </c>
      <c r="Q64" s="16">
        <f t="shared" si="44"/>
        <v>-468.11981565699119</v>
      </c>
      <c r="R64" s="368">
        <f t="shared" si="27"/>
        <v>-1.2223969369465202</v>
      </c>
      <c r="S64" s="75">
        <f t="shared" si="45"/>
        <v>-469.34221259393769</v>
      </c>
      <c r="T64" s="74">
        <v>0</v>
      </c>
      <c r="U64" s="16">
        <f t="shared" si="36"/>
        <v>0</v>
      </c>
      <c r="V64" s="16">
        <f t="shared" si="28"/>
        <v>0</v>
      </c>
      <c r="W64" s="75">
        <f t="shared" si="21"/>
        <v>0</v>
      </c>
    </row>
    <row r="65" spans="1:23" x14ac:dyDescent="0.25">
      <c r="A65" s="13" t="s">
        <v>25</v>
      </c>
      <c r="B65" s="209" t="s">
        <v>320</v>
      </c>
      <c r="C65" s="369">
        <v>2.8999999999999998E-3</v>
      </c>
      <c r="D65" s="15">
        <v>0</v>
      </c>
      <c r="E65" s="16">
        <f t="shared" si="38"/>
        <v>-9799.3709368046348</v>
      </c>
      <c r="F65" s="368">
        <f t="shared" si="24"/>
        <v>-28.41817571673344</v>
      </c>
      <c r="G65" s="16">
        <f t="shared" si="39"/>
        <v>-9827.7891125213682</v>
      </c>
      <c r="H65" s="74">
        <v>0</v>
      </c>
      <c r="I65" s="16">
        <f t="shared" si="40"/>
        <v>-220329.95115416066</v>
      </c>
      <c r="J65" s="368">
        <f t="shared" si="25"/>
        <v>-638.95685834706592</v>
      </c>
      <c r="K65" s="75">
        <f t="shared" si="41"/>
        <v>-220968.90801250772</v>
      </c>
      <c r="L65" s="74">
        <v>0</v>
      </c>
      <c r="M65" s="16">
        <f t="shared" si="42"/>
        <v>-31868.601183577601</v>
      </c>
      <c r="N65" s="368">
        <f t="shared" si="26"/>
        <v>-92.418943432375031</v>
      </c>
      <c r="O65" s="75">
        <f t="shared" si="43"/>
        <v>-31961.020127009975</v>
      </c>
      <c r="P65" s="74">
        <f>('WP-2016 True Up TRR Adj'!$D$8)/12</f>
        <v>-93.207261006037399</v>
      </c>
      <c r="Q65" s="16">
        <f t="shared" si="44"/>
        <v>-562.54947359997504</v>
      </c>
      <c r="R65" s="368">
        <f t="shared" si="27"/>
        <v>-1.4962429449811736</v>
      </c>
      <c r="S65" s="75">
        <f t="shared" si="45"/>
        <v>-564.04571654495624</v>
      </c>
      <c r="T65" s="74">
        <v>0</v>
      </c>
      <c r="U65" s="16">
        <f t="shared" si="36"/>
        <v>0</v>
      </c>
      <c r="V65" s="16">
        <f t="shared" si="28"/>
        <v>0</v>
      </c>
      <c r="W65" s="75">
        <f t="shared" si="21"/>
        <v>0</v>
      </c>
    </row>
    <row r="66" spans="1:23" x14ac:dyDescent="0.25">
      <c r="A66" s="13" t="s">
        <v>11</v>
      </c>
      <c r="B66" s="209" t="s">
        <v>320</v>
      </c>
      <c r="C66" s="369">
        <v>2.8999999999999998E-3</v>
      </c>
      <c r="D66" s="15">
        <v>0</v>
      </c>
      <c r="E66" s="16">
        <f t="shared" si="38"/>
        <v>-9827.7891125213682</v>
      </c>
      <c r="F66" s="368">
        <f t="shared" si="24"/>
        <v>-28.500588426311968</v>
      </c>
      <c r="G66" s="16">
        <f t="shared" si="39"/>
        <v>-9856.2897009476801</v>
      </c>
      <c r="H66" s="74">
        <v>0</v>
      </c>
      <c r="I66" s="16">
        <f t="shared" si="40"/>
        <v>-220968.90801250772</v>
      </c>
      <c r="J66" s="368">
        <f t="shared" si="25"/>
        <v>-640.80983323627231</v>
      </c>
      <c r="K66" s="75">
        <f t="shared" si="41"/>
        <v>-221609.71784574399</v>
      </c>
      <c r="L66" s="74">
        <v>0</v>
      </c>
      <c r="M66" s="16">
        <f t="shared" si="42"/>
        <v>-31961.020127009975</v>
      </c>
      <c r="N66" s="368">
        <f t="shared" si="26"/>
        <v>-92.686958368328916</v>
      </c>
      <c r="O66" s="75">
        <f t="shared" si="43"/>
        <v>-32053.707085378304</v>
      </c>
      <c r="P66" s="74">
        <f>('WP-2016 True Up TRR Adj'!$D$8)/12</f>
        <v>-93.207261006037399</v>
      </c>
      <c r="Q66" s="16">
        <f t="shared" si="44"/>
        <v>-657.25297755099359</v>
      </c>
      <c r="R66" s="368">
        <f t="shared" si="27"/>
        <v>-1.7708831064391273</v>
      </c>
      <c r="S66" s="75">
        <f t="shared" si="45"/>
        <v>-659.02386065743269</v>
      </c>
      <c r="T66" s="74">
        <v>0</v>
      </c>
      <c r="U66" s="16">
        <f t="shared" si="36"/>
        <v>0</v>
      </c>
      <c r="V66" s="16">
        <f t="shared" si="28"/>
        <v>0</v>
      </c>
      <c r="W66" s="75">
        <f t="shared" si="21"/>
        <v>0</v>
      </c>
    </row>
    <row r="67" spans="1:23" x14ac:dyDescent="0.25">
      <c r="A67" s="13" t="s">
        <v>12</v>
      </c>
      <c r="B67" s="209" t="s">
        <v>320</v>
      </c>
      <c r="C67" s="369">
        <v>2.8999999999999998E-3</v>
      </c>
      <c r="D67" s="15">
        <v>0</v>
      </c>
      <c r="E67" s="16">
        <f t="shared" si="38"/>
        <v>-9856.2897009476801</v>
      </c>
      <c r="F67" s="368">
        <f t="shared" si="24"/>
        <v>-28.583240132748269</v>
      </c>
      <c r="G67" s="16">
        <f t="shared" si="39"/>
        <v>-9884.8729410804281</v>
      </c>
      <c r="H67" s="74">
        <v>0</v>
      </c>
      <c r="I67" s="16">
        <f t="shared" si="40"/>
        <v>-221609.71784574399</v>
      </c>
      <c r="J67" s="368">
        <f t="shared" si="25"/>
        <v>-642.66818175265757</v>
      </c>
      <c r="K67" s="75">
        <f t="shared" si="41"/>
        <v>-222252.38602749666</v>
      </c>
      <c r="L67" s="74">
        <v>0</v>
      </c>
      <c r="M67" s="16">
        <f t="shared" si="42"/>
        <v>-32053.707085378304</v>
      </c>
      <c r="N67" s="368">
        <f t="shared" si="26"/>
        <v>-92.955750547597077</v>
      </c>
      <c r="O67" s="75">
        <f t="shared" si="43"/>
        <v>-32146.662835925901</v>
      </c>
      <c r="P67" s="74">
        <f>('WP-2016 True Up TRR Adj'!$D$8)/12</f>
        <v>-93.207261006037399</v>
      </c>
      <c r="Q67" s="16">
        <f t="shared" si="44"/>
        <v>-752.23112166347005</v>
      </c>
      <c r="R67" s="368">
        <f t="shared" si="27"/>
        <v>-2.0463197243653091</v>
      </c>
      <c r="S67" s="75">
        <f t="shared" si="45"/>
        <v>-754.27744138783532</v>
      </c>
      <c r="T67" s="74">
        <v>0</v>
      </c>
      <c r="U67" s="16">
        <f t="shared" si="36"/>
        <v>0</v>
      </c>
      <c r="V67" s="16">
        <f t="shared" si="28"/>
        <v>0</v>
      </c>
      <c r="W67" s="75">
        <f t="shared" si="21"/>
        <v>0</v>
      </c>
    </row>
    <row r="68" spans="1:23" x14ac:dyDescent="0.25">
      <c r="A68" s="13" t="s">
        <v>13</v>
      </c>
      <c r="B68" s="209" t="s">
        <v>320</v>
      </c>
      <c r="C68" s="369">
        <v>2.8999999999999998E-3</v>
      </c>
      <c r="D68" s="15">
        <v>0</v>
      </c>
      <c r="E68" s="16">
        <f t="shared" si="38"/>
        <v>-9884.8729410804281</v>
      </c>
      <c r="F68" s="368">
        <f t="shared" si="24"/>
        <v>-28.666131529133239</v>
      </c>
      <c r="G68" s="16">
        <f t="shared" si="39"/>
        <v>-9913.5390726095611</v>
      </c>
      <c r="H68" s="74">
        <v>0</v>
      </c>
      <c r="I68" s="16">
        <f t="shared" si="40"/>
        <v>-222252.38602749666</v>
      </c>
      <c r="J68" s="368">
        <f t="shared" si="25"/>
        <v>-644.53191947974028</v>
      </c>
      <c r="K68" s="75">
        <f t="shared" si="41"/>
        <v>-222896.91794697641</v>
      </c>
      <c r="L68" s="74">
        <v>0</v>
      </c>
      <c r="M68" s="16">
        <f t="shared" si="42"/>
        <v>-32146.662835925901</v>
      </c>
      <c r="N68" s="368">
        <f t="shared" si="26"/>
        <v>-93.225322224185106</v>
      </c>
      <c r="O68" s="75">
        <f t="shared" si="43"/>
        <v>-32239.888158150086</v>
      </c>
      <c r="P68" s="74">
        <f>('WP-2016 True Up TRR Adj'!$D$8)/12</f>
        <v>-93.207261006037399</v>
      </c>
      <c r="Q68" s="16">
        <f t="shared" si="44"/>
        <v>-847.48470239387268</v>
      </c>
      <c r="R68" s="368">
        <f t="shared" si="27"/>
        <v>-2.3225551084834763</v>
      </c>
      <c r="S68" s="75">
        <f t="shared" si="45"/>
        <v>-849.80725750235615</v>
      </c>
      <c r="T68" s="74">
        <v>0</v>
      </c>
      <c r="U68" s="16">
        <f t="shared" si="36"/>
        <v>0</v>
      </c>
      <c r="V68" s="16">
        <f t="shared" si="28"/>
        <v>0</v>
      </c>
      <c r="W68" s="75">
        <f t="shared" si="21"/>
        <v>0</v>
      </c>
    </row>
    <row r="69" spans="1:23" x14ac:dyDescent="0.25">
      <c r="A69" s="13" t="s">
        <v>15</v>
      </c>
      <c r="B69" s="209" t="s">
        <v>320</v>
      </c>
      <c r="C69" s="369">
        <v>2.8999999999999998E-3</v>
      </c>
      <c r="D69" s="15">
        <v>0</v>
      </c>
      <c r="E69" s="16">
        <f t="shared" si="38"/>
        <v>-9913.5390726095611</v>
      </c>
      <c r="F69" s="368">
        <f t="shared" si="24"/>
        <v>-28.749263310567724</v>
      </c>
      <c r="G69" s="16">
        <f t="shared" si="39"/>
        <v>-9942.2883359201296</v>
      </c>
      <c r="H69" s="74">
        <v>0</v>
      </c>
      <c r="I69" s="16">
        <f t="shared" si="40"/>
        <v>-222896.91794697641</v>
      </c>
      <c r="J69" s="368">
        <f t="shared" si="25"/>
        <v>-646.40106204623157</v>
      </c>
      <c r="K69" s="75">
        <f t="shared" si="41"/>
        <v>-223543.31900902264</v>
      </c>
      <c r="L69" s="74">
        <v>0</v>
      </c>
      <c r="M69" s="16">
        <f t="shared" si="42"/>
        <v>-32239.888158150086</v>
      </c>
      <c r="N69" s="368">
        <f t="shared" si="26"/>
        <v>-93.49567565863525</v>
      </c>
      <c r="O69" s="75">
        <f t="shared" si="43"/>
        <v>-32333.383833808723</v>
      </c>
      <c r="P69" s="74">
        <f>('WP-2016 True Up TRR Adj'!$D$8)/12</f>
        <v>-93.207261006037399</v>
      </c>
      <c r="Q69" s="16">
        <f t="shared" si="44"/>
        <v>-943.01451850839351</v>
      </c>
      <c r="R69" s="368">
        <f t="shared" si="27"/>
        <v>-2.5995915752155865</v>
      </c>
      <c r="S69" s="75">
        <f t="shared" si="45"/>
        <v>-945.61411008360915</v>
      </c>
      <c r="T69" s="74">
        <v>0</v>
      </c>
      <c r="U69" s="16">
        <f t="shared" si="36"/>
        <v>0</v>
      </c>
      <c r="V69" s="16">
        <f t="shared" si="28"/>
        <v>0</v>
      </c>
      <c r="W69" s="75">
        <f t="shared" si="21"/>
        <v>0</v>
      </c>
    </row>
    <row r="70" spans="1:23" x14ac:dyDescent="0.25">
      <c r="A70" s="13" t="s">
        <v>14</v>
      </c>
      <c r="B70" s="209" t="s">
        <v>320</v>
      </c>
      <c r="C70" s="369">
        <v>2.8999999999999998E-3</v>
      </c>
      <c r="D70" s="15">
        <v>0</v>
      </c>
      <c r="E70" s="16">
        <f t="shared" si="38"/>
        <v>-9942.2883359201296</v>
      </c>
      <c r="F70" s="368">
        <f t="shared" si="24"/>
        <v>-28.832636174168375</v>
      </c>
      <c r="G70" s="16">
        <f t="shared" si="39"/>
        <v>-9971.1209720942988</v>
      </c>
      <c r="H70" s="74">
        <v>0</v>
      </c>
      <c r="I70" s="16">
        <f t="shared" si="40"/>
        <v>-223543.31900902264</v>
      </c>
      <c r="J70" s="368">
        <f t="shared" si="25"/>
        <v>-648.27562512616566</v>
      </c>
      <c r="K70" s="75">
        <f t="shared" si="41"/>
        <v>-224191.59463414882</v>
      </c>
      <c r="L70" s="74">
        <v>0</v>
      </c>
      <c r="M70" s="16">
        <f t="shared" si="42"/>
        <v>-32333.383833808723</v>
      </c>
      <c r="N70" s="368">
        <f t="shared" si="26"/>
        <v>-93.766813118045292</v>
      </c>
      <c r="O70" s="75">
        <f t="shared" si="43"/>
        <v>-32427.150646926766</v>
      </c>
      <c r="P70" s="74">
        <f>('WP-2016 True Up TRR Adj'!$D$8)/12</f>
        <v>-93.207261006037399</v>
      </c>
      <c r="Q70" s="16">
        <f t="shared" si="44"/>
        <v>-1038.8213710896466</v>
      </c>
      <c r="R70" s="368">
        <f t="shared" si="27"/>
        <v>-2.8774314477012206</v>
      </c>
      <c r="S70" s="75">
        <f t="shared" si="45"/>
        <v>-1041.6988025373478</v>
      </c>
      <c r="T70" s="74">
        <v>0</v>
      </c>
      <c r="U70" s="16">
        <f t="shared" si="36"/>
        <v>0</v>
      </c>
      <c r="V70" s="16">
        <f t="shared" si="28"/>
        <v>0</v>
      </c>
      <c r="W70" s="75">
        <f t="shared" si="21"/>
        <v>0</v>
      </c>
    </row>
    <row r="71" spans="1:23" x14ac:dyDescent="0.25">
      <c r="A71" s="13" t="s">
        <v>6</v>
      </c>
      <c r="B71" s="209" t="s">
        <v>320</v>
      </c>
      <c r="C71" s="369">
        <v>2.8999999999999998E-3</v>
      </c>
      <c r="D71" s="15">
        <v>0</v>
      </c>
      <c r="E71" s="16">
        <f t="shared" si="38"/>
        <v>-9971.1209720942988</v>
      </c>
      <c r="F71" s="368">
        <f t="shared" si="24"/>
        <v>-28.916250819073465</v>
      </c>
      <c r="G71" s="16">
        <f t="shared" si="39"/>
        <v>-10000.037222913372</v>
      </c>
      <c r="H71" s="74">
        <v>0</v>
      </c>
      <c r="I71" s="16">
        <f t="shared" si="40"/>
        <v>-224191.59463414882</v>
      </c>
      <c r="J71" s="368">
        <f t="shared" si="25"/>
        <v>-650.1556244390315</v>
      </c>
      <c r="K71" s="75">
        <f t="shared" si="41"/>
        <v>-224841.75025858785</v>
      </c>
      <c r="L71" s="74">
        <v>0</v>
      </c>
      <c r="M71" s="16">
        <f t="shared" si="42"/>
        <v>-32427.150646926766</v>
      </c>
      <c r="N71" s="368">
        <f t="shared" si="26"/>
        <v>-94.038736876087611</v>
      </c>
      <c r="O71" s="75">
        <f t="shared" si="43"/>
        <v>-32521.189383802855</v>
      </c>
      <c r="P71" s="74">
        <f>('WP-2016 True Up TRR Adj'!$D$8)/12</f>
        <v>-93.207261006037399</v>
      </c>
      <c r="Q71" s="16">
        <f t="shared" si="44"/>
        <v>-1134.9060635433852</v>
      </c>
      <c r="R71" s="368">
        <f t="shared" si="27"/>
        <v>-3.1560770558170623</v>
      </c>
      <c r="S71" s="75">
        <f t="shared" si="45"/>
        <v>-1138.0621405992024</v>
      </c>
      <c r="T71" s="74">
        <v>0</v>
      </c>
      <c r="U71" s="16">
        <f t="shared" si="36"/>
        <v>0</v>
      </c>
      <c r="V71" s="16">
        <f t="shared" si="28"/>
        <v>0</v>
      </c>
      <c r="W71" s="75">
        <f t="shared" si="21"/>
        <v>0</v>
      </c>
    </row>
    <row r="72" spans="1:23" x14ac:dyDescent="0.25">
      <c r="A72" s="13" t="s">
        <v>7</v>
      </c>
      <c r="B72" s="370" t="s">
        <v>869</v>
      </c>
      <c r="C72" s="369">
        <v>2.8999999999999998E-3</v>
      </c>
      <c r="D72" s="15">
        <v>0</v>
      </c>
      <c r="E72" s="16">
        <f t="shared" ref="E72:E83" si="46">D72+G71</f>
        <v>-10000.037222913372</v>
      </c>
      <c r="F72" s="368">
        <f t="shared" ref="F72:F83" si="47">(((E72+G71))/2)*$C72</f>
        <v>-29.000107946448775</v>
      </c>
      <c r="G72" s="16">
        <f t="shared" ref="G72:G83" si="48">E72+F72</f>
        <v>-10029.037330859821</v>
      </c>
      <c r="H72" s="74">
        <v>0</v>
      </c>
      <c r="I72" s="16">
        <f t="shared" ref="I72:I83" si="49">H72+K71</f>
        <v>-224841.75025858785</v>
      </c>
      <c r="J72" s="368">
        <f t="shared" ref="J72:J83" si="50">(((I72+K71))/2)*$C72</f>
        <v>-652.04107574990473</v>
      </c>
      <c r="K72" s="75">
        <f t="shared" ref="K72:K83" si="51">I72+J72</f>
        <v>-225493.79133433776</v>
      </c>
      <c r="L72" s="74">
        <v>0</v>
      </c>
      <c r="M72" s="16">
        <f t="shared" ref="M72:M83" si="52">L72+O71</f>
        <v>-32521.189383802855</v>
      </c>
      <c r="N72" s="368">
        <f t="shared" ref="N72:N83" si="53">(((M72+O71))/2)*$C72</f>
        <v>-94.311449213028268</v>
      </c>
      <c r="O72" s="75">
        <f t="shared" ref="O72:O83" si="54">M72+N72</f>
        <v>-32615.500833015885</v>
      </c>
      <c r="P72" s="74">
        <v>0</v>
      </c>
      <c r="Q72" s="16">
        <f t="shared" ref="Q72:Q83" si="55">P72+S71</f>
        <v>-1138.0621405992024</v>
      </c>
      <c r="R72" s="368">
        <f t="shared" ref="R72:R83" si="56">(((Q72+S71))/2)*$C72</f>
        <v>-3.3003802077376867</v>
      </c>
      <c r="S72" s="75">
        <f t="shared" ref="S72:S83" si="57">Q72+R72</f>
        <v>-1141.36252080694</v>
      </c>
      <c r="T72" s="74">
        <f>('WP-2017 True Up TRR Adj'!$D$8)/12</f>
        <v>-520.32283788919449</v>
      </c>
      <c r="U72" s="16">
        <f t="shared" ref="U72:U83" si="58">T72+W71</f>
        <v>-520.32283788919449</v>
      </c>
      <c r="V72" s="368">
        <f t="shared" ref="V72:V83" si="59">(((U72+W71))/2)*$C72</f>
        <v>-0.75446811493933197</v>
      </c>
      <c r="W72" s="75">
        <f t="shared" ref="W72:W83" si="60">U72+V72</f>
        <v>-521.07730600413379</v>
      </c>
    </row>
    <row r="73" spans="1:23" x14ac:dyDescent="0.25">
      <c r="A73" s="13" t="s">
        <v>8</v>
      </c>
      <c r="B73" s="370" t="s">
        <v>869</v>
      </c>
      <c r="C73" s="369">
        <v>2.8999999999999998E-3</v>
      </c>
      <c r="D73" s="15">
        <v>0</v>
      </c>
      <c r="E73" s="16">
        <f t="shared" si="46"/>
        <v>-10029.037330859821</v>
      </c>
      <c r="F73" s="368">
        <f t="shared" si="47"/>
        <v>-29.084208259493479</v>
      </c>
      <c r="G73" s="16">
        <f t="shared" si="48"/>
        <v>-10058.121539119315</v>
      </c>
      <c r="H73" s="74">
        <v>0</v>
      </c>
      <c r="I73" s="16">
        <f t="shared" si="49"/>
        <v>-225493.79133433776</v>
      </c>
      <c r="J73" s="368">
        <f t="shared" si="50"/>
        <v>-653.9319948695794</v>
      </c>
      <c r="K73" s="75">
        <f t="shared" si="51"/>
        <v>-226147.72332920734</v>
      </c>
      <c r="L73" s="74">
        <v>0</v>
      </c>
      <c r="M73" s="16">
        <f t="shared" si="52"/>
        <v>-32615.500833015885</v>
      </c>
      <c r="N73" s="368">
        <f t="shared" si="53"/>
        <v>-94.584952415746059</v>
      </c>
      <c r="O73" s="75">
        <f t="shared" si="54"/>
        <v>-32710.085785431631</v>
      </c>
      <c r="P73" s="74">
        <v>0</v>
      </c>
      <c r="Q73" s="16">
        <f t="shared" si="55"/>
        <v>-1141.36252080694</v>
      </c>
      <c r="R73" s="368">
        <f t="shared" si="56"/>
        <v>-3.3099513103401259</v>
      </c>
      <c r="S73" s="75">
        <f t="shared" si="57"/>
        <v>-1144.6724721172802</v>
      </c>
      <c r="T73" s="74">
        <f>('WP-2017 True Up TRR Adj'!$D$8)/12</f>
        <v>-520.32283788919449</v>
      </c>
      <c r="U73" s="16">
        <f t="shared" si="58"/>
        <v>-1041.4001438933283</v>
      </c>
      <c r="V73" s="16">
        <f t="shared" si="59"/>
        <v>-2.2655923023513198</v>
      </c>
      <c r="W73" s="75">
        <f t="shared" si="60"/>
        <v>-1043.6657361956795</v>
      </c>
    </row>
    <row r="74" spans="1:23" x14ac:dyDescent="0.25">
      <c r="A74" s="13" t="s">
        <v>18</v>
      </c>
      <c r="B74" s="370" t="s">
        <v>869</v>
      </c>
      <c r="C74" s="369">
        <v>2.8999999999999998E-3</v>
      </c>
      <c r="D74" s="15">
        <v>0</v>
      </c>
      <c r="E74" s="16">
        <f t="shared" si="46"/>
        <v>-10058.121539119315</v>
      </c>
      <c r="F74" s="368">
        <f t="shared" si="47"/>
        <v>-29.168552463446009</v>
      </c>
      <c r="G74" s="16">
        <f t="shared" si="48"/>
        <v>-10087.290091582761</v>
      </c>
      <c r="H74" s="74">
        <v>0</v>
      </c>
      <c r="I74" s="16">
        <f t="shared" si="49"/>
        <v>-226147.72332920734</v>
      </c>
      <c r="J74" s="368">
        <f t="shared" si="50"/>
        <v>-655.82839765470123</v>
      </c>
      <c r="K74" s="75">
        <f t="shared" si="51"/>
        <v>-226803.55172686203</v>
      </c>
      <c r="L74" s="74">
        <v>0</v>
      </c>
      <c r="M74" s="16">
        <f t="shared" si="52"/>
        <v>-32710.085785431631</v>
      </c>
      <c r="N74" s="368">
        <f t="shared" si="53"/>
        <v>-94.859248777751716</v>
      </c>
      <c r="O74" s="75">
        <f t="shared" si="54"/>
        <v>-32804.945034209384</v>
      </c>
      <c r="P74" s="74">
        <v>0</v>
      </c>
      <c r="Q74" s="16">
        <f t="shared" si="55"/>
        <v>-1144.6724721172802</v>
      </c>
      <c r="R74" s="368">
        <f t="shared" si="56"/>
        <v>-3.3195501691401126</v>
      </c>
      <c r="S74" s="75">
        <f t="shared" si="57"/>
        <v>-1147.9920222864203</v>
      </c>
      <c r="T74" s="74">
        <f>('WP-2017 True Up TRR Adj'!$D$8)/12</f>
        <v>-520.32283788919449</v>
      </c>
      <c r="U74" s="16">
        <f t="shared" si="58"/>
        <v>-1563.988574084874</v>
      </c>
      <c r="V74" s="16">
        <f t="shared" si="59"/>
        <v>-3.7810987499068025</v>
      </c>
      <c r="W74" s="75">
        <f t="shared" si="60"/>
        <v>-1567.7696728347807</v>
      </c>
    </row>
    <row r="75" spans="1:23" x14ac:dyDescent="0.25">
      <c r="A75" s="13" t="s">
        <v>9</v>
      </c>
      <c r="B75" s="370" t="s">
        <v>869</v>
      </c>
      <c r="C75" s="369">
        <v>3.0999999999999999E-3</v>
      </c>
      <c r="D75" s="15">
        <v>0</v>
      </c>
      <c r="E75" s="16">
        <f t="shared" si="46"/>
        <v>-10087.290091582761</v>
      </c>
      <c r="F75" s="368">
        <f t="shared" si="47"/>
        <v>-31.270599283906559</v>
      </c>
      <c r="G75" s="16">
        <f t="shared" si="48"/>
        <v>-10118.560690866669</v>
      </c>
      <c r="H75" s="74">
        <v>0</v>
      </c>
      <c r="I75" s="16">
        <f t="shared" si="49"/>
        <v>-226803.55172686203</v>
      </c>
      <c r="J75" s="368">
        <f t="shared" si="50"/>
        <v>-703.09101035327228</v>
      </c>
      <c r="K75" s="75">
        <f t="shared" si="51"/>
        <v>-227506.6427372153</v>
      </c>
      <c r="L75" s="74">
        <v>0</v>
      </c>
      <c r="M75" s="16">
        <f t="shared" si="52"/>
        <v>-32804.945034209384</v>
      </c>
      <c r="N75" s="368">
        <f t="shared" si="53"/>
        <v>-101.69532960604909</v>
      </c>
      <c r="O75" s="75">
        <f t="shared" si="54"/>
        <v>-32906.64036381543</v>
      </c>
      <c r="P75" s="74">
        <v>0</v>
      </c>
      <c r="Q75" s="16">
        <f t="shared" si="55"/>
        <v>-1147.9920222864203</v>
      </c>
      <c r="R75" s="368">
        <f t="shared" si="56"/>
        <v>-3.5587752690879029</v>
      </c>
      <c r="S75" s="75">
        <f t="shared" si="57"/>
        <v>-1151.5507975555081</v>
      </c>
      <c r="T75" s="74">
        <f>('WP-2017 True Up TRR Adj'!$D$8)/12</f>
        <v>-520.32283788919449</v>
      </c>
      <c r="U75" s="16">
        <f t="shared" si="58"/>
        <v>-2088.0925107239755</v>
      </c>
      <c r="V75" s="16">
        <f t="shared" si="59"/>
        <v>-5.666586384516072</v>
      </c>
      <c r="W75" s="75">
        <f t="shared" si="60"/>
        <v>-2093.7590971084915</v>
      </c>
    </row>
    <row r="76" spans="1:23" x14ac:dyDescent="0.25">
      <c r="A76" s="13" t="s">
        <v>10</v>
      </c>
      <c r="B76" s="370" t="s">
        <v>869</v>
      </c>
      <c r="C76" s="369">
        <v>3.0999999999999999E-3</v>
      </c>
      <c r="D76" s="15">
        <v>0</v>
      </c>
      <c r="E76" s="16">
        <f t="shared" si="46"/>
        <v>-10118.560690866669</v>
      </c>
      <c r="F76" s="368">
        <f t="shared" si="47"/>
        <v>-31.367538141686673</v>
      </c>
      <c r="G76" s="16">
        <f t="shared" si="48"/>
        <v>-10149.928229008356</v>
      </c>
      <c r="H76" s="74">
        <v>0</v>
      </c>
      <c r="I76" s="16">
        <f t="shared" si="49"/>
        <v>-227506.6427372153</v>
      </c>
      <c r="J76" s="368">
        <f t="shared" si="50"/>
        <v>-705.27059248536739</v>
      </c>
      <c r="K76" s="75">
        <f t="shared" si="51"/>
        <v>-228211.91332970068</v>
      </c>
      <c r="L76" s="74">
        <v>0</v>
      </c>
      <c r="M76" s="16">
        <f t="shared" si="52"/>
        <v>-32906.64036381543</v>
      </c>
      <c r="N76" s="368">
        <f t="shared" si="53"/>
        <v>-102.01058512782782</v>
      </c>
      <c r="O76" s="75">
        <f t="shared" si="54"/>
        <v>-33008.650948943257</v>
      </c>
      <c r="P76" s="74">
        <v>0</v>
      </c>
      <c r="Q76" s="16">
        <f t="shared" si="55"/>
        <v>-1151.5507975555081</v>
      </c>
      <c r="R76" s="368">
        <f t="shared" si="56"/>
        <v>-3.5698074724220752</v>
      </c>
      <c r="S76" s="75">
        <f t="shared" si="57"/>
        <v>-1155.1206050279302</v>
      </c>
      <c r="T76" s="74">
        <f>('WP-2017 True Up TRR Adj'!$D$8)/12</f>
        <v>-520.32283788919449</v>
      </c>
      <c r="U76" s="16">
        <f t="shared" si="58"/>
        <v>-2614.0819349976859</v>
      </c>
      <c r="V76" s="16">
        <f t="shared" si="59"/>
        <v>-7.2971535997645747</v>
      </c>
      <c r="W76" s="75">
        <f t="shared" si="60"/>
        <v>-2621.3790885974504</v>
      </c>
    </row>
    <row r="77" spans="1:23" x14ac:dyDescent="0.25">
      <c r="A77" s="13" t="s">
        <v>25</v>
      </c>
      <c r="B77" s="370" t="s">
        <v>869</v>
      </c>
      <c r="C77" s="369">
        <v>3.0999999999999999E-3</v>
      </c>
      <c r="D77" s="15">
        <v>0</v>
      </c>
      <c r="E77" s="16">
        <f t="shared" si="46"/>
        <v>-10149.928229008356</v>
      </c>
      <c r="F77" s="368">
        <f t="shared" si="47"/>
        <v>-31.464777509925902</v>
      </c>
      <c r="G77" s="16">
        <f t="shared" si="48"/>
        <v>-10181.393006518281</v>
      </c>
      <c r="H77" s="74">
        <v>0</v>
      </c>
      <c r="I77" s="16">
        <f t="shared" si="49"/>
        <v>-228211.91332970068</v>
      </c>
      <c r="J77" s="368">
        <f t="shared" si="50"/>
        <v>-707.45693132207202</v>
      </c>
      <c r="K77" s="75">
        <f t="shared" si="51"/>
        <v>-228919.37026102276</v>
      </c>
      <c r="L77" s="74">
        <v>0</v>
      </c>
      <c r="M77" s="16">
        <f t="shared" si="52"/>
        <v>-33008.650948943257</v>
      </c>
      <c r="N77" s="368">
        <f t="shared" si="53"/>
        <v>-102.32681794172409</v>
      </c>
      <c r="O77" s="75">
        <f t="shared" si="54"/>
        <v>-33110.977766884978</v>
      </c>
      <c r="P77" s="74">
        <v>0</v>
      </c>
      <c r="Q77" s="16">
        <f t="shared" si="55"/>
        <v>-1155.1206050279302</v>
      </c>
      <c r="R77" s="368">
        <f t="shared" si="56"/>
        <v>-3.5808738755865837</v>
      </c>
      <c r="S77" s="75">
        <f t="shared" si="57"/>
        <v>-1158.7014789035168</v>
      </c>
      <c r="T77" s="74">
        <f>('WP-2017 True Up TRR Adj'!$D$8)/12</f>
        <v>-520.32283788919449</v>
      </c>
      <c r="U77" s="16">
        <f t="shared" si="58"/>
        <v>-3141.7019264866449</v>
      </c>
      <c r="V77" s="16">
        <f t="shared" si="59"/>
        <v>-8.9327755733803471</v>
      </c>
      <c r="W77" s="75">
        <f t="shared" si="60"/>
        <v>-3150.6347020600251</v>
      </c>
    </row>
    <row r="78" spans="1:23" x14ac:dyDescent="0.25">
      <c r="A78" s="13" t="s">
        <v>11</v>
      </c>
      <c r="B78" s="370" t="s">
        <v>869</v>
      </c>
      <c r="C78" s="369">
        <v>3.3E-3</v>
      </c>
      <c r="D78" s="15">
        <v>0</v>
      </c>
      <c r="E78" s="16">
        <f t="shared" si="46"/>
        <v>-10181.393006518281</v>
      </c>
      <c r="F78" s="368">
        <f t="shared" si="47"/>
        <v>-33.598596921510328</v>
      </c>
      <c r="G78" s="16">
        <f t="shared" si="48"/>
        <v>-10214.991603439792</v>
      </c>
      <c r="H78" s="74">
        <v>0</v>
      </c>
      <c r="I78" s="16">
        <f t="shared" si="49"/>
        <v>-228919.37026102276</v>
      </c>
      <c r="J78" s="368">
        <f t="shared" si="50"/>
        <v>-755.4339218613751</v>
      </c>
      <c r="K78" s="75">
        <f t="shared" si="51"/>
        <v>-229674.80418288414</v>
      </c>
      <c r="L78" s="74">
        <v>0</v>
      </c>
      <c r="M78" s="16">
        <f t="shared" si="52"/>
        <v>-33110.977766884978</v>
      </c>
      <c r="N78" s="368">
        <f t="shared" si="53"/>
        <v>-109.26622663072042</v>
      </c>
      <c r="O78" s="75">
        <f t="shared" si="54"/>
        <v>-33220.243993515702</v>
      </c>
      <c r="P78" s="74">
        <v>0</v>
      </c>
      <c r="Q78" s="16">
        <f t="shared" si="55"/>
        <v>-1158.7014789035168</v>
      </c>
      <c r="R78" s="368">
        <f t="shared" si="56"/>
        <v>-3.8237148803816052</v>
      </c>
      <c r="S78" s="75">
        <f t="shared" si="57"/>
        <v>-1162.5251937838984</v>
      </c>
      <c r="T78" s="74">
        <f>('WP-2017 True Up TRR Adj'!$D$8)/12</f>
        <v>-520.32283788919449</v>
      </c>
      <c r="U78" s="16">
        <f t="shared" si="58"/>
        <v>-3670.9575399492196</v>
      </c>
      <c r="V78" s="16">
        <f t="shared" si="59"/>
        <v>-11.255627199315255</v>
      </c>
      <c r="W78" s="75">
        <f t="shared" si="60"/>
        <v>-3682.2131671485349</v>
      </c>
    </row>
    <row r="79" spans="1:23" x14ac:dyDescent="0.25">
      <c r="A79" s="13" t="s">
        <v>12</v>
      </c>
      <c r="B79" s="370" t="s">
        <v>869</v>
      </c>
      <c r="C79" s="369">
        <v>3.3E-3</v>
      </c>
      <c r="D79" s="15">
        <v>0</v>
      </c>
      <c r="E79" s="16">
        <f t="shared" si="46"/>
        <v>-10214.991603439792</v>
      </c>
      <c r="F79" s="368">
        <f t="shared" si="47"/>
        <v>-33.709472291351311</v>
      </c>
      <c r="G79" s="16">
        <f t="shared" si="48"/>
        <v>-10248.701075731144</v>
      </c>
      <c r="H79" s="74">
        <v>0</v>
      </c>
      <c r="I79" s="16">
        <f t="shared" si="49"/>
        <v>-229674.80418288414</v>
      </c>
      <c r="J79" s="368">
        <f t="shared" si="50"/>
        <v>-757.9268538035177</v>
      </c>
      <c r="K79" s="75">
        <f t="shared" si="51"/>
        <v>-230432.73103668765</v>
      </c>
      <c r="L79" s="74">
        <v>0</v>
      </c>
      <c r="M79" s="16">
        <f t="shared" si="52"/>
        <v>-33220.243993515702</v>
      </c>
      <c r="N79" s="368">
        <f t="shared" si="53"/>
        <v>-109.62680517860181</v>
      </c>
      <c r="O79" s="75">
        <f t="shared" si="54"/>
        <v>-33329.870798694305</v>
      </c>
      <c r="P79" s="74">
        <v>0</v>
      </c>
      <c r="Q79" s="16">
        <f t="shared" si="55"/>
        <v>-1162.5251937838984</v>
      </c>
      <c r="R79" s="368">
        <f t="shared" si="56"/>
        <v>-3.8363331394868649</v>
      </c>
      <c r="S79" s="75">
        <f t="shared" si="57"/>
        <v>-1166.3615269233853</v>
      </c>
      <c r="T79" s="74">
        <f>('WP-2017 True Up TRR Adj'!$D$8)/12</f>
        <v>-520.32283788919449</v>
      </c>
      <c r="U79" s="16">
        <f t="shared" si="58"/>
        <v>-4202.5360050377294</v>
      </c>
      <c r="V79" s="16">
        <f t="shared" si="59"/>
        <v>-13.009836134107337</v>
      </c>
      <c r="W79" s="75">
        <f t="shared" si="60"/>
        <v>-4215.5458411718364</v>
      </c>
    </row>
    <row r="80" spans="1:23" x14ac:dyDescent="0.25">
      <c r="A80" s="13" t="s">
        <v>13</v>
      </c>
      <c r="B80" s="370" t="s">
        <v>869</v>
      </c>
      <c r="C80" s="369">
        <v>3.3E-3</v>
      </c>
      <c r="D80" s="15">
        <v>0</v>
      </c>
      <c r="E80" s="16">
        <f t="shared" si="46"/>
        <v>-10248.701075731144</v>
      </c>
      <c r="F80" s="368">
        <f t="shared" si="47"/>
        <v>-33.820713549912774</v>
      </c>
      <c r="G80" s="16">
        <f t="shared" si="48"/>
        <v>-10282.521789281056</v>
      </c>
      <c r="H80" s="74">
        <v>0</v>
      </c>
      <c r="I80" s="16">
        <f t="shared" si="49"/>
        <v>-230432.73103668765</v>
      </c>
      <c r="J80" s="368">
        <f t="shared" si="50"/>
        <v>-760.42801242106918</v>
      </c>
      <c r="K80" s="75">
        <f t="shared" si="51"/>
        <v>-231193.15904910871</v>
      </c>
      <c r="L80" s="74">
        <v>0</v>
      </c>
      <c r="M80" s="16">
        <f t="shared" si="52"/>
        <v>-33329.870798694305</v>
      </c>
      <c r="N80" s="368">
        <f t="shared" si="53"/>
        <v>-109.98857363569121</v>
      </c>
      <c r="O80" s="75">
        <f t="shared" si="54"/>
        <v>-33439.859372329993</v>
      </c>
      <c r="P80" s="74">
        <v>0</v>
      </c>
      <c r="Q80" s="16">
        <f t="shared" si="55"/>
        <v>-1166.3615269233853</v>
      </c>
      <c r="R80" s="368">
        <f t="shared" si="56"/>
        <v>-3.8489930388471714</v>
      </c>
      <c r="S80" s="75">
        <f t="shared" si="57"/>
        <v>-1170.2105199622324</v>
      </c>
      <c r="T80" s="74">
        <f>('WP-2017 True Up TRR Adj'!$D$8)/12</f>
        <v>-520.32283788919449</v>
      </c>
      <c r="U80" s="16">
        <f t="shared" si="58"/>
        <v>-4735.8686790610309</v>
      </c>
      <c r="V80" s="16">
        <f t="shared" si="59"/>
        <v>-14.769833958384231</v>
      </c>
      <c r="W80" s="75">
        <f t="shared" si="60"/>
        <v>-4750.6385130194149</v>
      </c>
    </row>
    <row r="81" spans="1:23" x14ac:dyDescent="0.25">
      <c r="A81" s="13" t="s">
        <v>15</v>
      </c>
      <c r="B81" s="370" t="s">
        <v>869</v>
      </c>
      <c r="C81" s="369">
        <v>3.5000000000000001E-3</v>
      </c>
      <c r="D81" s="15">
        <v>0</v>
      </c>
      <c r="E81" s="16">
        <f t="shared" si="46"/>
        <v>-10282.521789281056</v>
      </c>
      <c r="F81" s="368">
        <f t="shared" si="47"/>
        <v>-35.988826262483698</v>
      </c>
      <c r="G81" s="16">
        <f t="shared" si="48"/>
        <v>-10318.510615543541</v>
      </c>
      <c r="H81" s="74">
        <v>0</v>
      </c>
      <c r="I81" s="16">
        <f t="shared" si="49"/>
        <v>-231193.15904910871</v>
      </c>
      <c r="J81" s="368">
        <f t="shared" si="50"/>
        <v>-809.17605667188047</v>
      </c>
      <c r="K81" s="75">
        <f t="shared" si="51"/>
        <v>-232002.3351057806</v>
      </c>
      <c r="L81" s="74">
        <v>0</v>
      </c>
      <c r="M81" s="16">
        <f t="shared" si="52"/>
        <v>-33439.859372329993</v>
      </c>
      <c r="N81" s="368">
        <f t="shared" si="53"/>
        <v>-117.03950780315498</v>
      </c>
      <c r="O81" s="75">
        <f t="shared" si="54"/>
        <v>-33556.898880133151</v>
      </c>
      <c r="P81" s="74">
        <v>0</v>
      </c>
      <c r="Q81" s="16">
        <f t="shared" si="55"/>
        <v>-1170.2105199622324</v>
      </c>
      <c r="R81" s="368">
        <f t="shared" si="56"/>
        <v>-4.0957368198678132</v>
      </c>
      <c r="S81" s="75">
        <f t="shared" si="57"/>
        <v>-1174.3062567821003</v>
      </c>
      <c r="T81" s="74">
        <f>('WP-2017 True Up TRR Adj'!$D$8)/12</f>
        <v>-520.32283788919449</v>
      </c>
      <c r="U81" s="16">
        <f t="shared" si="58"/>
        <v>-5270.9613509086093</v>
      </c>
      <c r="V81" s="16">
        <f t="shared" si="59"/>
        <v>-17.537799761874044</v>
      </c>
      <c r="W81" s="75">
        <f t="shared" si="60"/>
        <v>-5288.4991506704837</v>
      </c>
    </row>
    <row r="82" spans="1:23" x14ac:dyDescent="0.25">
      <c r="A82" s="13" t="s">
        <v>14</v>
      </c>
      <c r="B82" s="370" t="s">
        <v>869</v>
      </c>
      <c r="C82" s="369">
        <v>3.5000000000000001E-3</v>
      </c>
      <c r="D82" s="15">
        <v>0</v>
      </c>
      <c r="E82" s="16">
        <f t="shared" si="46"/>
        <v>-10318.510615543541</v>
      </c>
      <c r="F82" s="368">
        <f t="shared" si="47"/>
        <v>-36.114787154402393</v>
      </c>
      <c r="G82" s="16">
        <f t="shared" si="48"/>
        <v>-10354.625402697942</v>
      </c>
      <c r="H82" s="74">
        <v>0</v>
      </c>
      <c r="I82" s="16">
        <f t="shared" si="49"/>
        <v>-232002.3351057806</v>
      </c>
      <c r="J82" s="368">
        <f t="shared" si="50"/>
        <v>-812.0081728702321</v>
      </c>
      <c r="K82" s="75">
        <f t="shared" si="51"/>
        <v>-232814.34327865083</v>
      </c>
      <c r="L82" s="74">
        <v>0</v>
      </c>
      <c r="M82" s="16">
        <f t="shared" si="52"/>
        <v>-33556.898880133151</v>
      </c>
      <c r="N82" s="368">
        <f t="shared" si="53"/>
        <v>-117.44914608046604</v>
      </c>
      <c r="O82" s="75">
        <f t="shared" si="54"/>
        <v>-33674.348026213615</v>
      </c>
      <c r="P82" s="74">
        <v>0</v>
      </c>
      <c r="Q82" s="16">
        <f t="shared" si="55"/>
        <v>-1174.3062567821003</v>
      </c>
      <c r="R82" s="368">
        <f t="shared" si="56"/>
        <v>-4.1100718987373508</v>
      </c>
      <c r="S82" s="75">
        <f t="shared" si="57"/>
        <v>-1178.4163286808375</v>
      </c>
      <c r="T82" s="74">
        <f>('WP-2017 True Up TRR Adj'!$D$8)/12</f>
        <v>-520.32283788919449</v>
      </c>
      <c r="U82" s="16">
        <f t="shared" si="58"/>
        <v>-5808.8219885596782</v>
      </c>
      <c r="V82" s="16">
        <f t="shared" si="59"/>
        <v>-19.420311993652785</v>
      </c>
      <c r="W82" s="75">
        <f t="shared" si="60"/>
        <v>-5828.242300553331</v>
      </c>
    </row>
    <row r="83" spans="1:23" x14ac:dyDescent="0.25">
      <c r="A83" s="13" t="s">
        <v>6</v>
      </c>
      <c r="B83" s="370" t="s">
        <v>869</v>
      </c>
      <c r="C83" s="369">
        <v>3.5000000000000001E-3</v>
      </c>
      <c r="D83" s="15">
        <v>0</v>
      </c>
      <c r="E83" s="16">
        <f t="shared" si="46"/>
        <v>-10354.625402697942</v>
      </c>
      <c r="F83" s="368">
        <f t="shared" si="47"/>
        <v>-36.241188909442798</v>
      </c>
      <c r="G83" s="16">
        <f t="shared" si="48"/>
        <v>-10390.866591607384</v>
      </c>
      <c r="H83" s="74">
        <v>0</v>
      </c>
      <c r="I83" s="16">
        <f t="shared" si="49"/>
        <v>-232814.34327865083</v>
      </c>
      <c r="J83" s="368">
        <f t="shared" si="50"/>
        <v>-814.85020147527791</v>
      </c>
      <c r="K83" s="75">
        <f t="shared" si="51"/>
        <v>-233629.19348012612</v>
      </c>
      <c r="L83" s="74">
        <v>0</v>
      </c>
      <c r="M83" s="16">
        <f t="shared" si="52"/>
        <v>-33674.348026213615</v>
      </c>
      <c r="N83" s="368">
        <f t="shared" si="53"/>
        <v>-117.86021809174765</v>
      </c>
      <c r="O83" s="75">
        <f t="shared" si="54"/>
        <v>-33792.208244305359</v>
      </c>
      <c r="P83" s="74">
        <v>0</v>
      </c>
      <c r="Q83" s="16">
        <f t="shared" si="55"/>
        <v>-1178.4163286808375</v>
      </c>
      <c r="R83" s="368">
        <f t="shared" si="56"/>
        <v>-4.1244571503829315</v>
      </c>
      <c r="S83" s="75">
        <f t="shared" si="57"/>
        <v>-1182.5407858312205</v>
      </c>
      <c r="T83" s="74">
        <f>('WP-2017 True Up TRR Adj'!$D$8)/12</f>
        <v>-520.32283788919449</v>
      </c>
      <c r="U83" s="16">
        <f t="shared" si="58"/>
        <v>-6348.5651384425255</v>
      </c>
      <c r="V83" s="16">
        <f t="shared" si="59"/>
        <v>-21.309413018242751</v>
      </c>
      <c r="W83" s="75">
        <f t="shared" si="60"/>
        <v>-6369.8745514607681</v>
      </c>
    </row>
    <row r="84" spans="1:23" s="78" customFormat="1" ht="15.75" thickBot="1" x14ac:dyDescent="0.3">
      <c r="A84" s="195"/>
      <c r="B84" s="196"/>
      <c r="C84" s="196"/>
      <c r="D84" s="197">
        <f>SUM(D12:D83)</f>
        <v>-8629.1507190465909</v>
      </c>
      <c r="E84" s="87"/>
      <c r="F84" s="76" t="s">
        <v>32</v>
      </c>
      <c r="G84" s="197">
        <f>G83</f>
        <v>-10390.866591607384</v>
      </c>
      <c r="H84" s="198">
        <f>SUM(H12:H83)</f>
        <v>-200399.01134812832</v>
      </c>
      <c r="I84" s="87"/>
      <c r="J84" s="76" t="s">
        <v>32</v>
      </c>
      <c r="K84" s="77">
        <f>K83</f>
        <v>-233629.19348012612</v>
      </c>
      <c r="L84" s="198">
        <f>SUM(L12:L83)</f>
        <v>-29938.994953513149</v>
      </c>
      <c r="M84" s="87"/>
      <c r="N84" s="76" t="s">
        <v>32</v>
      </c>
      <c r="O84" s="77">
        <f>O83</f>
        <v>-33792.208244305359</v>
      </c>
      <c r="P84" s="198">
        <f>SUM(P12:P83)</f>
        <v>-1118.4871320724487</v>
      </c>
      <c r="Q84" s="87"/>
      <c r="R84" s="76" t="s">
        <v>32</v>
      </c>
      <c r="S84" s="77">
        <f>S83</f>
        <v>-1182.5407858312205</v>
      </c>
      <c r="T84" s="198">
        <f>SUM(T12:T83)</f>
        <v>-6243.8740546703339</v>
      </c>
      <c r="U84" s="87"/>
      <c r="V84" s="76" t="s">
        <v>32</v>
      </c>
      <c r="W84" s="77">
        <f>W83</f>
        <v>-6369.8745514607681</v>
      </c>
    </row>
    <row r="85" spans="1:23" ht="26.25" customHeight="1" thickBot="1" x14ac:dyDescent="0.4">
      <c r="A85" s="33"/>
      <c r="B85" s="34"/>
      <c r="C85" s="34"/>
      <c r="D85" s="34"/>
      <c r="E85" s="34"/>
      <c r="F85" s="34"/>
      <c r="G85" s="34"/>
      <c r="H85" s="88"/>
      <c r="I85" s="88"/>
      <c r="J85" s="88"/>
      <c r="K85" s="88"/>
      <c r="L85" s="34"/>
      <c r="M85" s="89"/>
      <c r="N85" s="178"/>
      <c r="O85" s="177"/>
      <c r="P85" s="34"/>
      <c r="Q85" s="89"/>
      <c r="R85" s="178"/>
      <c r="S85" s="177"/>
      <c r="T85" s="34"/>
      <c r="U85" s="89"/>
      <c r="V85" s="178" t="s">
        <v>870</v>
      </c>
      <c r="W85" s="204">
        <f>SUM(G84,K84,O84,S84,W84)</f>
        <v>-285364.6836533309</v>
      </c>
    </row>
    <row r="86" spans="1:23" x14ac:dyDescent="0.25">
      <c r="I86" s="78"/>
      <c r="J86" s="78"/>
      <c r="K86" s="78"/>
      <c r="M86" s="4"/>
      <c r="N86" s="22"/>
      <c r="O86" s="22"/>
      <c r="P86" s="4"/>
      <c r="Q86" s="4"/>
      <c r="R86" s="4"/>
      <c r="S86" s="4"/>
    </row>
    <row r="87" spans="1:23" x14ac:dyDescent="0.25">
      <c r="E87" s="18"/>
      <c r="N87" s="188"/>
      <c r="O87" s="188"/>
    </row>
    <row r="89" spans="1:23" x14ac:dyDescent="0.25">
      <c r="A89" s="19"/>
      <c r="F89" s="40"/>
    </row>
    <row r="90" spans="1:23" x14ac:dyDescent="0.25">
      <c r="E90" s="20"/>
    </row>
    <row r="95" spans="1:23" x14ac:dyDescent="0.25">
      <c r="A95" s="19"/>
    </row>
    <row r="99" spans="4:6" x14ac:dyDescent="0.25">
      <c r="D99" s="21"/>
      <c r="F99" s="22"/>
    </row>
    <row r="100" spans="4:6" x14ac:dyDescent="0.25">
      <c r="E100" s="23"/>
    </row>
    <row r="101" spans="4:6" x14ac:dyDescent="0.25">
      <c r="F101" s="24"/>
    </row>
    <row r="103" spans="4:6" x14ac:dyDescent="0.25">
      <c r="E103" s="23"/>
      <c r="F103" s="22"/>
    </row>
  </sheetData>
  <mergeCells count="5">
    <mergeCell ref="H5:K5"/>
    <mergeCell ref="A5:G5"/>
    <mergeCell ref="L5:O5"/>
    <mergeCell ref="P5:S5"/>
    <mergeCell ref="T5:W5"/>
  </mergeCells>
  <printOptions horizontalCentered="1"/>
  <pageMargins left="0.7" right="0.7" top="0.75" bottom="0.75" header="0.3" footer="0.3"/>
  <pageSetup scale="38" fitToHeight="0" orientation="landscape" cellComments="asDisplayed" r:id="rId1"/>
  <headerFooter>
    <oddHeader>&amp;RTO2020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H17"/>
  <sheetViews>
    <sheetView zoomScaleNormal="100" workbookViewId="0"/>
  </sheetViews>
  <sheetFormatPr defaultColWidth="9.140625" defaultRowHeight="15" x14ac:dyDescent="0.25"/>
  <cols>
    <col min="1" max="2" width="9.140625" style="183"/>
    <col min="3" max="3" width="18.5703125" style="183" customWidth="1"/>
    <col min="4" max="4" width="14" style="183" bestFit="1" customWidth="1"/>
    <col min="5" max="5" width="12.5703125" style="183" customWidth="1"/>
    <col min="6" max="6" width="12" style="183" customWidth="1"/>
    <col min="7" max="7" width="13.85546875" style="183" customWidth="1"/>
    <col min="8" max="16384" width="9.140625" style="183"/>
  </cols>
  <sheetData>
    <row r="2" spans="1:8" ht="21" customHeight="1" x14ac:dyDescent="0.25"/>
    <row r="3" spans="1:8" ht="15" customHeight="1" x14ac:dyDescent="0.25">
      <c r="A3" s="492" t="s">
        <v>296</v>
      </c>
      <c r="B3" s="492"/>
      <c r="C3" s="492"/>
      <c r="D3" s="492"/>
      <c r="E3" s="492"/>
      <c r="F3" s="492"/>
      <c r="G3" s="492"/>
    </row>
    <row r="4" spans="1:8" ht="15" customHeight="1" x14ac:dyDescent="0.25">
      <c r="A4" s="492"/>
      <c r="B4" s="492"/>
      <c r="C4" s="492"/>
      <c r="D4" s="492"/>
      <c r="E4" s="492"/>
      <c r="F4" s="492"/>
      <c r="G4" s="492"/>
    </row>
    <row r="5" spans="1:8" x14ac:dyDescent="0.25">
      <c r="A5" s="493" t="s">
        <v>33</v>
      </c>
      <c r="B5" s="493"/>
      <c r="C5" s="493"/>
      <c r="D5" s="173" t="s">
        <v>34</v>
      </c>
      <c r="E5" s="494" t="s">
        <v>35</v>
      </c>
      <c r="F5" s="494"/>
      <c r="G5" s="494"/>
      <c r="H5" s="184"/>
    </row>
    <row r="6" spans="1:8" ht="49.5" customHeight="1" x14ac:dyDescent="0.25">
      <c r="A6" s="495" t="s">
        <v>319</v>
      </c>
      <c r="B6" s="496"/>
      <c r="C6" s="497"/>
      <c r="D6" s="189">
        <v>625974103.22264624</v>
      </c>
      <c r="E6" s="498" t="s">
        <v>867</v>
      </c>
      <c r="F6" s="499"/>
      <c r="G6" s="500"/>
    </row>
    <row r="7" spans="1:8" ht="50.25" customHeight="1" x14ac:dyDescent="0.25">
      <c r="A7" s="487" t="s">
        <v>987</v>
      </c>
      <c r="B7" s="488"/>
      <c r="C7" s="489"/>
      <c r="D7" s="190">
        <f>'WP-2012 Sch4-TUTRR'!J69</f>
        <v>625965474.07192719</v>
      </c>
      <c r="E7" s="490" t="s">
        <v>988</v>
      </c>
      <c r="F7" s="491"/>
      <c r="G7" s="491"/>
    </row>
    <row r="8" spans="1:8" x14ac:dyDescent="0.25">
      <c r="A8" s="483" t="s">
        <v>36</v>
      </c>
      <c r="B8" s="483"/>
      <c r="C8" s="484"/>
      <c r="D8" s="191">
        <f>D7-D6</f>
        <v>-8629.1507190465927</v>
      </c>
      <c r="E8" s="485"/>
      <c r="F8" s="485"/>
      <c r="G8" s="485"/>
    </row>
    <row r="11" spans="1:8" x14ac:dyDescent="0.25">
      <c r="A11" s="183" t="s">
        <v>284</v>
      </c>
    </row>
    <row r="12" spans="1:8" x14ac:dyDescent="0.25">
      <c r="A12" s="486" t="s">
        <v>813</v>
      </c>
      <c r="B12" s="482"/>
      <c r="C12" s="482"/>
      <c r="D12" s="482"/>
      <c r="E12" s="482"/>
      <c r="F12" s="482"/>
      <c r="G12" s="482"/>
      <c r="H12" s="482"/>
    </row>
    <row r="13" spans="1:8" x14ac:dyDescent="0.25">
      <c r="A13" s="203"/>
    </row>
    <row r="14" spans="1:8" x14ac:dyDescent="0.25">
      <c r="A14" s="481"/>
      <c r="B14" s="482"/>
      <c r="C14" s="482"/>
      <c r="D14" s="482"/>
      <c r="E14" s="482"/>
      <c r="F14" s="482"/>
      <c r="G14" s="482"/>
      <c r="H14" s="482"/>
    </row>
    <row r="15" spans="1:8" x14ac:dyDescent="0.25">
      <c r="A15" s="203"/>
    </row>
    <row r="16" spans="1:8" x14ac:dyDescent="0.25">
      <c r="A16" s="481"/>
      <c r="B16" s="482"/>
      <c r="C16" s="482"/>
      <c r="D16" s="482"/>
      <c r="E16" s="482"/>
      <c r="F16" s="482"/>
      <c r="G16" s="482"/>
      <c r="H16" s="482"/>
    </row>
    <row r="17" spans="1:1" x14ac:dyDescent="0.25">
      <c r="A17" s="203"/>
    </row>
  </sheetData>
  <mergeCells count="12">
    <mergeCell ref="A7:C7"/>
    <mergeCell ref="E7:G7"/>
    <mergeCell ref="A3:G4"/>
    <mergeCell ref="A5:C5"/>
    <mergeCell ref="E5:G5"/>
    <mergeCell ref="A6:C6"/>
    <mergeCell ref="E6:G6"/>
    <mergeCell ref="A14:H14"/>
    <mergeCell ref="A16:H16"/>
    <mergeCell ref="A8:C8"/>
    <mergeCell ref="E8:G8"/>
    <mergeCell ref="A12:H12"/>
  </mergeCells>
  <pageMargins left="0.7" right="0.7" top="0.75" bottom="0.75" header="0.3" footer="0.3"/>
  <pageSetup orientation="portrait" r:id="rId1"/>
  <headerFooter>
    <oddHeader>&amp;R&amp;8TO2020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71"/>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1" customWidth="1"/>
  </cols>
  <sheetData>
    <row r="1" spans="1:10" x14ac:dyDescent="0.2">
      <c r="A1" s="90" t="s">
        <v>38</v>
      </c>
    </row>
    <row r="2" spans="1:10" x14ac:dyDescent="0.2">
      <c r="H2" s="91"/>
    </row>
    <row r="3" spans="1:10" x14ac:dyDescent="0.2">
      <c r="B3" s="92" t="s">
        <v>39</v>
      </c>
    </row>
    <row r="4" spans="1:10" x14ac:dyDescent="0.2">
      <c r="B4" s="93"/>
      <c r="F4" s="94" t="s">
        <v>40</v>
      </c>
      <c r="G4" s="94"/>
      <c r="H4" s="94" t="s">
        <v>41</v>
      </c>
    </row>
    <row r="5" spans="1:10" x14ac:dyDescent="0.2">
      <c r="A5" s="95" t="s">
        <v>42</v>
      </c>
      <c r="B5" s="96"/>
      <c r="C5" s="97" t="s">
        <v>43</v>
      </c>
      <c r="F5" s="98" t="s">
        <v>44</v>
      </c>
      <c r="G5" s="98" t="s">
        <v>45</v>
      </c>
      <c r="H5" s="98" t="s">
        <v>46</v>
      </c>
      <c r="J5" s="98" t="s">
        <v>34</v>
      </c>
    </row>
    <row r="6" spans="1:10" x14ac:dyDescent="0.2">
      <c r="A6" s="99">
        <v>1</v>
      </c>
      <c r="B6" s="91"/>
      <c r="C6" s="100" t="s">
        <v>47</v>
      </c>
      <c r="D6" s="91"/>
      <c r="E6" s="91"/>
      <c r="F6" s="91" t="s">
        <v>48</v>
      </c>
      <c r="G6" s="91"/>
      <c r="H6" s="100" t="s">
        <v>833</v>
      </c>
      <c r="I6" s="91"/>
      <c r="J6" s="121">
        <v>3645158203.7154975</v>
      </c>
    </row>
    <row r="7" spans="1:10" x14ac:dyDescent="0.2">
      <c r="A7" s="99">
        <f>A6+1</f>
        <v>2</v>
      </c>
      <c r="B7" s="91"/>
      <c r="C7" s="100" t="s">
        <v>49</v>
      </c>
      <c r="D7" s="91"/>
      <c r="E7" s="91"/>
      <c r="F7" s="91" t="s">
        <v>50</v>
      </c>
      <c r="G7" s="91"/>
      <c r="H7" s="100" t="s">
        <v>834</v>
      </c>
      <c r="I7" s="91"/>
      <c r="J7" s="121">
        <v>144283190.23540646</v>
      </c>
    </row>
    <row r="8" spans="1:10" x14ac:dyDescent="0.2">
      <c r="A8" s="99">
        <f>A7+1</f>
        <v>3</v>
      </c>
      <c r="B8" s="91"/>
      <c r="C8" s="100" t="s">
        <v>51</v>
      </c>
      <c r="D8" s="91"/>
      <c r="E8" s="91"/>
      <c r="F8" s="91" t="s">
        <v>50</v>
      </c>
      <c r="G8" s="91"/>
      <c r="H8" s="91" t="s">
        <v>835</v>
      </c>
      <c r="I8" s="91"/>
      <c r="J8" s="121">
        <v>9942155</v>
      </c>
    </row>
    <row r="9" spans="1:10" x14ac:dyDescent="0.2">
      <c r="A9" s="99">
        <f>A8+1</f>
        <v>4</v>
      </c>
      <c r="B9" s="91"/>
      <c r="C9" s="100" t="s">
        <v>52</v>
      </c>
      <c r="D9" s="91"/>
      <c r="E9" s="91"/>
      <c r="F9" s="91" t="s">
        <v>50</v>
      </c>
      <c r="G9" s="91"/>
      <c r="H9" s="102" t="s">
        <v>836</v>
      </c>
      <c r="I9" s="91"/>
      <c r="J9" s="121">
        <v>5514000</v>
      </c>
    </row>
    <row r="10" spans="1:10" x14ac:dyDescent="0.2">
      <c r="A10" s="99"/>
      <c r="B10" s="91"/>
      <c r="C10" s="100"/>
      <c r="D10" s="91"/>
      <c r="E10" s="91"/>
      <c r="F10" s="91"/>
      <c r="G10" s="91"/>
      <c r="H10" s="91"/>
      <c r="I10" s="91"/>
      <c r="J10" s="121"/>
    </row>
    <row r="11" spans="1:10" x14ac:dyDescent="0.2">
      <c r="A11" s="99"/>
      <c r="B11" s="91"/>
      <c r="C11" s="103" t="s">
        <v>53</v>
      </c>
      <c r="D11" s="91"/>
      <c r="E11" s="91"/>
      <c r="F11" s="91"/>
      <c r="G11" s="91"/>
      <c r="H11" s="91"/>
      <c r="I11" s="91"/>
      <c r="J11" s="121"/>
    </row>
    <row r="12" spans="1:10" x14ac:dyDescent="0.2">
      <c r="A12" s="99">
        <f>A9+1</f>
        <v>5</v>
      </c>
      <c r="B12" s="91"/>
      <c r="C12" s="104" t="s">
        <v>54</v>
      </c>
      <c r="D12" s="91"/>
      <c r="E12" s="91"/>
      <c r="F12" s="91" t="s">
        <v>48</v>
      </c>
      <c r="G12" s="91"/>
      <c r="H12" s="100" t="s">
        <v>837</v>
      </c>
      <c r="I12" s="91"/>
      <c r="J12" s="121">
        <v>11844542.914607141</v>
      </c>
    </row>
    <row r="13" spans="1:10" x14ac:dyDescent="0.2">
      <c r="A13" s="99">
        <f>A12+1</f>
        <v>6</v>
      </c>
      <c r="B13" s="91"/>
      <c r="C13" s="105" t="s">
        <v>55</v>
      </c>
      <c r="D13" s="91"/>
      <c r="E13" s="91"/>
      <c r="F13" s="91" t="s">
        <v>48</v>
      </c>
      <c r="G13" s="91"/>
      <c r="H13" s="100" t="s">
        <v>838</v>
      </c>
      <c r="I13" s="91"/>
      <c r="J13" s="121">
        <v>1848992.5368815188</v>
      </c>
    </row>
    <row r="14" spans="1:10" x14ac:dyDescent="0.2">
      <c r="A14" s="99">
        <f>A13+1</f>
        <v>7</v>
      </c>
      <c r="B14" s="91"/>
      <c r="C14" s="104" t="s">
        <v>56</v>
      </c>
      <c r="D14" s="91"/>
      <c r="E14" s="91"/>
      <c r="F14" s="102" t="s">
        <v>57</v>
      </c>
      <c r="G14" s="91"/>
      <c r="H14" s="91" t="s">
        <v>839</v>
      </c>
      <c r="I14" s="91"/>
      <c r="J14" s="181">
        <v>7053801.1254845634</v>
      </c>
    </row>
    <row r="15" spans="1:10" x14ac:dyDescent="0.2">
      <c r="A15" s="99">
        <f>A14+1</f>
        <v>8</v>
      </c>
      <c r="B15" s="91"/>
      <c r="C15" s="104" t="s">
        <v>58</v>
      </c>
      <c r="D15" s="91"/>
      <c r="E15" s="91"/>
      <c r="F15" s="91"/>
      <c r="G15" s="91"/>
      <c r="H15" s="91" t="str">
        <f>"Line "&amp;A12&amp;" + Line "&amp;A13&amp;" + Line "&amp;A14&amp;""</f>
        <v>Line 5 + Line 6 + Line 7</v>
      </c>
      <c r="I15" s="91"/>
      <c r="J15" s="121">
        <f>SUM(J12:J14)</f>
        <v>20747336.576973222</v>
      </c>
    </row>
    <row r="16" spans="1:10" x14ac:dyDescent="0.2">
      <c r="A16" s="99"/>
      <c r="B16" s="91"/>
      <c r="C16" s="104"/>
      <c r="D16" s="91"/>
      <c r="E16" s="91"/>
      <c r="F16" s="91"/>
      <c r="G16" s="91"/>
      <c r="H16" s="91"/>
      <c r="I16" s="91"/>
      <c r="J16" s="121"/>
    </row>
    <row r="17" spans="1:10" x14ac:dyDescent="0.2">
      <c r="A17" s="99"/>
      <c r="B17" s="91"/>
      <c r="C17" s="108" t="s">
        <v>59</v>
      </c>
      <c r="D17" s="91"/>
      <c r="E17" s="91"/>
      <c r="F17" s="91"/>
      <c r="G17" s="91"/>
      <c r="H17" s="91"/>
      <c r="I17" s="91"/>
      <c r="J17" s="121"/>
    </row>
    <row r="18" spans="1:10" x14ac:dyDescent="0.2">
      <c r="A18" s="99">
        <f>A15+1</f>
        <v>9</v>
      </c>
      <c r="B18" s="91"/>
      <c r="C18" s="104" t="s">
        <v>60</v>
      </c>
      <c r="D18" s="91"/>
      <c r="E18" s="91"/>
      <c r="F18" s="91" t="s">
        <v>48</v>
      </c>
      <c r="G18" s="91" t="s">
        <v>61</v>
      </c>
      <c r="H18" s="100" t="s">
        <v>856</v>
      </c>
      <c r="I18" s="91"/>
      <c r="J18" s="121">
        <v>-1016502760.1686705</v>
      </c>
    </row>
    <row r="19" spans="1:10" x14ac:dyDescent="0.2">
      <c r="A19" s="99">
        <f>A18+1</f>
        <v>10</v>
      </c>
      <c r="B19" s="91"/>
      <c r="C19" s="104" t="s">
        <v>62</v>
      </c>
      <c r="D19" s="91"/>
      <c r="E19" s="91"/>
      <c r="F19" s="91" t="s">
        <v>50</v>
      </c>
      <c r="G19" s="91" t="s">
        <v>61</v>
      </c>
      <c r="H19" s="100" t="s">
        <v>857</v>
      </c>
      <c r="I19" s="91"/>
      <c r="J19" s="121">
        <v>-1125318.0869653528</v>
      </c>
    </row>
    <row r="20" spans="1:10" x14ac:dyDescent="0.2">
      <c r="A20" s="99">
        <f>A19+1</f>
        <v>11</v>
      </c>
      <c r="B20" s="91"/>
      <c r="C20" s="104" t="s">
        <v>63</v>
      </c>
      <c r="D20" s="46"/>
      <c r="E20" s="91"/>
      <c r="F20" s="91" t="s">
        <v>50</v>
      </c>
      <c r="G20" s="91" t="s">
        <v>61</v>
      </c>
      <c r="H20" s="100" t="s">
        <v>858</v>
      </c>
      <c r="I20" s="91"/>
      <c r="J20" s="181">
        <v>-52505333.55120784</v>
      </c>
    </row>
    <row r="21" spans="1:10" x14ac:dyDescent="0.2">
      <c r="A21" s="99">
        <f>A20+1</f>
        <v>12</v>
      </c>
      <c r="B21" s="91"/>
      <c r="C21" s="47" t="s">
        <v>64</v>
      </c>
      <c r="D21" s="46"/>
      <c r="E21" s="91"/>
      <c r="F21" s="91"/>
      <c r="G21" s="91"/>
      <c r="H21" s="91" t="str">
        <f>"Line "&amp;A18&amp;" + Line "&amp;A19&amp;" + Line "&amp;A20&amp;""</f>
        <v>Line 9 + Line 10 + Line 11</v>
      </c>
      <c r="I21" s="91"/>
      <c r="J21" s="121">
        <f>SUM(J18:J20)</f>
        <v>-1070133411.8068438</v>
      </c>
    </row>
    <row r="22" spans="1:10" x14ac:dyDescent="0.2">
      <c r="A22" s="99"/>
      <c r="B22" s="91"/>
      <c r="C22" s="102"/>
      <c r="D22" s="91"/>
      <c r="E22" s="91"/>
      <c r="F22" s="91"/>
      <c r="G22" s="91"/>
      <c r="H22" s="91"/>
      <c r="I22" s="91"/>
      <c r="J22" s="121"/>
    </row>
    <row r="23" spans="1:10" x14ac:dyDescent="0.2">
      <c r="A23" s="99">
        <f>A21+1</f>
        <v>13</v>
      </c>
      <c r="B23" s="91"/>
      <c r="C23" s="110" t="s">
        <v>65</v>
      </c>
      <c r="D23" s="91"/>
      <c r="E23" s="91"/>
      <c r="F23" s="91" t="s">
        <v>50</v>
      </c>
      <c r="G23" s="91"/>
      <c r="H23" s="100" t="s">
        <v>859</v>
      </c>
      <c r="I23" s="91"/>
      <c r="J23" s="121">
        <v>-553211216.6402154</v>
      </c>
    </row>
    <row r="24" spans="1:10" x14ac:dyDescent="0.2">
      <c r="A24" s="99">
        <f>A23+1</f>
        <v>14</v>
      </c>
      <c r="B24" s="91"/>
      <c r="C24" s="100" t="s">
        <v>66</v>
      </c>
      <c r="D24" s="91"/>
      <c r="E24" s="91"/>
      <c r="F24" s="91" t="s">
        <v>48</v>
      </c>
      <c r="G24" s="91"/>
      <c r="H24" s="100" t="s">
        <v>860</v>
      </c>
      <c r="I24" s="91"/>
      <c r="J24" s="121">
        <v>1414332165.0860105</v>
      </c>
    </row>
    <row r="25" spans="1:10" x14ac:dyDescent="0.2">
      <c r="A25" s="99">
        <f>A24+1</f>
        <v>15</v>
      </c>
      <c r="B25" s="91"/>
      <c r="C25" s="110" t="s">
        <v>67</v>
      </c>
      <c r="D25" s="91"/>
      <c r="E25" s="91"/>
      <c r="F25" s="91" t="s">
        <v>50</v>
      </c>
      <c r="G25" s="91" t="s">
        <v>61</v>
      </c>
      <c r="H25" s="100" t="s">
        <v>861</v>
      </c>
      <c r="I25" s="91"/>
      <c r="J25" s="121">
        <v>-15595540</v>
      </c>
    </row>
    <row r="26" spans="1:10" x14ac:dyDescent="0.2">
      <c r="A26" s="99" t="s">
        <v>68</v>
      </c>
      <c r="B26" s="91"/>
      <c r="C26" s="100" t="s">
        <v>69</v>
      </c>
      <c r="D26" s="91"/>
      <c r="E26" s="91"/>
      <c r="F26" s="91"/>
      <c r="G26" s="91"/>
      <c r="H26" s="102" t="s">
        <v>862</v>
      </c>
      <c r="I26" s="91"/>
      <c r="J26" s="121">
        <v>-8110359.993135592</v>
      </c>
    </row>
    <row r="27" spans="1:10" x14ac:dyDescent="0.2">
      <c r="A27" s="99">
        <v>16</v>
      </c>
      <c r="B27" s="91"/>
      <c r="C27" s="110" t="s">
        <v>70</v>
      </c>
      <c r="D27" s="91"/>
      <c r="E27" s="91"/>
      <c r="F27" s="91" t="s">
        <v>50</v>
      </c>
      <c r="G27" s="91"/>
      <c r="H27" s="100" t="s">
        <v>863</v>
      </c>
      <c r="I27" s="91"/>
      <c r="J27" s="121">
        <v>0</v>
      </c>
    </row>
    <row r="28" spans="1:10" x14ac:dyDescent="0.2">
      <c r="A28" s="99"/>
      <c r="B28" s="91"/>
      <c r="C28" s="110"/>
      <c r="D28" s="91"/>
      <c r="E28" s="91"/>
      <c r="F28" s="91"/>
      <c r="G28" s="91"/>
      <c r="H28" s="91"/>
      <c r="I28" s="91"/>
      <c r="J28" s="120"/>
    </row>
    <row r="29" spans="1:10" x14ac:dyDescent="0.2">
      <c r="A29" s="99">
        <v>17</v>
      </c>
      <c r="B29" s="91"/>
      <c r="C29" s="91" t="s">
        <v>71</v>
      </c>
      <c r="D29" s="91"/>
      <c r="E29" s="91"/>
      <c r="F29" s="91"/>
      <c r="G29" s="91"/>
      <c r="H29" s="91" t="str">
        <f>"L"&amp;A6&amp;"+L"&amp;A7&amp;"+L"&amp;A8&amp;"+L"&amp;A9&amp;"+L"&amp;A15&amp;"+L"&amp;A21&amp;"+"</f>
        <v>L1+L2+L3+L4+L8+L12+</v>
      </c>
      <c r="I29" s="91"/>
      <c r="J29" s="121">
        <f>J6+ J7+J8+J9+J15+J21+J23+J24+J25+J26+J27</f>
        <v>3592926522.1736932</v>
      </c>
    </row>
    <row r="30" spans="1:10" x14ac:dyDescent="0.2">
      <c r="A30" s="99"/>
      <c r="B30" s="91"/>
      <c r="C30" s="91"/>
      <c r="D30" s="91"/>
      <c r="E30" s="91"/>
      <c r="F30" s="91"/>
      <c r="G30" s="91"/>
      <c r="H30" s="91" t="str">
        <f>"L"&amp;A23&amp;"+L"&amp;A24&amp;"+L"&amp;A25&amp;"+L"&amp;A26&amp;"+L"&amp;A27&amp;""</f>
        <v>L13+L14+L15+L15a+L16</v>
      </c>
      <c r="I30" s="91"/>
      <c r="J30" s="121"/>
    </row>
    <row r="31" spans="1:10" x14ac:dyDescent="0.2">
      <c r="A31" s="99"/>
      <c r="B31" s="111" t="s">
        <v>72</v>
      </c>
      <c r="D31" s="91"/>
      <c r="E31" s="91"/>
      <c r="F31" s="91"/>
      <c r="G31" s="91"/>
      <c r="H31" s="91"/>
      <c r="I31" s="91"/>
      <c r="J31" s="121"/>
    </row>
    <row r="32" spans="1:10" x14ac:dyDescent="0.2">
      <c r="A32" s="112" t="s">
        <v>42</v>
      </c>
      <c r="B32" s="91"/>
      <c r="C32" s="111"/>
      <c r="D32" s="91"/>
      <c r="E32" s="91"/>
      <c r="F32" s="91"/>
      <c r="G32" s="91"/>
      <c r="H32" s="91"/>
      <c r="I32" s="91"/>
      <c r="J32" s="121"/>
    </row>
    <row r="33" spans="1:10" x14ac:dyDescent="0.2">
      <c r="A33" s="99">
        <f>A29+1</f>
        <v>18</v>
      </c>
      <c r="B33" s="91"/>
      <c r="C33" s="91" t="s">
        <v>73</v>
      </c>
      <c r="D33" s="91"/>
      <c r="E33" s="91"/>
      <c r="F33" s="91"/>
      <c r="G33" s="102" t="s">
        <v>74</v>
      </c>
      <c r="H33" s="102" t="str">
        <f>"Instruction 1, Line "&amp;B97&amp;""</f>
        <v>Instruction 1, Line j</v>
      </c>
      <c r="I33" s="91"/>
      <c r="J33" s="205">
        <f>E97</f>
        <v>7.4939768533993673E-2</v>
      </c>
    </row>
    <row r="34" spans="1:10" x14ac:dyDescent="0.2">
      <c r="A34" s="94">
        <f>A33+1</f>
        <v>19</v>
      </c>
      <c r="C34" s="102" t="s">
        <v>75</v>
      </c>
      <c r="D34" s="102"/>
      <c r="E34" s="102"/>
      <c r="F34" s="102"/>
      <c r="G34" s="102"/>
      <c r="H34" t="str">
        <f>"Line "&amp;A29&amp;" * Line "&amp;A33&amp;""</f>
        <v>Line 17 * Line 18</v>
      </c>
      <c r="J34" s="180">
        <f>J29*J33</f>
        <v>269253081.93134344</v>
      </c>
    </row>
    <row r="35" spans="1:10" x14ac:dyDescent="0.2">
      <c r="A35" s="94"/>
      <c r="B35" s="96"/>
      <c r="J35" s="120"/>
    </row>
    <row r="36" spans="1:10" x14ac:dyDescent="0.2">
      <c r="A36" s="94"/>
      <c r="B36" s="90" t="s">
        <v>76</v>
      </c>
      <c r="J36" s="120"/>
    </row>
    <row r="37" spans="1:10" x14ac:dyDescent="0.2">
      <c r="A37" s="99"/>
      <c r="B37" s="105"/>
      <c r="C37" s="91"/>
      <c r="D37" s="91"/>
      <c r="E37" s="91"/>
      <c r="F37" s="91"/>
      <c r="G37" s="91"/>
      <c r="H37" s="91"/>
      <c r="I37" s="91"/>
      <c r="J37" s="120"/>
    </row>
    <row r="38" spans="1:10" x14ac:dyDescent="0.2">
      <c r="A38" s="99">
        <f>A34+1</f>
        <v>20</v>
      </c>
      <c r="B38" s="91"/>
      <c r="C38" s="102" t="s">
        <v>77</v>
      </c>
      <c r="D38" s="91"/>
      <c r="E38" s="91"/>
      <c r="F38" s="91"/>
      <c r="G38" s="91"/>
      <c r="H38" s="91"/>
      <c r="I38" s="91"/>
      <c r="J38" s="121">
        <f>(((J29*J42) + J45) *(J43/(1-J43)))+(J44/(1-J43))</f>
        <v>126334544.75072378</v>
      </c>
    </row>
    <row r="39" spans="1:10" x14ac:dyDescent="0.2">
      <c r="A39" s="99"/>
      <c r="B39" s="91"/>
      <c r="C39" s="91"/>
      <c r="D39" s="91"/>
      <c r="E39" s="91"/>
      <c r="F39" s="91"/>
      <c r="G39" s="91"/>
      <c r="H39" s="91"/>
      <c r="I39" s="91"/>
      <c r="J39" s="119"/>
    </row>
    <row r="40" spans="1:10" x14ac:dyDescent="0.2">
      <c r="A40" s="99"/>
      <c r="B40" s="91"/>
      <c r="C40" s="91"/>
      <c r="D40" s="91" t="s">
        <v>78</v>
      </c>
      <c r="E40" s="91"/>
      <c r="F40" s="91"/>
      <c r="G40" s="91"/>
      <c r="H40" s="91"/>
      <c r="I40" s="91"/>
      <c r="J40" s="120"/>
    </row>
    <row r="41" spans="1:10" x14ac:dyDescent="0.2">
      <c r="A41" s="99">
        <f>A38+1</f>
        <v>21</v>
      </c>
      <c r="B41" s="91"/>
      <c r="C41" s="91"/>
      <c r="D41" s="105" t="s">
        <v>79</v>
      </c>
      <c r="E41" s="91"/>
      <c r="F41" s="91"/>
      <c r="G41" s="91"/>
      <c r="H41" s="91" t="str">
        <f>"Line "&amp;A29&amp;""</f>
        <v>Line 17</v>
      </c>
      <c r="I41" s="91"/>
      <c r="J41" s="121">
        <f>J29</f>
        <v>3592926522.1736932</v>
      </c>
    </row>
    <row r="42" spans="1:10" x14ac:dyDescent="0.2">
      <c r="A42" s="99">
        <f>A41+1</f>
        <v>22</v>
      </c>
      <c r="B42" s="91"/>
      <c r="C42" s="91"/>
      <c r="D42" s="104" t="s">
        <v>80</v>
      </c>
      <c r="E42" s="91"/>
      <c r="F42" s="91"/>
      <c r="G42" s="102" t="s">
        <v>81</v>
      </c>
      <c r="H42" s="102" t="str">
        <f>"Instruction 1, Line "&amp;B102&amp;""</f>
        <v>Instruction 1, Line k</v>
      </c>
      <c r="I42" s="91"/>
      <c r="J42" s="179">
        <f>E102</f>
        <v>5.0894444249508348E-2</v>
      </c>
    </row>
    <row r="43" spans="1:10" x14ac:dyDescent="0.2">
      <c r="A43" s="99">
        <f>A42+1</f>
        <v>23</v>
      </c>
      <c r="B43" s="91"/>
      <c r="C43" s="91"/>
      <c r="D43" s="105" t="s">
        <v>82</v>
      </c>
      <c r="E43" s="91"/>
      <c r="F43" s="91"/>
      <c r="G43" s="91"/>
      <c r="H43" s="91" t="s">
        <v>840</v>
      </c>
      <c r="I43" s="91"/>
      <c r="J43" s="179">
        <v>0.39936028204298801</v>
      </c>
    </row>
    <row r="44" spans="1:10" x14ac:dyDescent="0.2">
      <c r="A44" s="99">
        <f>A43+1</f>
        <v>24</v>
      </c>
      <c r="B44" s="91"/>
      <c r="C44" s="91"/>
      <c r="D44" s="105" t="s">
        <v>83</v>
      </c>
      <c r="E44" s="91"/>
      <c r="F44" s="91"/>
      <c r="G44" s="91"/>
      <c r="H44" s="91" t="s">
        <v>841</v>
      </c>
      <c r="I44" s="91"/>
      <c r="J44" s="121">
        <v>2086200</v>
      </c>
    </row>
    <row r="45" spans="1:10" x14ac:dyDescent="0.2">
      <c r="A45" s="99">
        <f>A44+1</f>
        <v>25</v>
      </c>
      <c r="B45" s="91"/>
      <c r="C45" s="91"/>
      <c r="D45" s="105" t="s">
        <v>84</v>
      </c>
      <c r="E45" s="91"/>
      <c r="F45" s="91"/>
      <c r="G45" s="91"/>
      <c r="H45" s="91" t="s">
        <v>842</v>
      </c>
      <c r="I45" s="91"/>
      <c r="J45" s="180">
        <v>1923888.67</v>
      </c>
    </row>
    <row r="46" spans="1:10" x14ac:dyDescent="0.2">
      <c r="A46" s="99"/>
      <c r="B46" s="105"/>
      <c r="C46" s="91"/>
      <c r="D46" s="91"/>
      <c r="E46" s="91"/>
      <c r="F46" s="91"/>
      <c r="G46" s="91"/>
      <c r="H46" s="91"/>
      <c r="I46" s="91"/>
      <c r="J46" s="120"/>
    </row>
    <row r="47" spans="1:10" x14ac:dyDescent="0.2">
      <c r="A47" s="99"/>
      <c r="B47" s="111" t="s">
        <v>85</v>
      </c>
      <c r="D47" s="91"/>
      <c r="E47" s="91"/>
      <c r="F47" s="91"/>
      <c r="G47" s="91"/>
      <c r="H47" s="91"/>
      <c r="I47" s="91"/>
      <c r="J47" s="120"/>
    </row>
    <row r="48" spans="1:10" x14ac:dyDescent="0.2">
      <c r="A48" s="99">
        <f>A45+1</f>
        <v>26</v>
      </c>
      <c r="B48" s="105"/>
      <c r="C48" s="91" t="s">
        <v>86</v>
      </c>
      <c r="D48" s="91"/>
      <c r="E48" s="91"/>
      <c r="F48" s="91"/>
      <c r="G48" s="91"/>
      <c r="H48" s="91" t="s">
        <v>843</v>
      </c>
      <c r="I48" s="91"/>
      <c r="J48" s="121">
        <v>79293871.968712866</v>
      </c>
    </row>
    <row r="49" spans="1:10" x14ac:dyDescent="0.2">
      <c r="A49" s="99">
        <f t="shared" ref="A49:A59" si="0">A48+1</f>
        <v>27</v>
      </c>
      <c r="B49" s="105"/>
      <c r="C49" s="102" t="s">
        <v>87</v>
      </c>
      <c r="D49" s="91"/>
      <c r="E49" s="91"/>
      <c r="F49" s="91"/>
      <c r="G49" s="91"/>
      <c r="H49" s="91" t="s">
        <v>844</v>
      </c>
      <c r="I49" s="91"/>
      <c r="J49" s="121">
        <v>33566946.039040156</v>
      </c>
    </row>
    <row r="50" spans="1:10" x14ac:dyDescent="0.2">
      <c r="A50" s="99">
        <f t="shared" si="0"/>
        <v>28</v>
      </c>
      <c r="B50" s="105"/>
      <c r="C50" s="91" t="s">
        <v>88</v>
      </c>
      <c r="D50" s="91"/>
      <c r="E50" s="91"/>
      <c r="F50" s="91"/>
      <c r="G50" s="91"/>
      <c r="H50" s="91" t="s">
        <v>845</v>
      </c>
      <c r="I50" s="91"/>
      <c r="J50" s="121">
        <v>617891</v>
      </c>
    </row>
    <row r="51" spans="1:10" x14ac:dyDescent="0.2">
      <c r="A51" s="99">
        <f t="shared" si="0"/>
        <v>29</v>
      </c>
      <c r="B51" s="105"/>
      <c r="C51" s="102" t="s">
        <v>89</v>
      </c>
      <c r="D51" s="91"/>
      <c r="E51" s="91"/>
      <c r="F51" s="91"/>
      <c r="G51" s="91"/>
      <c r="H51" s="91" t="s">
        <v>846</v>
      </c>
      <c r="I51" s="91"/>
      <c r="J51" s="121">
        <v>104154115.66586339</v>
      </c>
    </row>
    <row r="52" spans="1:10" x14ac:dyDescent="0.2">
      <c r="A52" s="99">
        <f t="shared" si="0"/>
        <v>30</v>
      </c>
      <c r="B52" s="105"/>
      <c r="C52" s="102" t="s">
        <v>90</v>
      </c>
      <c r="D52" s="91"/>
      <c r="E52" s="91"/>
      <c r="F52" s="91"/>
      <c r="G52" s="91"/>
      <c r="H52" s="91" t="s">
        <v>847</v>
      </c>
      <c r="I52" s="91"/>
      <c r="J52" s="121">
        <v>11028000</v>
      </c>
    </row>
    <row r="53" spans="1:10" x14ac:dyDescent="0.2">
      <c r="A53" s="99">
        <f t="shared" si="0"/>
        <v>31</v>
      </c>
      <c r="B53" s="105"/>
      <c r="C53" s="102" t="s">
        <v>91</v>
      </c>
      <c r="D53" s="91"/>
      <c r="E53" s="91"/>
      <c r="F53" s="91"/>
      <c r="G53" s="91"/>
      <c r="H53" s="91" t="s">
        <v>848</v>
      </c>
      <c r="I53" s="91"/>
      <c r="J53" s="121">
        <v>25259485.202809352</v>
      </c>
    </row>
    <row r="54" spans="1:10" x14ac:dyDescent="0.2">
      <c r="A54" s="99">
        <f t="shared" si="0"/>
        <v>32</v>
      </c>
      <c r="B54" s="105"/>
      <c r="C54" s="91" t="s">
        <v>92</v>
      </c>
      <c r="D54" s="91"/>
      <c r="E54" s="91"/>
      <c r="F54" s="91"/>
      <c r="G54" s="102"/>
      <c r="H54" s="91" t="s">
        <v>849</v>
      </c>
      <c r="I54" s="91"/>
      <c r="J54" s="122">
        <v>-49690435.298689716</v>
      </c>
    </row>
    <row r="55" spans="1:10" x14ac:dyDescent="0.2">
      <c r="A55" s="99">
        <f t="shared" si="0"/>
        <v>33</v>
      </c>
      <c r="B55" s="105"/>
      <c r="C55" s="91" t="s">
        <v>93</v>
      </c>
      <c r="D55" s="91"/>
      <c r="E55" s="91"/>
      <c r="F55" s="91"/>
      <c r="G55" s="91"/>
      <c r="H55" s="91" t="str">
        <f>"Line "&amp;A34&amp;""</f>
        <v>Line 19</v>
      </c>
      <c r="I55" s="91"/>
      <c r="J55" s="121">
        <f>J34</f>
        <v>269253081.93134344</v>
      </c>
    </row>
    <row r="56" spans="1:10" x14ac:dyDescent="0.2">
      <c r="A56" s="99">
        <f t="shared" si="0"/>
        <v>34</v>
      </c>
      <c r="B56" s="105"/>
      <c r="C56" s="91" t="s">
        <v>94</v>
      </c>
      <c r="D56" s="91"/>
      <c r="E56" s="91"/>
      <c r="F56" s="91"/>
      <c r="G56" s="91"/>
      <c r="H56" s="91" t="str">
        <f>"Line "&amp;A38&amp;""</f>
        <v>Line 20</v>
      </c>
      <c r="I56" s="91"/>
      <c r="J56" s="180">
        <f>J38</f>
        <v>126334544.75072378</v>
      </c>
    </row>
    <row r="57" spans="1:10" x14ac:dyDescent="0.2">
      <c r="A57" s="99">
        <f t="shared" si="0"/>
        <v>35</v>
      </c>
      <c r="B57" s="105"/>
      <c r="C57" s="102" t="s">
        <v>95</v>
      </c>
      <c r="D57" s="91"/>
      <c r="E57" s="91"/>
      <c r="F57" s="91"/>
      <c r="G57" s="91"/>
      <c r="H57" s="91" t="s">
        <v>850</v>
      </c>
      <c r="I57" s="91"/>
      <c r="J57" s="180">
        <v>0</v>
      </c>
    </row>
    <row r="58" spans="1:10" x14ac:dyDescent="0.2">
      <c r="A58" s="99">
        <f t="shared" si="0"/>
        <v>36</v>
      </c>
      <c r="B58" s="105"/>
      <c r="C58" s="48" t="s">
        <v>96</v>
      </c>
      <c r="D58" s="49"/>
      <c r="E58" s="91"/>
      <c r="F58" s="91"/>
      <c r="G58" s="91"/>
      <c r="H58" s="91" t="s">
        <v>851</v>
      </c>
      <c r="I58" s="91"/>
      <c r="J58" s="181">
        <v>0</v>
      </c>
    </row>
    <row r="59" spans="1:10" x14ac:dyDescent="0.2">
      <c r="A59" s="99">
        <f t="shared" si="0"/>
        <v>37</v>
      </c>
      <c r="B59" s="105"/>
      <c r="C59" s="102" t="s">
        <v>97</v>
      </c>
      <c r="D59" s="91"/>
      <c r="E59" s="91"/>
      <c r="F59" s="91"/>
      <c r="G59" s="91"/>
      <c r="H59" s="91" t="str">
        <f>"Sum Line "&amp;A48&amp;" to Line "&amp;A58&amp;""</f>
        <v>Sum Line 26 to Line 36</v>
      </c>
      <c r="I59" s="91"/>
      <c r="J59" s="122">
        <f>SUM(J48:J58)</f>
        <v>599817501.2598033</v>
      </c>
    </row>
    <row r="60" spans="1:10" x14ac:dyDescent="0.2">
      <c r="A60" s="99"/>
      <c r="B60" s="105"/>
      <c r="C60" s="91"/>
      <c r="D60" s="91"/>
      <c r="E60" s="91"/>
      <c r="F60" s="91"/>
      <c r="G60" s="91"/>
      <c r="H60" s="91"/>
      <c r="I60" s="91"/>
      <c r="J60" s="121"/>
    </row>
    <row r="61" spans="1:10" ht="12.75" customHeight="1" x14ac:dyDescent="0.2">
      <c r="A61" s="99">
        <f>A59+1</f>
        <v>38</v>
      </c>
      <c r="B61" s="105"/>
      <c r="C61" s="102" t="s">
        <v>98</v>
      </c>
      <c r="D61" s="91"/>
      <c r="E61" s="91"/>
      <c r="F61" s="91"/>
      <c r="G61" s="91"/>
      <c r="H61" s="91" t="s">
        <v>865</v>
      </c>
      <c r="I61" s="91"/>
      <c r="J61" s="121">
        <v>19216647.449030999</v>
      </c>
    </row>
    <row r="62" spans="1:10" x14ac:dyDescent="0.2">
      <c r="A62" s="99"/>
      <c r="B62" s="105"/>
      <c r="C62" s="102"/>
      <c r="D62" s="91"/>
      <c r="E62" s="91"/>
      <c r="F62" s="91"/>
      <c r="G62" s="91"/>
      <c r="H62" s="91"/>
      <c r="I62" s="91"/>
      <c r="J62" s="121"/>
    </row>
    <row r="63" spans="1:10" x14ac:dyDescent="0.2">
      <c r="A63" s="99">
        <f>A61+1</f>
        <v>39</v>
      </c>
      <c r="B63" s="105"/>
      <c r="C63" s="102" t="s">
        <v>99</v>
      </c>
      <c r="D63" s="91"/>
      <c r="E63" s="91"/>
      <c r="F63" s="91"/>
      <c r="G63" s="91"/>
      <c r="H63" s="91" t="str">
        <f>"Line "&amp;A59&amp;" + Line "&amp;A61&amp;""</f>
        <v>Line 37 + Line 38</v>
      </c>
      <c r="I63" s="91"/>
      <c r="J63" s="122">
        <f>J59+J61</f>
        <v>619034148.70883429</v>
      </c>
    </row>
    <row r="64" spans="1:10" x14ac:dyDescent="0.2">
      <c r="A64" s="99"/>
      <c r="B64" s="105"/>
      <c r="C64" s="102"/>
      <c r="D64" s="91"/>
      <c r="E64" s="91"/>
      <c r="F64" s="91"/>
      <c r="G64" s="91"/>
      <c r="H64" s="91"/>
      <c r="I64" s="91"/>
      <c r="J64" s="101"/>
    </row>
    <row r="65" spans="1:13" x14ac:dyDescent="0.2">
      <c r="A65" s="99"/>
      <c r="B65" s="123" t="s">
        <v>100</v>
      </c>
      <c r="C65" s="102"/>
      <c r="D65" s="91"/>
      <c r="E65" s="91"/>
      <c r="F65" s="91"/>
      <c r="G65" s="91"/>
      <c r="H65" s="91"/>
      <c r="I65" s="91"/>
      <c r="J65" s="101"/>
    </row>
    <row r="66" spans="1:13" ht="13.5" thickBot="1" x14ac:dyDescent="0.25">
      <c r="A66" s="95" t="s">
        <v>42</v>
      </c>
      <c r="B66" s="124"/>
      <c r="G66" s="97" t="s">
        <v>101</v>
      </c>
    </row>
    <row r="67" spans="1:13" x14ac:dyDescent="0.2">
      <c r="A67" s="99">
        <f>A63+1</f>
        <v>40</v>
      </c>
      <c r="B67" s="110"/>
      <c r="C67" s="91"/>
      <c r="D67" s="125" t="s">
        <v>102</v>
      </c>
      <c r="E67" s="122">
        <f>J63</f>
        <v>619034148.70883429</v>
      </c>
      <c r="F67" s="91"/>
      <c r="G67" s="91" t="str">
        <f>"Line "&amp;A63&amp;""</f>
        <v>Line 39</v>
      </c>
      <c r="H67" s="91"/>
      <c r="I67" s="91"/>
      <c r="J67" s="126" t="s">
        <v>103</v>
      </c>
    </row>
    <row r="68" spans="1:13" x14ac:dyDescent="0.2">
      <c r="A68" s="99">
        <f>A67+1</f>
        <v>41</v>
      </c>
      <c r="B68" s="110"/>
      <c r="C68" s="91"/>
      <c r="D68" s="125" t="s">
        <v>104</v>
      </c>
      <c r="E68" s="182">
        <v>9.1427999999999995E-3</v>
      </c>
      <c r="F68" s="91"/>
      <c r="G68" s="91" t="s">
        <v>866</v>
      </c>
      <c r="H68" s="91"/>
      <c r="I68" s="91"/>
      <c r="J68" s="128" t="s">
        <v>297</v>
      </c>
    </row>
    <row r="69" spans="1:13" x14ac:dyDescent="0.2">
      <c r="A69" s="99">
        <f>A68+1</f>
        <v>42</v>
      </c>
      <c r="B69" s="110"/>
      <c r="C69" s="91"/>
      <c r="D69" s="130" t="s">
        <v>105</v>
      </c>
      <c r="E69" s="122">
        <v>5659705.4148151297</v>
      </c>
      <c r="F69" s="91"/>
      <c r="G69" s="91" t="str">
        <f>"Line "&amp;A67&amp;" * Line "&amp;A68&amp;""</f>
        <v>Line 40 * Line 41</v>
      </c>
      <c r="H69" s="91"/>
      <c r="I69" s="91"/>
      <c r="J69" s="131">
        <f>E72</f>
        <v>625965474.07192719</v>
      </c>
      <c r="L69" s="206"/>
    </row>
    <row r="70" spans="1:13" x14ac:dyDescent="0.2">
      <c r="A70" s="99">
        <f>A69+1</f>
        <v>43</v>
      </c>
      <c r="B70" s="110"/>
      <c r="C70" s="91"/>
      <c r="D70" s="125" t="s">
        <v>106</v>
      </c>
      <c r="E70" s="182">
        <v>2.0541999999999999E-3</v>
      </c>
      <c r="F70" s="91"/>
      <c r="G70" s="91" t="s">
        <v>866</v>
      </c>
      <c r="H70" s="91"/>
      <c r="I70" s="91"/>
      <c r="J70" s="132">
        <v>625974103.22264624</v>
      </c>
      <c r="L70" s="208"/>
      <c r="M70" s="164"/>
    </row>
    <row r="71" spans="1:13" ht="13.5" thickBot="1" x14ac:dyDescent="0.25">
      <c r="A71" s="99">
        <f>A70+1</f>
        <v>44</v>
      </c>
      <c r="B71" s="110"/>
      <c r="C71" s="91"/>
      <c r="D71" s="125" t="s">
        <v>107</v>
      </c>
      <c r="E71" s="122">
        <v>1271619.9482776874</v>
      </c>
      <c r="F71" s="91"/>
      <c r="G71" s="91" t="str">
        <f>"Line "&amp;A69&amp;" * Line "&amp;A70&amp;""</f>
        <v>Line 42 * Line 43</v>
      </c>
      <c r="H71" s="91"/>
      <c r="I71" s="120"/>
      <c r="J71" s="133">
        <f>J69-J70</f>
        <v>-8629.1507190465927</v>
      </c>
      <c r="L71" s="149"/>
    </row>
    <row r="72" spans="1:13" x14ac:dyDescent="0.2">
      <c r="A72" s="99">
        <f>A71+1</f>
        <v>45</v>
      </c>
      <c r="B72" s="110"/>
      <c r="C72" s="91"/>
      <c r="D72" s="125" t="s">
        <v>108</v>
      </c>
      <c r="E72" s="122">
        <f>E67+E69+E71</f>
        <v>625965474.07192719</v>
      </c>
      <c r="F72" s="91"/>
      <c r="G72" s="91" t="str">
        <f>"L "&amp;A67&amp;" + L "&amp;A69&amp;" + L "&amp;A71&amp;""</f>
        <v>L 40 + L 42 + L 44</v>
      </c>
      <c r="H72" s="91"/>
      <c r="I72" s="91"/>
      <c r="J72" s="91"/>
    </row>
    <row r="73" spans="1:13" x14ac:dyDescent="0.2">
      <c r="A73" s="91"/>
      <c r="B73" s="134" t="s">
        <v>109</v>
      </c>
      <c r="C73" s="91"/>
      <c r="D73" s="130"/>
      <c r="E73" s="101"/>
      <c r="F73" s="91"/>
      <c r="G73" s="91"/>
      <c r="H73" s="50"/>
      <c r="I73" s="91"/>
      <c r="J73" s="91"/>
    </row>
    <row r="74" spans="1:13" x14ac:dyDescent="0.2">
      <c r="A74" s="99"/>
      <c r="B74" s="102" t="s">
        <v>110</v>
      </c>
      <c r="C74" s="123"/>
      <c r="D74" s="130"/>
      <c r="E74" s="101"/>
      <c r="F74" s="91"/>
      <c r="G74" s="91"/>
      <c r="H74" s="91"/>
      <c r="I74" s="91"/>
      <c r="J74" s="91"/>
    </row>
    <row r="75" spans="1:13" x14ac:dyDescent="0.2">
      <c r="A75" s="99"/>
      <c r="B75" s="102" t="s">
        <v>111</v>
      </c>
      <c r="C75" s="123"/>
      <c r="D75" s="130"/>
      <c r="E75" s="101"/>
      <c r="F75" s="91"/>
      <c r="G75" s="91"/>
      <c r="H75" s="91"/>
      <c r="I75" s="91"/>
      <c r="J75" s="91"/>
    </row>
    <row r="76" spans="1:13" x14ac:dyDescent="0.2">
      <c r="A76" s="99"/>
      <c r="B76" s="100" t="s">
        <v>112</v>
      </c>
      <c r="C76" s="102"/>
      <c r="D76" s="130"/>
      <c r="E76" s="101"/>
      <c r="F76" s="91"/>
      <c r="G76" s="91"/>
      <c r="H76" s="91"/>
      <c r="I76" s="91"/>
      <c r="J76" s="91"/>
    </row>
    <row r="77" spans="1:13" x14ac:dyDescent="0.2">
      <c r="A77" s="99"/>
      <c r="B77" s="100" t="s">
        <v>113</v>
      </c>
      <c r="C77" s="91"/>
      <c r="D77" s="130"/>
      <c r="E77" s="101"/>
      <c r="F77" s="91"/>
      <c r="G77" s="91"/>
      <c r="H77" s="91"/>
      <c r="I77" s="91"/>
      <c r="J77" s="91"/>
    </row>
    <row r="78" spans="1:13" x14ac:dyDescent="0.2">
      <c r="A78" s="99"/>
      <c r="B78" s="91"/>
      <c r="C78" s="91"/>
      <c r="D78" s="91"/>
      <c r="E78" s="91"/>
      <c r="F78" s="91"/>
      <c r="G78" s="91"/>
      <c r="H78" s="91"/>
      <c r="I78" s="91"/>
      <c r="J78" s="91"/>
    </row>
    <row r="79" spans="1:13" x14ac:dyDescent="0.2">
      <c r="A79" s="99"/>
      <c r="B79" s="102" t="s">
        <v>114</v>
      </c>
      <c r="C79" s="91"/>
      <c r="D79" s="91"/>
      <c r="E79" s="91"/>
      <c r="F79" s="91"/>
      <c r="G79" s="91"/>
      <c r="H79" s="91"/>
      <c r="I79" s="91"/>
      <c r="J79" s="91"/>
    </row>
    <row r="80" spans="1:13" x14ac:dyDescent="0.2">
      <c r="A80" s="99"/>
      <c r="B80" s="102"/>
      <c r="C80" s="102" t="s">
        <v>115</v>
      </c>
      <c r="D80" s="91"/>
      <c r="E80" s="91"/>
      <c r="F80" s="91"/>
      <c r="G80" s="91"/>
      <c r="H80" s="91"/>
      <c r="I80" s="91"/>
      <c r="J80" s="91"/>
    </row>
    <row r="81" spans="1:12" x14ac:dyDescent="0.2">
      <c r="A81" s="99"/>
      <c r="B81" s="102"/>
      <c r="C81" s="91"/>
      <c r="D81" s="91"/>
      <c r="E81" s="91"/>
      <c r="F81" s="91"/>
      <c r="G81" s="91"/>
      <c r="H81" s="91"/>
      <c r="I81" s="91"/>
      <c r="J81" s="99" t="s">
        <v>116</v>
      </c>
    </row>
    <row r="82" spans="1:12" x14ac:dyDescent="0.2">
      <c r="A82" s="99"/>
      <c r="B82" s="91"/>
      <c r="C82" s="91"/>
      <c r="D82" s="91"/>
      <c r="E82" s="135" t="s">
        <v>117</v>
      </c>
      <c r="F82" s="136" t="s">
        <v>101</v>
      </c>
      <c r="G82" s="135" t="s">
        <v>118</v>
      </c>
      <c r="H82" s="135" t="s">
        <v>119</v>
      </c>
      <c r="I82" s="91"/>
      <c r="J82" s="135" t="s">
        <v>120</v>
      </c>
    </row>
    <row r="83" spans="1:12" x14ac:dyDescent="0.2">
      <c r="B83" s="137" t="s">
        <v>121</v>
      </c>
      <c r="C83" s="102" t="s">
        <v>122</v>
      </c>
      <c r="D83" s="91"/>
      <c r="E83" s="138">
        <v>9.8000000000000004E-2</v>
      </c>
      <c r="F83" s="91" t="s">
        <v>852</v>
      </c>
      <c r="G83" s="139" t="s">
        <v>298</v>
      </c>
      <c r="H83" s="140" t="s">
        <v>299</v>
      </c>
      <c r="I83" s="102"/>
      <c r="J83" s="141">
        <v>366</v>
      </c>
      <c r="K83" s="102"/>
      <c r="L83" s="102"/>
    </row>
    <row r="84" spans="1:12" x14ac:dyDescent="0.2">
      <c r="B84" s="137" t="s">
        <v>123</v>
      </c>
      <c r="C84" s="102" t="s">
        <v>124</v>
      </c>
      <c r="D84" s="91"/>
      <c r="E84" s="142">
        <v>9.8000000000000004E-2</v>
      </c>
      <c r="F84" s="143" t="s">
        <v>125</v>
      </c>
      <c r="G84" s="140" t="s">
        <v>126</v>
      </c>
      <c r="H84" s="140" t="s">
        <v>126</v>
      </c>
      <c r="I84" s="102"/>
      <c r="J84" s="141">
        <v>0</v>
      </c>
      <c r="K84" s="102"/>
      <c r="L84" s="102"/>
    </row>
    <row r="85" spans="1:12" x14ac:dyDescent="0.2">
      <c r="B85" s="137" t="s">
        <v>127</v>
      </c>
      <c r="C85" s="102"/>
      <c r="D85" s="91"/>
      <c r="E85" s="144"/>
      <c r="F85" s="143"/>
      <c r="G85" s="145"/>
      <c r="H85" s="145"/>
      <c r="I85" s="125" t="s">
        <v>128</v>
      </c>
      <c r="J85" s="102">
        <f>SUM(J83:J84)</f>
        <v>366</v>
      </c>
      <c r="K85" s="102"/>
      <c r="L85" s="102"/>
    </row>
    <row r="86" spans="1:12" x14ac:dyDescent="0.2">
      <c r="A86" s="91"/>
      <c r="B86" s="137" t="s">
        <v>129</v>
      </c>
      <c r="C86" s="102" t="s">
        <v>130</v>
      </c>
      <c r="D86" s="91"/>
      <c r="E86" s="138">
        <f>((E83*J83) + (E84* J84)) / J85</f>
        <v>9.8000000000000004E-2</v>
      </c>
      <c r="F86" s="102" t="s">
        <v>131</v>
      </c>
      <c r="G86" s="91"/>
      <c r="H86" s="102"/>
      <c r="I86" s="102"/>
      <c r="J86" s="102"/>
      <c r="K86" s="102"/>
      <c r="L86" s="102"/>
    </row>
    <row r="87" spans="1:12" x14ac:dyDescent="0.2">
      <c r="A87" s="99"/>
      <c r="B87" s="102"/>
      <c r="C87" s="91"/>
      <c r="D87" s="91"/>
      <c r="E87" s="91"/>
      <c r="F87" s="91"/>
      <c r="G87" s="91"/>
      <c r="H87" s="102"/>
      <c r="I87" s="102"/>
      <c r="J87" s="102"/>
      <c r="K87" s="102"/>
      <c r="L87" s="102"/>
    </row>
    <row r="88" spans="1:12" x14ac:dyDescent="0.2">
      <c r="A88" s="99"/>
      <c r="B88" s="102" t="s">
        <v>132</v>
      </c>
      <c r="C88" s="91"/>
      <c r="D88" s="91"/>
      <c r="E88" s="91"/>
      <c r="F88" s="91"/>
      <c r="G88" s="91"/>
      <c r="H88" s="102"/>
      <c r="I88" s="102"/>
      <c r="J88" s="102"/>
      <c r="K88" s="102"/>
      <c r="L88" s="102"/>
    </row>
    <row r="89" spans="1:12" x14ac:dyDescent="0.2">
      <c r="A89" s="99"/>
      <c r="B89" s="102"/>
      <c r="C89" s="91"/>
      <c r="D89" s="91"/>
      <c r="E89" s="136" t="s">
        <v>101</v>
      </c>
      <c r="F89" s="91"/>
      <c r="G89" s="91"/>
      <c r="H89" s="102"/>
      <c r="I89" s="102"/>
      <c r="J89" s="102"/>
      <c r="K89" s="102"/>
      <c r="L89" s="102"/>
    </row>
    <row r="90" spans="1:12" x14ac:dyDescent="0.2">
      <c r="A90" s="91"/>
      <c r="B90" s="137" t="s">
        <v>133</v>
      </c>
      <c r="C90" s="102" t="s">
        <v>134</v>
      </c>
      <c r="D90" s="91"/>
      <c r="E90" s="146" t="s">
        <v>135</v>
      </c>
      <c r="F90" s="146"/>
      <c r="G90" s="146"/>
      <c r="H90" s="141"/>
      <c r="I90" s="141"/>
      <c r="J90" s="141"/>
      <c r="K90" s="102"/>
      <c r="L90" s="102"/>
    </row>
    <row r="91" spans="1:12" x14ac:dyDescent="0.2">
      <c r="B91" s="137" t="s">
        <v>136</v>
      </c>
      <c r="C91" s="102" t="s">
        <v>137</v>
      </c>
      <c r="D91" s="91"/>
      <c r="E91" s="146" t="s">
        <v>135</v>
      </c>
      <c r="F91" s="146"/>
      <c r="G91" s="146"/>
      <c r="H91" s="141"/>
      <c r="I91" s="141"/>
      <c r="J91" s="141"/>
      <c r="K91" s="102"/>
      <c r="L91" s="102"/>
    </row>
    <row r="92" spans="1:12" x14ac:dyDescent="0.2">
      <c r="B92" s="91"/>
      <c r="C92" s="102"/>
      <c r="D92" s="91"/>
      <c r="E92" s="145"/>
      <c r="F92" s="91"/>
      <c r="G92" s="91"/>
      <c r="H92" s="91"/>
      <c r="I92" s="102"/>
      <c r="J92" s="102"/>
      <c r="K92" s="102"/>
      <c r="L92" s="102"/>
    </row>
    <row r="93" spans="1:12" x14ac:dyDescent="0.2">
      <c r="B93" s="91"/>
      <c r="C93" s="91"/>
      <c r="D93" s="91"/>
      <c r="E93" s="135" t="s">
        <v>117</v>
      </c>
      <c r="F93" s="136" t="s">
        <v>101</v>
      </c>
      <c r="G93" s="91"/>
      <c r="H93" s="102"/>
      <c r="I93" s="102"/>
      <c r="J93" s="91"/>
    </row>
    <row r="94" spans="1:12" x14ac:dyDescent="0.2">
      <c r="B94" s="137" t="s">
        <v>138</v>
      </c>
      <c r="C94" s="102" t="s">
        <v>139</v>
      </c>
      <c r="D94" s="102"/>
      <c r="E94" s="115">
        <v>2.4045324284485321E-2</v>
      </c>
      <c r="F94" s="91" t="s">
        <v>853</v>
      </c>
      <c r="G94" s="91"/>
      <c r="H94" s="102"/>
      <c r="I94" s="102"/>
      <c r="J94" s="91"/>
    </row>
    <row r="95" spans="1:12" x14ac:dyDescent="0.2">
      <c r="B95" s="137" t="s">
        <v>140</v>
      </c>
      <c r="C95" s="102" t="s">
        <v>141</v>
      </c>
      <c r="D95" s="91"/>
      <c r="E95" s="115">
        <v>4.728922057773889E-3</v>
      </c>
      <c r="F95" s="91" t="s">
        <v>854</v>
      </c>
      <c r="G95" s="91"/>
      <c r="H95" s="102"/>
      <c r="I95" s="102"/>
      <c r="J95" s="91"/>
    </row>
    <row r="96" spans="1:12" x14ac:dyDescent="0.2">
      <c r="B96" s="137" t="s">
        <v>142</v>
      </c>
      <c r="C96" s="102" t="s">
        <v>143</v>
      </c>
      <c r="D96" s="91"/>
      <c r="E96" s="207">
        <v>4.6165522191734462E-2</v>
      </c>
      <c r="F96" s="91" t="s">
        <v>855</v>
      </c>
      <c r="G96" s="102"/>
      <c r="H96" s="102"/>
      <c r="I96" s="91"/>
      <c r="J96" s="91"/>
    </row>
    <row r="97" spans="1:10" x14ac:dyDescent="0.2">
      <c r="A97" s="91"/>
      <c r="B97" s="99" t="s">
        <v>144</v>
      </c>
      <c r="C97" s="104" t="s">
        <v>73</v>
      </c>
      <c r="D97" s="91"/>
      <c r="E97" s="113">
        <f>SUM(E94:E96)</f>
        <v>7.4939768533993673E-2</v>
      </c>
      <c r="F97" s="101" t="str">
        <f>"Sum of Lines "&amp;B91&amp;" to "&amp;B95&amp;""</f>
        <v>Sum of Lines f to h</v>
      </c>
      <c r="G97" s="147"/>
      <c r="H97" s="91"/>
      <c r="I97" s="91"/>
      <c r="J97" s="148"/>
    </row>
    <row r="98" spans="1:10" x14ac:dyDescent="0.2">
      <c r="A98" s="99"/>
      <c r="B98" s="91"/>
      <c r="C98" s="51"/>
      <c r="D98" s="52"/>
      <c r="E98" s="101"/>
      <c r="F98" s="101"/>
      <c r="G98" s="147"/>
      <c r="H98" s="101"/>
      <c r="I98" s="91"/>
      <c r="J98" s="148"/>
    </row>
    <row r="99" spans="1:10" x14ac:dyDescent="0.2">
      <c r="A99" s="99"/>
      <c r="B99" s="102" t="s">
        <v>145</v>
      </c>
      <c r="C99" s="91"/>
      <c r="D99" s="91"/>
      <c r="E99" s="91"/>
      <c r="F99" s="91"/>
      <c r="G99" s="91"/>
      <c r="H99" s="91"/>
      <c r="I99" s="91"/>
      <c r="J99" s="91"/>
    </row>
    <row r="100" spans="1:10" x14ac:dyDescent="0.2">
      <c r="A100" s="99"/>
      <c r="B100" s="91"/>
      <c r="C100" s="91"/>
      <c r="D100" s="91"/>
      <c r="E100" s="91"/>
      <c r="F100" s="91"/>
      <c r="G100" s="91"/>
      <c r="H100" s="91"/>
      <c r="I100" s="91"/>
      <c r="J100" s="91"/>
    </row>
    <row r="101" spans="1:10" x14ac:dyDescent="0.2">
      <c r="A101" s="99"/>
      <c r="B101" s="91"/>
      <c r="C101" s="91"/>
      <c r="D101" s="91"/>
      <c r="E101" s="135" t="s">
        <v>117</v>
      </c>
      <c r="F101" s="136" t="s">
        <v>101</v>
      </c>
      <c r="G101" s="91"/>
      <c r="H101" s="91"/>
      <c r="I101" s="91"/>
      <c r="J101" s="91"/>
    </row>
    <row r="102" spans="1:10" x14ac:dyDescent="0.2">
      <c r="A102" s="91"/>
      <c r="B102" s="137" t="s">
        <v>146</v>
      </c>
      <c r="C102" s="91"/>
      <c r="D102" s="91"/>
      <c r="E102" s="115">
        <f>E95+E96</f>
        <v>5.0894444249508348E-2</v>
      </c>
      <c r="F102" s="101" t="str">
        <f>"Sum of Lines "&amp;B94&amp;" to "&amp;B95&amp;""</f>
        <v>Sum of Lines g to h</v>
      </c>
      <c r="G102" s="91"/>
      <c r="H102" s="91"/>
      <c r="I102" s="91"/>
      <c r="J102" s="91"/>
    </row>
    <row r="103" spans="1:10" x14ac:dyDescent="0.2">
      <c r="A103" s="99"/>
      <c r="B103" s="91"/>
      <c r="C103" s="91"/>
      <c r="D103" s="91"/>
      <c r="E103" s="115"/>
      <c r="F103" s="101"/>
      <c r="G103" s="91"/>
      <c r="H103" s="91"/>
      <c r="I103" s="91"/>
      <c r="J103" s="91"/>
    </row>
    <row r="104" spans="1:10" x14ac:dyDescent="0.2">
      <c r="A104" s="99"/>
      <c r="B104" s="100" t="s">
        <v>147</v>
      </c>
      <c r="C104" s="91"/>
      <c r="D104" s="91"/>
      <c r="E104" s="147"/>
      <c r="F104" s="147"/>
      <c r="G104" s="147"/>
      <c r="H104" s="101"/>
      <c r="I104" s="91"/>
      <c r="J104" s="91"/>
    </row>
    <row r="105" spans="1:10" x14ac:dyDescent="0.2">
      <c r="A105" s="99"/>
      <c r="B105" s="143" t="s">
        <v>148</v>
      </c>
      <c r="C105" s="91"/>
      <c r="D105" s="91"/>
      <c r="E105" s="91"/>
      <c r="F105" s="91"/>
      <c r="G105" s="91"/>
      <c r="H105" s="91"/>
      <c r="I105" s="91"/>
      <c r="J105" s="91"/>
    </row>
    <row r="106" spans="1:10" x14ac:dyDescent="0.2">
      <c r="A106" s="94"/>
      <c r="B106" s="143" t="s">
        <v>149</v>
      </c>
      <c r="C106" s="91"/>
      <c r="D106" s="99"/>
      <c r="E106" s="99"/>
      <c r="F106" s="99"/>
      <c r="G106" s="99"/>
      <c r="H106" s="99"/>
      <c r="I106" s="91"/>
      <c r="J106" s="91"/>
    </row>
    <row r="107" spans="1:10" x14ac:dyDescent="0.2">
      <c r="A107" s="94"/>
      <c r="B107" s="100" t="s">
        <v>150</v>
      </c>
      <c r="C107" s="91"/>
      <c r="D107" s="99"/>
      <c r="E107" s="99"/>
      <c r="F107" s="99"/>
      <c r="G107" s="99"/>
      <c r="H107" s="99"/>
      <c r="I107" s="91"/>
      <c r="J107" s="91"/>
    </row>
    <row r="108" spans="1:10" x14ac:dyDescent="0.2">
      <c r="A108" s="94"/>
      <c r="B108" s="91" t="s">
        <v>151</v>
      </c>
      <c r="C108" s="53"/>
      <c r="D108" s="53"/>
      <c r="E108" s="135"/>
      <c r="F108" s="135"/>
      <c r="G108" s="135"/>
      <c r="H108" s="135"/>
      <c r="I108" s="91"/>
      <c r="J108" s="91"/>
    </row>
    <row r="109" spans="1:10" x14ac:dyDescent="0.2">
      <c r="A109" s="94"/>
    </row>
    <row r="110" spans="1:10" x14ac:dyDescent="0.2">
      <c r="A110" s="94"/>
    </row>
    <row r="111" spans="1:10" x14ac:dyDescent="0.2">
      <c r="A111" s="94"/>
    </row>
    <row r="112" spans="1:10" x14ac:dyDescent="0.2">
      <c r="A112" s="94"/>
      <c r="C112" s="51"/>
      <c r="E112" s="101"/>
      <c r="F112" s="101"/>
      <c r="H112" s="149"/>
      <c r="J112" s="150"/>
    </row>
    <row r="113" spans="1:10" x14ac:dyDescent="0.2">
      <c r="A113" s="94"/>
      <c r="C113" s="51"/>
      <c r="E113" s="101"/>
      <c r="F113" s="101"/>
      <c r="H113" s="149"/>
      <c r="J113" s="150"/>
    </row>
    <row r="114" spans="1:10" x14ac:dyDescent="0.2">
      <c r="A114" s="95"/>
      <c r="C114" s="51"/>
      <c r="E114" s="101"/>
      <c r="F114" s="101"/>
      <c r="H114" s="149"/>
      <c r="J114" s="150"/>
    </row>
    <row r="115" spans="1:10" x14ac:dyDescent="0.2">
      <c r="A115" s="94"/>
      <c r="D115" s="54"/>
      <c r="E115" s="101"/>
      <c r="F115" s="101"/>
      <c r="G115" s="151"/>
      <c r="H115" s="149"/>
      <c r="J115" s="150"/>
    </row>
    <row r="116" spans="1:10" x14ac:dyDescent="0.2">
      <c r="A116" s="94"/>
      <c r="C116" s="51"/>
      <c r="D116" s="152"/>
      <c r="E116" s="153"/>
      <c r="F116" s="149"/>
      <c r="G116" s="151"/>
      <c r="H116" s="149"/>
      <c r="J116" s="150"/>
    </row>
    <row r="117" spans="1:10" x14ac:dyDescent="0.2">
      <c r="A117" s="94"/>
      <c r="C117" s="51"/>
      <c r="D117" s="152"/>
      <c r="E117" s="149"/>
      <c r="F117" s="149"/>
      <c r="G117" s="151"/>
      <c r="H117" s="149"/>
      <c r="J117" s="150"/>
    </row>
    <row r="118" spans="1:10" x14ac:dyDescent="0.2">
      <c r="A118" s="94"/>
    </row>
    <row r="119" spans="1:10" x14ac:dyDescent="0.2">
      <c r="A119" s="94"/>
      <c r="B119" s="90"/>
    </row>
    <row r="120" spans="1:10" x14ac:dyDescent="0.2">
      <c r="A120" s="94"/>
    </row>
    <row r="121" spans="1:10" x14ac:dyDescent="0.2">
      <c r="A121" s="94"/>
    </row>
    <row r="122" spans="1:10" x14ac:dyDescent="0.2">
      <c r="A122" s="94"/>
      <c r="F122" s="94"/>
    </row>
    <row r="123" spans="1:10" x14ac:dyDescent="0.2">
      <c r="A123" s="94"/>
      <c r="F123" s="94"/>
    </row>
    <row r="124" spans="1:10" x14ac:dyDescent="0.2">
      <c r="A124" s="94"/>
      <c r="D124" s="94"/>
      <c r="E124" s="94"/>
      <c r="F124" s="94"/>
      <c r="H124" s="94"/>
    </row>
    <row r="125" spans="1:10" x14ac:dyDescent="0.2">
      <c r="A125" s="94"/>
      <c r="D125" s="94"/>
      <c r="E125" s="94"/>
      <c r="F125" s="94"/>
      <c r="G125" s="94"/>
      <c r="H125" s="154"/>
    </row>
    <row r="126" spans="1:10" x14ac:dyDescent="0.2">
      <c r="A126" s="95"/>
      <c r="C126" s="55"/>
      <c r="D126" s="55"/>
      <c r="E126" s="98"/>
      <c r="F126" s="155"/>
      <c r="G126" s="98"/>
      <c r="H126" s="154"/>
    </row>
    <row r="127" spans="1:10" x14ac:dyDescent="0.2">
      <c r="A127" s="94"/>
      <c r="C127" s="56"/>
      <c r="D127" s="52"/>
      <c r="E127" s="101"/>
      <c r="F127" s="101"/>
      <c r="G127" s="138"/>
      <c r="H127" s="149"/>
    </row>
    <row r="128" spans="1:10" x14ac:dyDescent="0.2">
      <c r="A128" s="94"/>
      <c r="C128" s="51"/>
      <c r="D128" s="52"/>
      <c r="E128" s="101"/>
      <c r="F128" s="101"/>
      <c r="G128" s="138"/>
      <c r="H128" s="149"/>
    </row>
    <row r="129" spans="1:8" x14ac:dyDescent="0.2">
      <c r="A129" s="94"/>
      <c r="C129" s="51"/>
      <c r="D129" s="52"/>
      <c r="E129" s="101"/>
      <c r="F129" s="101"/>
      <c r="G129" s="138"/>
      <c r="H129" s="149"/>
    </row>
    <row r="130" spans="1:8" x14ac:dyDescent="0.2">
      <c r="A130" s="94"/>
      <c r="C130" s="56"/>
      <c r="D130" s="52"/>
      <c r="E130" s="101"/>
      <c r="F130" s="101"/>
      <c r="G130" s="138"/>
      <c r="H130" s="149"/>
    </row>
    <row r="131" spans="1:8" x14ac:dyDescent="0.2">
      <c r="A131" s="94"/>
      <c r="C131" s="51"/>
      <c r="D131" s="52"/>
      <c r="E131" s="101"/>
      <c r="F131" s="101"/>
      <c r="G131" s="138"/>
      <c r="H131" s="149"/>
    </row>
    <row r="132" spans="1:8" x14ac:dyDescent="0.2">
      <c r="A132" s="94"/>
      <c r="C132" s="51"/>
      <c r="D132" s="52"/>
      <c r="E132" s="101"/>
      <c r="F132" s="101"/>
      <c r="G132" s="138"/>
      <c r="H132" s="149"/>
    </row>
    <row r="133" spans="1:8" x14ac:dyDescent="0.2">
      <c r="A133" s="94"/>
      <c r="C133" s="56"/>
      <c r="D133" s="52"/>
      <c r="E133" s="101"/>
      <c r="F133" s="101"/>
      <c r="G133" s="138"/>
      <c r="H133" s="149"/>
    </row>
    <row r="134" spans="1:8" x14ac:dyDescent="0.2">
      <c r="A134" s="94"/>
      <c r="C134" s="51"/>
      <c r="D134" s="52"/>
      <c r="E134" s="101"/>
      <c r="F134" s="101"/>
      <c r="G134" s="138"/>
      <c r="H134" s="149"/>
    </row>
    <row r="135" spans="1:8" x14ac:dyDescent="0.2">
      <c r="A135" s="94"/>
      <c r="C135" s="51"/>
      <c r="D135" s="52"/>
      <c r="E135" s="101"/>
      <c r="F135" s="101"/>
      <c r="G135" s="138"/>
      <c r="H135" s="149"/>
    </row>
    <row r="136" spans="1:8" x14ac:dyDescent="0.2">
      <c r="A136" s="94"/>
      <c r="C136" s="56"/>
      <c r="D136" s="52"/>
      <c r="E136" s="101"/>
      <c r="F136" s="101"/>
      <c r="G136" s="138"/>
      <c r="H136" s="149"/>
    </row>
    <row r="137" spans="1:8" x14ac:dyDescent="0.2">
      <c r="A137" s="94"/>
      <c r="C137" s="56"/>
      <c r="D137" s="52"/>
      <c r="E137" s="101"/>
      <c r="F137" s="101"/>
      <c r="G137" s="138"/>
      <c r="H137" s="149"/>
    </row>
    <row r="138" spans="1:8" x14ac:dyDescent="0.2">
      <c r="A138" s="94"/>
      <c r="C138" s="51"/>
      <c r="D138" s="52"/>
      <c r="E138" s="101"/>
      <c r="F138" s="101"/>
      <c r="G138" s="138"/>
      <c r="H138" s="153"/>
    </row>
    <row r="139" spans="1:8" x14ac:dyDescent="0.2">
      <c r="A139" s="94"/>
      <c r="E139" s="91"/>
      <c r="F139" s="91"/>
      <c r="G139" s="91"/>
      <c r="H139" s="149"/>
    </row>
    <row r="140" spans="1:8" x14ac:dyDescent="0.2">
      <c r="A140" s="94"/>
      <c r="C140" s="51"/>
      <c r="D140" s="52"/>
      <c r="E140" s="91"/>
      <c r="F140" s="156"/>
      <c r="G140" s="138"/>
      <c r="H140" s="129"/>
    </row>
    <row r="141" spans="1:8" x14ac:dyDescent="0.2">
      <c r="A141" s="94"/>
      <c r="B141" s="90"/>
      <c r="C141" s="51"/>
      <c r="D141" s="52"/>
      <c r="E141" s="91"/>
      <c r="F141" s="156"/>
      <c r="G141" s="138"/>
      <c r="H141" s="129"/>
    </row>
    <row r="142" spans="1:8" x14ac:dyDescent="0.2">
      <c r="A142" s="95"/>
      <c r="B142" s="90"/>
      <c r="C142" s="51"/>
      <c r="D142" s="52"/>
      <c r="E142" s="91"/>
      <c r="F142" s="156"/>
      <c r="G142" s="138"/>
      <c r="H142" s="129"/>
    </row>
    <row r="143" spans="1:8" x14ac:dyDescent="0.2">
      <c r="A143" s="94"/>
      <c r="C143" s="51"/>
      <c r="D143" s="57"/>
      <c r="E143" s="101"/>
      <c r="F143" s="157"/>
      <c r="G143" s="138"/>
      <c r="H143" s="129"/>
    </row>
    <row r="144" spans="1:8" x14ac:dyDescent="0.2">
      <c r="A144" s="94"/>
      <c r="C144" s="51"/>
      <c r="D144" s="158"/>
      <c r="E144" s="101"/>
      <c r="F144" s="157"/>
      <c r="G144" s="138"/>
      <c r="H144" s="129"/>
    </row>
    <row r="145" spans="1:10" x14ac:dyDescent="0.2">
      <c r="A145" s="94"/>
      <c r="C145" s="51"/>
      <c r="D145" s="158"/>
      <c r="E145" s="153"/>
      <c r="F145" s="159"/>
      <c r="G145" s="138"/>
      <c r="H145" s="129"/>
    </row>
    <row r="146" spans="1:10" x14ac:dyDescent="0.2">
      <c r="A146" s="94"/>
      <c r="C146" s="51"/>
      <c r="D146" s="57"/>
      <c r="E146" s="149"/>
      <c r="F146" s="129"/>
      <c r="G146" s="138"/>
      <c r="H146" s="129"/>
    </row>
    <row r="147" spans="1:10" x14ac:dyDescent="0.2">
      <c r="A147" s="94"/>
      <c r="C147" s="51"/>
      <c r="D147" s="52"/>
      <c r="F147" s="129"/>
      <c r="G147" s="138"/>
      <c r="H147" s="129"/>
    </row>
    <row r="148" spans="1:10" x14ac:dyDescent="0.2">
      <c r="A148" s="94"/>
    </row>
    <row r="149" spans="1:10" x14ac:dyDescent="0.2">
      <c r="A149" s="94"/>
    </row>
    <row r="150" spans="1:10" x14ac:dyDescent="0.2">
      <c r="A150" s="94"/>
    </row>
    <row r="151" spans="1:10" x14ac:dyDescent="0.2">
      <c r="A151" s="94"/>
      <c r="B151" s="90"/>
    </row>
    <row r="152" spans="1:10" x14ac:dyDescent="0.2">
      <c r="A152" s="94"/>
      <c r="B152" s="151"/>
    </row>
    <row r="153" spans="1:10" x14ac:dyDescent="0.2">
      <c r="A153" s="94"/>
      <c r="B153" s="151"/>
    </row>
    <row r="154" spans="1:10" x14ac:dyDescent="0.2">
      <c r="A154" s="94"/>
      <c r="B154" s="151"/>
    </row>
    <row r="155" spans="1:10" x14ac:dyDescent="0.2">
      <c r="A155" s="94"/>
    </row>
    <row r="156" spans="1:10" x14ac:dyDescent="0.2">
      <c r="A156" s="94"/>
      <c r="B156" s="90"/>
    </row>
    <row r="157" spans="1:10" x14ac:dyDescent="0.2">
      <c r="A157" s="94"/>
    </row>
    <row r="158" spans="1:10" x14ac:dyDescent="0.2">
      <c r="A158" s="95"/>
      <c r="C158" s="55"/>
      <c r="D158" s="98"/>
      <c r="G158" s="91"/>
      <c r="H158" s="91"/>
      <c r="I158" s="91"/>
      <c r="J158" s="91"/>
    </row>
    <row r="159" spans="1:10" x14ac:dyDescent="0.2">
      <c r="A159" s="94"/>
      <c r="C159" s="56"/>
      <c r="D159" s="160"/>
      <c r="F159" s="161"/>
      <c r="G159" s="91"/>
      <c r="H159" s="91"/>
      <c r="I159" s="91"/>
      <c r="J159" s="91"/>
    </row>
    <row r="160" spans="1:10" x14ac:dyDescent="0.2">
      <c r="A160" s="94"/>
      <c r="C160" s="51"/>
      <c r="D160" s="160"/>
      <c r="F160" s="161"/>
      <c r="G160" s="91"/>
      <c r="H160" s="91"/>
      <c r="I160" s="91"/>
      <c r="J160" s="91"/>
    </row>
    <row r="161" spans="1:10" x14ac:dyDescent="0.2">
      <c r="A161" s="94"/>
      <c r="C161" s="51"/>
      <c r="D161" s="160"/>
      <c r="F161" s="161"/>
      <c r="G161" s="91"/>
      <c r="H161" s="91"/>
      <c r="I161" s="91"/>
      <c r="J161" s="91"/>
    </row>
    <row r="162" spans="1:10" x14ac:dyDescent="0.2">
      <c r="A162" s="94"/>
      <c r="C162" s="56"/>
      <c r="D162" s="160"/>
      <c r="F162" s="161"/>
      <c r="G162" s="91"/>
      <c r="H162" s="91"/>
      <c r="I162" s="91"/>
      <c r="J162" s="91"/>
    </row>
    <row r="163" spans="1:10" x14ac:dyDescent="0.2">
      <c r="A163" s="94"/>
      <c r="C163" s="51"/>
      <c r="D163" s="160"/>
      <c r="F163" s="161"/>
      <c r="G163" s="91"/>
      <c r="H163" s="91"/>
      <c r="I163" s="91"/>
      <c r="J163" s="91"/>
    </row>
    <row r="164" spans="1:10" x14ac:dyDescent="0.2">
      <c r="A164" s="94"/>
      <c r="C164" s="51"/>
      <c r="D164" s="160"/>
      <c r="F164" s="161"/>
      <c r="G164" s="91"/>
      <c r="H164" s="91"/>
      <c r="I164" s="91"/>
      <c r="J164" s="91"/>
    </row>
    <row r="165" spans="1:10" x14ac:dyDescent="0.2">
      <c r="A165" s="94"/>
      <c r="C165" s="56"/>
      <c r="D165" s="160"/>
      <c r="F165" s="161"/>
      <c r="G165" s="91"/>
      <c r="H165" s="91"/>
      <c r="I165" s="91"/>
      <c r="J165" s="91"/>
    </row>
    <row r="166" spans="1:10" x14ac:dyDescent="0.2">
      <c r="A166" s="94"/>
      <c r="C166" s="51"/>
      <c r="D166" s="160"/>
      <c r="F166" s="161"/>
      <c r="G166" s="91"/>
      <c r="H166" s="91"/>
      <c r="I166" s="91"/>
      <c r="J166" s="91"/>
    </row>
    <row r="167" spans="1:10" x14ac:dyDescent="0.2">
      <c r="A167" s="94"/>
      <c r="C167" s="51"/>
      <c r="D167" s="160"/>
      <c r="F167" s="161"/>
      <c r="G167" s="91"/>
      <c r="H167" s="91"/>
      <c r="I167" s="91"/>
      <c r="J167" s="91"/>
    </row>
    <row r="168" spans="1:10" x14ac:dyDescent="0.2">
      <c r="A168" s="94"/>
      <c r="C168" s="56"/>
      <c r="D168" s="160"/>
      <c r="F168" s="161"/>
      <c r="G168" s="91"/>
      <c r="H168" s="91"/>
      <c r="I168" s="91"/>
      <c r="J168" s="91"/>
    </row>
    <row r="169" spans="1:10" x14ac:dyDescent="0.2">
      <c r="A169" s="94"/>
      <c r="C169" s="56"/>
      <c r="D169" s="160"/>
      <c r="F169" s="161"/>
    </row>
    <row r="170" spans="1:10" x14ac:dyDescent="0.2">
      <c r="A170" s="94"/>
      <c r="C170" s="51"/>
      <c r="D170" s="162"/>
      <c r="F170" s="163"/>
    </row>
    <row r="171" spans="1:10" x14ac:dyDescent="0.2">
      <c r="A171" s="94"/>
      <c r="C171" s="54"/>
      <c r="D171" s="160"/>
    </row>
  </sheetData>
  <pageMargins left="0.75" right="0.75" top="1" bottom="1" header="0.5" footer="0.5"/>
  <pageSetup scale="80" orientation="landscape" cellComments="asDisplayed" r:id="rId1"/>
  <headerFooter alignWithMargins="0">
    <oddHeader>&amp;CSchedule 4
True Up TRR
(Revised 2012 True Up TRR)&amp;RTO2020 Annual Update
Attachment 4
WP-Schedule 3-One Time Adj Prior Period
Page &amp;P of &amp;N</oddHeader>
    <oddFooter>&amp;R&amp;A</oddFooter>
  </headerFooter>
  <rowBreaks count="4" manualBreakCount="4">
    <brk id="46" max="9" man="1"/>
    <brk id="72" max="16383" man="1"/>
    <brk id="118" max="9" man="1"/>
    <brk id="150"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T242"/>
  <sheetViews>
    <sheetView zoomScaleNormal="100" zoomScalePageLayoutView="80" workbookViewId="0">
      <selection activeCell="A3" sqref="A3"/>
    </sheetView>
  </sheetViews>
  <sheetFormatPr defaultRowHeight="12.75" x14ac:dyDescent="0.2"/>
  <cols>
    <col min="1" max="1" width="6.28515625" style="296" customWidth="1"/>
    <col min="2" max="2" width="8.5703125" style="119" customWidth="1"/>
    <col min="3" max="3" width="9.85546875" style="296" customWidth="1"/>
    <col min="4" max="4" width="51.5703125" style="119" customWidth="1"/>
    <col min="5" max="5" width="16.28515625" style="292" customWidth="1"/>
    <col min="6" max="6" width="16.140625" style="292" customWidth="1"/>
    <col min="7" max="7" width="18.42578125" style="292" bestFit="1" customWidth="1"/>
    <col min="8" max="8" width="15.85546875" style="293" bestFit="1" customWidth="1"/>
    <col min="9" max="9" width="16.85546875" style="293" bestFit="1" customWidth="1"/>
    <col min="10" max="10" width="15.7109375" style="292" customWidth="1"/>
    <col min="11" max="11" width="6.5703125" style="294" customWidth="1"/>
    <col min="12" max="12" width="16.42578125" style="295" customWidth="1"/>
    <col min="13" max="13" width="17.140625" style="263" bestFit="1" customWidth="1"/>
    <col min="14" max="14" width="18.42578125" style="292" bestFit="1" customWidth="1"/>
    <col min="15" max="15" width="8.5703125" style="263" customWidth="1"/>
  </cols>
  <sheetData>
    <row r="1" spans="1:15" x14ac:dyDescent="0.2">
      <c r="A1" s="212"/>
      <c r="B1" s="213" t="s">
        <v>280</v>
      </c>
      <c r="C1" s="214" t="s">
        <v>291</v>
      </c>
      <c r="D1" s="213" t="s">
        <v>301</v>
      </c>
      <c r="E1" s="214" t="s">
        <v>312</v>
      </c>
      <c r="F1" s="213" t="s">
        <v>302</v>
      </c>
      <c r="G1" s="214" t="s">
        <v>322</v>
      </c>
      <c r="H1" s="213" t="s">
        <v>303</v>
      </c>
      <c r="I1" s="214" t="s">
        <v>313</v>
      </c>
      <c r="J1" s="213" t="s">
        <v>304</v>
      </c>
      <c r="K1" s="214" t="s">
        <v>305</v>
      </c>
      <c r="L1" s="213" t="s">
        <v>306</v>
      </c>
      <c r="M1" s="214" t="s">
        <v>323</v>
      </c>
      <c r="N1" s="213" t="s">
        <v>314</v>
      </c>
      <c r="O1" s="214" t="s">
        <v>315</v>
      </c>
    </row>
    <row r="2" spans="1:15" x14ac:dyDescent="0.2">
      <c r="A2" s="215"/>
      <c r="B2" s="216"/>
      <c r="C2" s="216"/>
      <c r="D2" s="216"/>
      <c r="E2" s="217"/>
      <c r="F2" s="217"/>
      <c r="G2" s="504" t="s">
        <v>324</v>
      </c>
      <c r="H2" s="505"/>
      <c r="I2" s="506"/>
      <c r="J2" s="504" t="s">
        <v>325</v>
      </c>
      <c r="K2" s="505"/>
      <c r="L2" s="505"/>
      <c r="M2" s="506"/>
      <c r="N2" s="218" t="s">
        <v>326</v>
      </c>
      <c r="O2" s="215"/>
    </row>
    <row r="3" spans="1:15" ht="25.5" x14ac:dyDescent="0.2">
      <c r="A3" s="219" t="s">
        <v>292</v>
      </c>
      <c r="B3" s="220" t="s">
        <v>327</v>
      </c>
      <c r="C3" s="221" t="s">
        <v>328</v>
      </c>
      <c r="D3" s="220" t="s">
        <v>329</v>
      </c>
      <c r="E3" s="222" t="s">
        <v>330</v>
      </c>
      <c r="F3" s="223" t="s">
        <v>331</v>
      </c>
      <c r="G3" s="223" t="s">
        <v>307</v>
      </c>
      <c r="H3" s="224" t="s">
        <v>332</v>
      </c>
      <c r="I3" s="224" t="s">
        <v>333</v>
      </c>
      <c r="J3" s="222" t="s">
        <v>307</v>
      </c>
      <c r="K3" s="225" t="s">
        <v>334</v>
      </c>
      <c r="L3" s="226" t="s">
        <v>335</v>
      </c>
      <c r="M3" s="227" t="s">
        <v>310</v>
      </c>
      <c r="N3" s="222" t="s">
        <v>307</v>
      </c>
      <c r="O3" s="227" t="s">
        <v>45</v>
      </c>
    </row>
    <row r="4" spans="1:15" x14ac:dyDescent="0.2">
      <c r="A4" s="228" t="s">
        <v>336</v>
      </c>
      <c r="B4" s="229">
        <v>450</v>
      </c>
      <c r="C4" s="229" t="s">
        <v>337</v>
      </c>
      <c r="D4" s="230" t="s">
        <v>338</v>
      </c>
      <c r="E4" s="231">
        <v>6261804.6500000004</v>
      </c>
      <c r="F4" s="232" t="str">
        <f>$G$2</f>
        <v>Traditional OOR</v>
      </c>
      <c r="G4" s="232">
        <f>IF(F4=$G$2,E4,0)</f>
        <v>6261804.6500000004</v>
      </c>
      <c r="H4" s="233">
        <v>0</v>
      </c>
      <c r="I4" s="234">
        <f>G4-H4</f>
        <v>6261804.6500000004</v>
      </c>
      <c r="J4" s="232">
        <f>IF(F4=$J$2,E4,0)</f>
        <v>0</v>
      </c>
      <c r="K4" s="235"/>
      <c r="L4" s="231"/>
      <c r="M4" s="236">
        <f>J4-L4</f>
        <v>0</v>
      </c>
      <c r="N4" s="232">
        <f>IF(F4=$N$2,E4,0)</f>
        <v>0</v>
      </c>
      <c r="O4" s="233">
        <v>1</v>
      </c>
    </row>
    <row r="5" spans="1:15" x14ac:dyDescent="0.2">
      <c r="A5" s="237" t="s">
        <v>339</v>
      </c>
      <c r="B5" s="229">
        <v>450</v>
      </c>
      <c r="C5" s="238" t="s">
        <v>340</v>
      </c>
      <c r="D5" s="230" t="s">
        <v>341</v>
      </c>
      <c r="E5" s="231">
        <v>10849095.289999999</v>
      </c>
      <c r="F5" s="232" t="str">
        <f>$G$2</f>
        <v>Traditional OOR</v>
      </c>
      <c r="G5" s="232">
        <f>IF(F5=$G$2,E5,0)</f>
        <v>10849095.289999999</v>
      </c>
      <c r="H5" s="233">
        <v>0</v>
      </c>
      <c r="I5" s="234">
        <f>G5-H5</f>
        <v>10849095.289999999</v>
      </c>
      <c r="J5" s="232">
        <f>IF(F5=$J$2,E5,0)</f>
        <v>0</v>
      </c>
      <c r="K5" s="235"/>
      <c r="L5" s="231"/>
      <c r="M5" s="236">
        <f>J5-L5</f>
        <v>0</v>
      </c>
      <c r="N5" s="232">
        <f>IF(F5=$N$2,E5,0)</f>
        <v>0</v>
      </c>
      <c r="O5" s="239">
        <v>1</v>
      </c>
    </row>
    <row r="6" spans="1:15" x14ac:dyDescent="0.2">
      <c r="A6" s="237" t="s">
        <v>342</v>
      </c>
      <c r="B6" s="229">
        <v>450</v>
      </c>
      <c r="C6" s="238" t="s">
        <v>343</v>
      </c>
      <c r="D6" s="230" t="s">
        <v>344</v>
      </c>
      <c r="E6" s="240">
        <v>0</v>
      </c>
      <c r="F6" s="232" t="str">
        <f>$G$2</f>
        <v>Traditional OOR</v>
      </c>
      <c r="G6" s="232">
        <f>IF(F6=$G$2,E6,0)</f>
        <v>0</v>
      </c>
      <c r="H6" s="233">
        <v>0</v>
      </c>
      <c r="I6" s="234">
        <f>G6-H6</f>
        <v>0</v>
      </c>
      <c r="J6" s="232">
        <f>IF(F6=$J$2,E6,0)</f>
        <v>0</v>
      </c>
      <c r="K6" s="235"/>
      <c r="L6" s="231"/>
      <c r="M6" s="236">
        <f>J6-L6</f>
        <v>0</v>
      </c>
      <c r="N6" s="232">
        <f>IF(F6=$N$2,E6,0)</f>
        <v>0</v>
      </c>
      <c r="O6" s="239">
        <v>1</v>
      </c>
    </row>
    <row r="7" spans="1:15" x14ac:dyDescent="0.2">
      <c r="A7" s="241"/>
      <c r="B7" s="242"/>
      <c r="C7" s="243"/>
      <c r="D7" s="244"/>
      <c r="E7" s="245"/>
      <c r="F7" s="245"/>
      <c r="G7" s="231"/>
      <c r="H7" s="246"/>
      <c r="I7" s="247"/>
      <c r="J7" s="231"/>
      <c r="K7" s="248"/>
      <c r="L7" s="231"/>
      <c r="M7" s="247"/>
      <c r="N7" s="231"/>
      <c r="O7" s="246"/>
    </row>
    <row r="8" spans="1:15" x14ac:dyDescent="0.2">
      <c r="A8" s="241"/>
      <c r="B8" s="242"/>
      <c r="C8" s="243"/>
      <c r="D8" s="244"/>
      <c r="E8" s="245"/>
      <c r="F8" s="245"/>
      <c r="G8" s="231"/>
      <c r="H8" s="246"/>
      <c r="I8" s="247"/>
      <c r="J8" s="231"/>
      <c r="K8" s="248"/>
      <c r="L8" s="231"/>
      <c r="M8" s="247"/>
      <c r="N8" s="231"/>
      <c r="O8" s="246"/>
    </row>
    <row r="9" spans="1:15" x14ac:dyDescent="0.2">
      <c r="A9" s="237">
        <v>2</v>
      </c>
      <c r="B9" s="507" t="s">
        <v>345</v>
      </c>
      <c r="C9" s="508"/>
      <c r="D9" s="509"/>
      <c r="E9" s="249">
        <f>SUM(E4:E8)</f>
        <v>17110899.939999998</v>
      </c>
      <c r="F9" s="250"/>
      <c r="G9" s="249">
        <f>SUM(G4:G8)</f>
        <v>17110899.939999998</v>
      </c>
      <c r="H9" s="214">
        <f>SUM(H4:H8)</f>
        <v>0</v>
      </c>
      <c r="I9" s="251">
        <f>SUM(I4:I8)</f>
        <v>17110899.939999998</v>
      </c>
      <c r="J9" s="249">
        <f>SUM(J4:J8)</f>
        <v>0</v>
      </c>
      <c r="K9" s="250"/>
      <c r="L9" s="249">
        <f>SUM(L4:L8)</f>
        <v>0</v>
      </c>
      <c r="M9" s="249">
        <f>SUM(M4:M8)</f>
        <v>0</v>
      </c>
      <c r="N9" s="249">
        <f>SUM(N4:N8)</f>
        <v>0</v>
      </c>
      <c r="O9" s="239"/>
    </row>
    <row r="10" spans="1:15" ht="12.75" customHeight="1" x14ac:dyDescent="0.2">
      <c r="A10" s="237">
        <v>3</v>
      </c>
      <c r="B10" s="501" t="s">
        <v>346</v>
      </c>
      <c r="C10" s="502"/>
      <c r="D10" s="503"/>
      <c r="E10" s="252">
        <v>17110900</v>
      </c>
      <c r="F10" s="253"/>
      <c r="G10" s="254"/>
      <c r="H10" s="253"/>
      <c r="I10" s="253"/>
      <c r="J10" s="254"/>
      <c r="K10" s="253"/>
      <c r="L10" s="254"/>
      <c r="M10" s="254"/>
      <c r="N10" s="254"/>
      <c r="O10" s="165"/>
    </row>
    <row r="11" spans="1:15" x14ac:dyDescent="0.2">
      <c r="A11" s="255"/>
      <c r="B11" s="256"/>
      <c r="C11" s="257"/>
      <c r="D11" s="258"/>
      <c r="E11" s="254"/>
      <c r="F11" s="254"/>
      <c r="G11" s="254"/>
      <c r="H11" s="253"/>
      <c r="I11" s="253"/>
      <c r="J11" s="254"/>
      <c r="K11" s="253"/>
      <c r="L11" s="254"/>
      <c r="M11" s="254"/>
      <c r="N11" s="254"/>
      <c r="O11" s="165"/>
    </row>
    <row r="12" spans="1:15" x14ac:dyDescent="0.2">
      <c r="A12" s="237" t="s">
        <v>347</v>
      </c>
      <c r="B12" s="229">
        <v>451</v>
      </c>
      <c r="C12" s="238" t="s">
        <v>348</v>
      </c>
      <c r="D12" s="230" t="s">
        <v>349</v>
      </c>
      <c r="E12" s="231">
        <v>204897.05</v>
      </c>
      <c r="F12" s="232" t="str">
        <f t="shared" ref="F12:F18" si="0">$G$2</f>
        <v>Traditional OOR</v>
      </c>
      <c r="G12" s="232">
        <f t="shared" ref="G12:G25" si="1">IF(F12=$G$2,E12,0)</f>
        <v>204897.05</v>
      </c>
      <c r="H12" s="233">
        <v>0</v>
      </c>
      <c r="I12" s="234">
        <f t="shared" ref="I12:I25" si="2">G12-H12</f>
        <v>204897.05</v>
      </c>
      <c r="J12" s="232">
        <f t="shared" ref="J12:J25" si="3">IF(F12=$J$2,E12,0)</f>
        <v>0</v>
      </c>
      <c r="K12" s="232"/>
      <c r="L12" s="247"/>
      <c r="M12" s="236">
        <f t="shared" ref="M12:M18" si="4">J12-L12</f>
        <v>0</v>
      </c>
      <c r="N12" s="232">
        <f t="shared" ref="N12:N25" si="5">IF(F12=$N$2,E12,0)</f>
        <v>0</v>
      </c>
      <c r="O12" s="239">
        <v>1</v>
      </c>
    </row>
    <row r="13" spans="1:15" x14ac:dyDescent="0.2">
      <c r="A13" s="237" t="s">
        <v>350</v>
      </c>
      <c r="B13" s="229">
        <v>451</v>
      </c>
      <c r="C13" s="238" t="s">
        <v>351</v>
      </c>
      <c r="D13" s="230" t="s">
        <v>352</v>
      </c>
      <c r="E13" s="231">
        <v>1722959.5</v>
      </c>
      <c r="F13" s="232" t="str">
        <f t="shared" si="0"/>
        <v>Traditional OOR</v>
      </c>
      <c r="G13" s="232">
        <f t="shared" si="1"/>
        <v>1722959.5</v>
      </c>
      <c r="H13" s="233">
        <v>0</v>
      </c>
      <c r="I13" s="234">
        <f t="shared" si="2"/>
        <v>1722959.5</v>
      </c>
      <c r="J13" s="232">
        <f t="shared" si="3"/>
        <v>0</v>
      </c>
      <c r="K13" s="232"/>
      <c r="L13" s="247"/>
      <c r="M13" s="236">
        <f t="shared" si="4"/>
        <v>0</v>
      </c>
      <c r="N13" s="232">
        <f t="shared" si="5"/>
        <v>0</v>
      </c>
      <c r="O13" s="239">
        <v>1</v>
      </c>
    </row>
    <row r="14" spans="1:15" x14ac:dyDescent="0.2">
      <c r="A14" s="237" t="s">
        <v>353</v>
      </c>
      <c r="B14" s="229">
        <v>451</v>
      </c>
      <c r="C14" s="238" t="s">
        <v>354</v>
      </c>
      <c r="D14" s="230" t="s">
        <v>355</v>
      </c>
      <c r="E14" s="231">
        <v>4348</v>
      </c>
      <c r="F14" s="232" t="str">
        <f t="shared" si="0"/>
        <v>Traditional OOR</v>
      </c>
      <c r="G14" s="232">
        <f t="shared" si="1"/>
        <v>4348</v>
      </c>
      <c r="H14" s="233">
        <v>0</v>
      </c>
      <c r="I14" s="234">
        <f t="shared" si="2"/>
        <v>4348</v>
      </c>
      <c r="J14" s="232">
        <f t="shared" si="3"/>
        <v>0</v>
      </c>
      <c r="K14" s="232"/>
      <c r="L14" s="247"/>
      <c r="M14" s="236">
        <f t="shared" si="4"/>
        <v>0</v>
      </c>
      <c r="N14" s="232">
        <f t="shared" si="5"/>
        <v>0</v>
      </c>
      <c r="O14" s="239">
        <v>1</v>
      </c>
    </row>
    <row r="15" spans="1:15" x14ac:dyDescent="0.2">
      <c r="A15" s="237" t="s">
        <v>356</v>
      </c>
      <c r="B15" s="229">
        <v>451</v>
      </c>
      <c r="C15" s="238" t="s">
        <v>357</v>
      </c>
      <c r="D15" s="230" t="s">
        <v>358</v>
      </c>
      <c r="E15" s="231">
        <v>1623285.88</v>
      </c>
      <c r="F15" s="232" t="str">
        <f t="shared" si="0"/>
        <v>Traditional OOR</v>
      </c>
      <c r="G15" s="232">
        <f t="shared" si="1"/>
        <v>1623285.88</v>
      </c>
      <c r="H15" s="233">
        <v>0</v>
      </c>
      <c r="I15" s="234">
        <f t="shared" si="2"/>
        <v>1623285.88</v>
      </c>
      <c r="J15" s="232">
        <f t="shared" si="3"/>
        <v>0</v>
      </c>
      <c r="K15" s="232"/>
      <c r="L15" s="247"/>
      <c r="M15" s="236">
        <f t="shared" si="4"/>
        <v>0</v>
      </c>
      <c r="N15" s="232">
        <f t="shared" si="5"/>
        <v>0</v>
      </c>
      <c r="O15" s="239">
        <v>1</v>
      </c>
    </row>
    <row r="16" spans="1:15" x14ac:dyDescent="0.2">
      <c r="A16" s="237" t="s">
        <v>359</v>
      </c>
      <c r="B16" s="229">
        <v>451</v>
      </c>
      <c r="C16" s="238" t="s">
        <v>360</v>
      </c>
      <c r="D16" s="230" t="s">
        <v>361</v>
      </c>
      <c r="E16" s="231">
        <v>4861925.7300000004</v>
      </c>
      <c r="F16" s="232" t="str">
        <f t="shared" si="0"/>
        <v>Traditional OOR</v>
      </c>
      <c r="G16" s="232">
        <f t="shared" si="1"/>
        <v>4861925.7300000004</v>
      </c>
      <c r="H16" s="233">
        <v>0</v>
      </c>
      <c r="I16" s="234">
        <f t="shared" si="2"/>
        <v>4861925.7300000004</v>
      </c>
      <c r="J16" s="232">
        <f t="shared" si="3"/>
        <v>0</v>
      </c>
      <c r="K16" s="232"/>
      <c r="L16" s="247"/>
      <c r="M16" s="236">
        <f t="shared" si="4"/>
        <v>0</v>
      </c>
      <c r="N16" s="232">
        <f t="shared" si="5"/>
        <v>0</v>
      </c>
      <c r="O16" s="239">
        <v>1</v>
      </c>
    </row>
    <row r="17" spans="1:15" x14ac:dyDescent="0.2">
      <c r="A17" s="237" t="s">
        <v>362</v>
      </c>
      <c r="B17" s="229">
        <v>451</v>
      </c>
      <c r="C17" s="238" t="s">
        <v>363</v>
      </c>
      <c r="D17" s="230" t="s">
        <v>364</v>
      </c>
      <c r="E17" s="231">
        <v>15793728.07</v>
      </c>
      <c r="F17" s="232" t="str">
        <f t="shared" si="0"/>
        <v>Traditional OOR</v>
      </c>
      <c r="G17" s="232">
        <f t="shared" si="1"/>
        <v>15793728.07</v>
      </c>
      <c r="H17" s="233">
        <v>0</v>
      </c>
      <c r="I17" s="234">
        <f t="shared" si="2"/>
        <v>15793728.07</v>
      </c>
      <c r="J17" s="232">
        <f t="shared" si="3"/>
        <v>0</v>
      </c>
      <c r="K17" s="232"/>
      <c r="L17" s="247"/>
      <c r="M17" s="236">
        <f t="shared" si="4"/>
        <v>0</v>
      </c>
      <c r="N17" s="232">
        <f t="shared" si="5"/>
        <v>0</v>
      </c>
      <c r="O17" s="239">
        <v>1</v>
      </c>
    </row>
    <row r="18" spans="1:15" x14ac:dyDescent="0.2">
      <c r="A18" s="237" t="s">
        <v>365</v>
      </c>
      <c r="B18" s="229">
        <v>451</v>
      </c>
      <c r="C18" s="238" t="s">
        <v>366</v>
      </c>
      <c r="D18" s="230" t="s">
        <v>367</v>
      </c>
      <c r="E18" s="231">
        <v>3154090.73</v>
      </c>
      <c r="F18" s="232" t="str">
        <f t="shared" si="0"/>
        <v>Traditional OOR</v>
      </c>
      <c r="G18" s="232">
        <f t="shared" si="1"/>
        <v>3154090.73</v>
      </c>
      <c r="H18" s="233">
        <v>0</v>
      </c>
      <c r="I18" s="234">
        <f t="shared" si="2"/>
        <v>3154090.73</v>
      </c>
      <c r="J18" s="232">
        <f t="shared" si="3"/>
        <v>0</v>
      </c>
      <c r="K18" s="232"/>
      <c r="L18" s="247"/>
      <c r="M18" s="236">
        <f t="shared" si="4"/>
        <v>0</v>
      </c>
      <c r="N18" s="232">
        <f t="shared" si="5"/>
        <v>0</v>
      </c>
      <c r="O18" s="239">
        <v>1</v>
      </c>
    </row>
    <row r="19" spans="1:15" x14ac:dyDescent="0.2">
      <c r="A19" s="237" t="s">
        <v>368</v>
      </c>
      <c r="B19" s="229">
        <v>451</v>
      </c>
      <c r="C19" s="238" t="s">
        <v>369</v>
      </c>
      <c r="D19" s="230" t="s">
        <v>370</v>
      </c>
      <c r="E19" s="231">
        <v>290324.7</v>
      </c>
      <c r="F19" s="232" t="str">
        <f>$J$2</f>
        <v>GRSM</v>
      </c>
      <c r="G19" s="232">
        <f t="shared" si="1"/>
        <v>0</v>
      </c>
      <c r="H19" s="233">
        <v>0</v>
      </c>
      <c r="I19" s="234">
        <f t="shared" si="2"/>
        <v>0</v>
      </c>
      <c r="J19" s="232">
        <f t="shared" si="3"/>
        <v>290324.7</v>
      </c>
      <c r="K19" s="259" t="s">
        <v>316</v>
      </c>
      <c r="L19" s="247">
        <v>288260.59999999998</v>
      </c>
      <c r="M19" s="236">
        <f>J19-L19</f>
        <v>2064.1000000000349</v>
      </c>
      <c r="N19" s="232">
        <f t="shared" si="5"/>
        <v>0</v>
      </c>
      <c r="O19" s="239">
        <v>2</v>
      </c>
    </row>
    <row r="20" spans="1:15" x14ac:dyDescent="0.2">
      <c r="A20" s="237" t="s">
        <v>371</v>
      </c>
      <c r="B20" s="229">
        <v>451</v>
      </c>
      <c r="C20" s="238" t="s">
        <v>372</v>
      </c>
      <c r="D20" s="230" t="s">
        <v>373</v>
      </c>
      <c r="E20" s="231">
        <v>237104.65</v>
      </c>
      <c r="F20" s="232" t="str">
        <f>$N$2</f>
        <v>Other Ratemaking</v>
      </c>
      <c r="G20" s="232">
        <f t="shared" si="1"/>
        <v>0</v>
      </c>
      <c r="H20" s="233">
        <v>0</v>
      </c>
      <c r="I20" s="234">
        <f t="shared" si="2"/>
        <v>0</v>
      </c>
      <c r="J20" s="232">
        <f t="shared" si="3"/>
        <v>0</v>
      </c>
      <c r="K20" s="232"/>
      <c r="L20" s="247"/>
      <c r="M20" s="236">
        <f>J20-L20</f>
        <v>0</v>
      </c>
      <c r="N20" s="232">
        <f t="shared" si="5"/>
        <v>237104.65</v>
      </c>
      <c r="O20" s="239">
        <v>6</v>
      </c>
    </row>
    <row r="21" spans="1:15" x14ac:dyDescent="0.2">
      <c r="A21" s="228" t="s">
        <v>374</v>
      </c>
      <c r="B21" s="229">
        <v>451</v>
      </c>
      <c r="C21" s="229">
        <v>4182120</v>
      </c>
      <c r="D21" s="260" t="s">
        <v>375</v>
      </c>
      <c r="E21" s="231">
        <v>-9859.73</v>
      </c>
      <c r="F21" s="232" t="s">
        <v>324</v>
      </c>
      <c r="G21" s="232">
        <f t="shared" si="1"/>
        <v>-9859.73</v>
      </c>
      <c r="H21" s="233">
        <v>0</v>
      </c>
      <c r="I21" s="234">
        <f t="shared" si="2"/>
        <v>-9859.73</v>
      </c>
      <c r="J21" s="232">
        <f t="shared" si="3"/>
        <v>0</v>
      </c>
      <c r="K21" s="232"/>
      <c r="L21" s="247"/>
      <c r="M21" s="234">
        <f t="shared" ref="M21:M25" si="6">J21-L21</f>
        <v>0</v>
      </c>
      <c r="N21" s="232">
        <f t="shared" si="5"/>
        <v>0</v>
      </c>
      <c r="O21" s="233">
        <v>1</v>
      </c>
    </row>
    <row r="22" spans="1:15" x14ac:dyDescent="0.2">
      <c r="A22" s="228" t="s">
        <v>376</v>
      </c>
      <c r="B22" s="229">
        <v>451</v>
      </c>
      <c r="C22" s="229">
        <v>4192152</v>
      </c>
      <c r="D22" s="260" t="s">
        <v>377</v>
      </c>
      <c r="E22" s="231">
        <v>50400</v>
      </c>
      <c r="F22" s="232" t="s">
        <v>326</v>
      </c>
      <c r="G22" s="232">
        <f t="shared" si="1"/>
        <v>0</v>
      </c>
      <c r="H22" s="233">
        <v>0</v>
      </c>
      <c r="I22" s="234">
        <f t="shared" si="2"/>
        <v>0</v>
      </c>
      <c r="J22" s="232">
        <f t="shared" si="3"/>
        <v>0</v>
      </c>
      <c r="K22" s="232"/>
      <c r="L22" s="247"/>
      <c r="M22" s="234">
        <f t="shared" si="6"/>
        <v>0</v>
      </c>
      <c r="N22" s="232">
        <f t="shared" si="5"/>
        <v>50400</v>
      </c>
      <c r="O22" s="233">
        <v>1</v>
      </c>
    </row>
    <row r="23" spans="1:15" x14ac:dyDescent="0.2">
      <c r="A23" s="228" t="s">
        <v>378</v>
      </c>
      <c r="B23" s="229">
        <v>451</v>
      </c>
      <c r="C23" s="229">
        <v>4192155</v>
      </c>
      <c r="D23" s="260" t="s">
        <v>379</v>
      </c>
      <c r="E23" s="231">
        <v>100645</v>
      </c>
      <c r="F23" s="232" t="s">
        <v>326</v>
      </c>
      <c r="G23" s="232">
        <f t="shared" si="1"/>
        <v>0</v>
      </c>
      <c r="H23" s="233">
        <v>0</v>
      </c>
      <c r="I23" s="234">
        <f t="shared" si="2"/>
        <v>0</v>
      </c>
      <c r="J23" s="232">
        <f t="shared" si="3"/>
        <v>0</v>
      </c>
      <c r="K23" s="232"/>
      <c r="L23" s="247"/>
      <c r="M23" s="234">
        <f t="shared" si="6"/>
        <v>0</v>
      </c>
      <c r="N23" s="232">
        <f t="shared" si="5"/>
        <v>100645</v>
      </c>
      <c r="O23" s="233">
        <v>1</v>
      </c>
    </row>
    <row r="24" spans="1:15" x14ac:dyDescent="0.2">
      <c r="A24" s="228" t="s">
        <v>380</v>
      </c>
      <c r="B24" s="229">
        <v>451</v>
      </c>
      <c r="C24" s="229">
        <v>4192158</v>
      </c>
      <c r="D24" s="260" t="s">
        <v>381</v>
      </c>
      <c r="E24" s="231">
        <v>1114265</v>
      </c>
      <c r="F24" s="232" t="s">
        <v>326</v>
      </c>
      <c r="G24" s="232">
        <f t="shared" si="1"/>
        <v>0</v>
      </c>
      <c r="H24" s="233">
        <v>0</v>
      </c>
      <c r="I24" s="234">
        <f t="shared" si="2"/>
        <v>0</v>
      </c>
      <c r="J24" s="232">
        <f t="shared" si="3"/>
        <v>0</v>
      </c>
      <c r="K24" s="232"/>
      <c r="L24" s="247"/>
      <c r="M24" s="234">
        <f t="shared" si="6"/>
        <v>0</v>
      </c>
      <c r="N24" s="232">
        <f t="shared" si="5"/>
        <v>1114265</v>
      </c>
      <c r="O24" s="233">
        <v>1</v>
      </c>
    </row>
    <row r="25" spans="1:15" x14ac:dyDescent="0.2">
      <c r="A25" s="228" t="s">
        <v>382</v>
      </c>
      <c r="B25" s="229">
        <v>451</v>
      </c>
      <c r="C25" s="229">
        <v>4192160</v>
      </c>
      <c r="D25" s="260" t="s">
        <v>383</v>
      </c>
      <c r="E25" s="231">
        <v>661990</v>
      </c>
      <c r="F25" s="232" t="s">
        <v>326</v>
      </c>
      <c r="G25" s="232">
        <f t="shared" si="1"/>
        <v>0</v>
      </c>
      <c r="H25" s="233">
        <v>0</v>
      </c>
      <c r="I25" s="234">
        <f t="shared" si="2"/>
        <v>0</v>
      </c>
      <c r="J25" s="232">
        <f t="shared" si="3"/>
        <v>0</v>
      </c>
      <c r="K25" s="232"/>
      <c r="L25" s="247"/>
      <c r="M25" s="234">
        <f t="shared" si="6"/>
        <v>0</v>
      </c>
      <c r="N25" s="232">
        <f t="shared" si="5"/>
        <v>661990</v>
      </c>
      <c r="O25" s="233">
        <v>1</v>
      </c>
    </row>
    <row r="26" spans="1:15" x14ac:dyDescent="0.2">
      <c r="A26" s="241"/>
      <c r="B26" s="242"/>
      <c r="C26" s="242"/>
      <c r="D26" s="261"/>
      <c r="E26" s="231"/>
      <c r="F26" s="231"/>
      <c r="G26" s="231"/>
      <c r="H26" s="246"/>
      <c r="I26" s="247"/>
      <c r="J26" s="231"/>
      <c r="K26" s="231"/>
      <c r="L26" s="247"/>
      <c r="M26" s="247"/>
      <c r="N26" s="231"/>
      <c r="O26" s="246"/>
    </row>
    <row r="27" spans="1:15" x14ac:dyDescent="0.2">
      <c r="A27" s="241"/>
      <c r="B27" s="242"/>
      <c r="C27" s="243"/>
      <c r="D27" s="261"/>
      <c r="E27" s="231"/>
      <c r="F27" s="231"/>
      <c r="G27" s="248"/>
      <c r="H27" s="246"/>
      <c r="I27" s="247"/>
      <c r="J27" s="231"/>
      <c r="K27" s="231"/>
      <c r="L27" s="247"/>
      <c r="M27" s="247"/>
      <c r="N27" s="231"/>
      <c r="O27" s="246"/>
    </row>
    <row r="28" spans="1:15" x14ac:dyDescent="0.2">
      <c r="A28" s="237">
        <v>5</v>
      </c>
      <c r="B28" s="507" t="s">
        <v>384</v>
      </c>
      <c r="C28" s="508"/>
      <c r="D28" s="509"/>
      <c r="E28" s="249">
        <f>SUM(E12:E25)</f>
        <v>29810104.579999998</v>
      </c>
      <c r="F28" s="250"/>
      <c r="G28" s="249">
        <f>SUM(G12:G25)</f>
        <v>27355375.23</v>
      </c>
      <c r="H28" s="214">
        <f>SUM(H12:H25)</f>
        <v>0</v>
      </c>
      <c r="I28" s="251">
        <f>SUM(I12:I25)</f>
        <v>27355375.23</v>
      </c>
      <c r="J28" s="249">
        <f>SUM(J12:J25)</f>
        <v>290324.7</v>
      </c>
      <c r="K28" s="250"/>
      <c r="L28" s="249">
        <f>SUM(L12:L25)</f>
        <v>288260.59999999998</v>
      </c>
      <c r="M28" s="249">
        <f>SUM(M12:M25)</f>
        <v>2064.1000000000349</v>
      </c>
      <c r="N28" s="249">
        <f>SUM(N12:N25)</f>
        <v>2164404.65</v>
      </c>
      <c r="O28" s="239"/>
    </row>
    <row r="29" spans="1:15" ht="25.5" customHeight="1" x14ac:dyDescent="0.2">
      <c r="A29" s="237">
        <v>6</v>
      </c>
      <c r="B29" s="501" t="s">
        <v>385</v>
      </c>
      <c r="C29" s="502"/>
      <c r="D29" s="503"/>
      <c r="E29" s="252">
        <v>29810105</v>
      </c>
      <c r="F29" s="253"/>
      <c r="G29" s="254"/>
      <c r="H29" s="262"/>
      <c r="I29" s="262"/>
      <c r="J29" s="254"/>
      <c r="K29" s="253"/>
      <c r="L29" s="254"/>
      <c r="M29" s="254"/>
      <c r="N29" s="254"/>
    </row>
    <row r="30" spans="1:15" x14ac:dyDescent="0.2">
      <c r="A30" s="264"/>
      <c r="B30" s="256"/>
      <c r="C30" s="257"/>
      <c r="D30" s="258"/>
      <c r="E30" s="254"/>
      <c r="F30" s="254"/>
      <c r="G30" s="254"/>
      <c r="H30" s="262"/>
      <c r="I30" s="262"/>
      <c r="J30" s="254"/>
      <c r="K30" s="253"/>
      <c r="L30" s="254"/>
      <c r="M30" s="254"/>
      <c r="N30" s="254"/>
    </row>
    <row r="31" spans="1:15" x14ac:dyDescent="0.2">
      <c r="A31" s="237" t="s">
        <v>386</v>
      </c>
      <c r="B31" s="229">
        <v>453</v>
      </c>
      <c r="C31" s="238" t="s">
        <v>387</v>
      </c>
      <c r="D31" s="230" t="s">
        <v>388</v>
      </c>
      <c r="E31" s="231">
        <v>0</v>
      </c>
      <c r="F31" s="232" t="str">
        <f>$G$2</f>
        <v>Traditional OOR</v>
      </c>
      <c r="G31" s="232">
        <f>IF(F31=$G$2,E31,0)</f>
        <v>0</v>
      </c>
      <c r="H31" s="233">
        <v>0</v>
      </c>
      <c r="I31" s="234">
        <f>G31-H31</f>
        <v>0</v>
      </c>
      <c r="J31" s="232">
        <f>IF(F31=$J$2,E31,0)</f>
        <v>0</v>
      </c>
      <c r="K31" s="232"/>
      <c r="L31" s="247"/>
      <c r="M31" s="236">
        <f>J31-L31</f>
        <v>0</v>
      </c>
      <c r="N31" s="232">
        <f>IF(F31=$N$2,E31,0)</f>
        <v>0</v>
      </c>
      <c r="O31" s="239">
        <v>3</v>
      </c>
    </row>
    <row r="32" spans="1:15" x14ac:dyDescent="0.2">
      <c r="A32" s="237" t="s">
        <v>389</v>
      </c>
      <c r="B32" s="229">
        <v>453</v>
      </c>
      <c r="C32" s="238" t="s">
        <v>390</v>
      </c>
      <c r="D32" s="230" t="s">
        <v>391</v>
      </c>
      <c r="E32" s="231">
        <v>0</v>
      </c>
      <c r="F32" s="232" t="str">
        <f>$G$2</f>
        <v>Traditional OOR</v>
      </c>
      <c r="G32" s="232">
        <f>IF(F32=$G$2,E32,0)</f>
        <v>0</v>
      </c>
      <c r="H32" s="233">
        <v>0</v>
      </c>
      <c r="I32" s="234">
        <f>G32-H32</f>
        <v>0</v>
      </c>
      <c r="J32" s="232">
        <f>IF(F32=$J$2,E32,0)</f>
        <v>0</v>
      </c>
      <c r="K32" s="232"/>
      <c r="L32" s="247"/>
      <c r="M32" s="236">
        <f>J32-L32</f>
        <v>0</v>
      </c>
      <c r="N32" s="232">
        <f>IF(F32=$N$2,E32,0)</f>
        <v>0</v>
      </c>
      <c r="O32" s="239">
        <v>3</v>
      </c>
    </row>
    <row r="33" spans="1:15" x14ac:dyDescent="0.2">
      <c r="A33" s="237" t="s">
        <v>392</v>
      </c>
      <c r="B33" s="229">
        <v>453</v>
      </c>
      <c r="C33" s="237" t="s">
        <v>393</v>
      </c>
      <c r="D33" s="230" t="s">
        <v>394</v>
      </c>
      <c r="E33" s="231">
        <v>17694.89</v>
      </c>
      <c r="F33" s="232" t="str">
        <f>$G$2</f>
        <v>Traditional OOR</v>
      </c>
      <c r="G33" s="232">
        <f>IF(F33=$G$2,E33,0)</f>
        <v>17694.89</v>
      </c>
      <c r="H33" s="233">
        <v>0</v>
      </c>
      <c r="I33" s="234">
        <f>G33-H33</f>
        <v>17694.89</v>
      </c>
      <c r="J33" s="232">
        <f>IF(F33=$J$2,E33,0)</f>
        <v>0</v>
      </c>
      <c r="K33" s="232"/>
      <c r="L33" s="247"/>
      <c r="M33" s="236">
        <f>J33-L33</f>
        <v>0</v>
      </c>
      <c r="N33" s="232">
        <f>IF(F33=$N$2,E33,0)</f>
        <v>0</v>
      </c>
      <c r="O33" s="239">
        <v>3</v>
      </c>
    </row>
    <row r="34" spans="1:15" x14ac:dyDescent="0.2">
      <c r="A34" s="241"/>
      <c r="B34" s="242"/>
      <c r="C34" s="243"/>
      <c r="D34" s="244"/>
      <c r="E34" s="231"/>
      <c r="F34" s="231"/>
      <c r="G34" s="248"/>
      <c r="H34" s="246"/>
      <c r="I34" s="247"/>
      <c r="J34" s="231"/>
      <c r="K34" s="231"/>
      <c r="L34" s="247"/>
      <c r="M34" s="247"/>
      <c r="N34" s="231"/>
      <c r="O34" s="246"/>
    </row>
    <row r="35" spans="1:15" x14ac:dyDescent="0.2">
      <c r="A35" s="241"/>
      <c r="B35" s="242"/>
      <c r="C35" s="243"/>
      <c r="D35" s="244"/>
      <c r="E35" s="231"/>
      <c r="F35" s="231"/>
      <c r="G35" s="248"/>
      <c r="H35" s="246"/>
      <c r="I35" s="247"/>
      <c r="J35" s="231"/>
      <c r="K35" s="231"/>
      <c r="L35" s="247"/>
      <c r="M35" s="247"/>
      <c r="N35" s="231"/>
      <c r="O35" s="246"/>
    </row>
    <row r="36" spans="1:15" x14ac:dyDescent="0.2">
      <c r="A36" s="237">
        <v>8</v>
      </c>
      <c r="B36" s="507" t="s">
        <v>395</v>
      </c>
      <c r="C36" s="508"/>
      <c r="D36" s="509"/>
      <c r="E36" s="251">
        <f>SUM(E31:E35)</f>
        <v>17694.89</v>
      </c>
      <c r="F36" s="250"/>
      <c r="G36" s="251">
        <f>SUM(G31:G35)</f>
        <v>17694.89</v>
      </c>
      <c r="H36" s="214">
        <f>SUM(H31:H35)</f>
        <v>0</v>
      </c>
      <c r="I36" s="251">
        <f>SUM(I31:I35)</f>
        <v>17694.89</v>
      </c>
      <c r="J36" s="251">
        <f>SUM(J31:J35)</f>
        <v>0</v>
      </c>
      <c r="K36" s="250"/>
      <c r="L36" s="251">
        <f>SUM(L31:L35)</f>
        <v>0</v>
      </c>
      <c r="M36" s="251">
        <f>SUM(M31:M35)</f>
        <v>0</v>
      </c>
      <c r="N36" s="251">
        <f>SUM(N31:N35)</f>
        <v>0</v>
      </c>
      <c r="O36" s="214"/>
    </row>
    <row r="37" spans="1:15" ht="25.5" customHeight="1" x14ac:dyDescent="0.2">
      <c r="A37" s="237">
        <v>9</v>
      </c>
      <c r="B37" s="510" t="s">
        <v>396</v>
      </c>
      <c r="C37" s="511"/>
      <c r="D37" s="511"/>
      <c r="E37" s="265">
        <v>17695</v>
      </c>
      <c r="F37" s="253"/>
      <c r="G37" s="254"/>
      <c r="H37" s="262"/>
      <c r="I37" s="266"/>
      <c r="J37" s="254"/>
      <c r="K37" s="253"/>
      <c r="L37" s="254"/>
      <c r="M37" s="254"/>
      <c r="N37" s="254"/>
      <c r="O37" s="165"/>
    </row>
    <row r="38" spans="1:15" x14ac:dyDescent="0.2">
      <c r="A38" s="255"/>
      <c r="B38" s="256"/>
      <c r="C38" s="257"/>
      <c r="D38" s="258"/>
      <c r="E38" s="254"/>
      <c r="F38" s="254"/>
      <c r="G38" s="254"/>
      <c r="H38" s="262"/>
      <c r="I38" s="266"/>
      <c r="J38" s="254"/>
      <c r="K38" s="253"/>
      <c r="L38" s="254"/>
      <c r="M38" s="254"/>
      <c r="N38" s="254"/>
      <c r="O38" s="165"/>
    </row>
    <row r="39" spans="1:15" x14ac:dyDescent="0.2">
      <c r="A39" s="237" t="s">
        <v>397</v>
      </c>
      <c r="B39" s="229">
        <v>454</v>
      </c>
      <c r="C39" s="230" t="s">
        <v>398</v>
      </c>
      <c r="D39" s="230" t="s">
        <v>399</v>
      </c>
      <c r="E39" s="231">
        <v>511079.67</v>
      </c>
      <c r="F39" s="232" t="str">
        <f t="shared" ref="F39:F44" si="7">$G$2</f>
        <v>Traditional OOR</v>
      </c>
      <c r="G39" s="232">
        <f>IF(F39=$G$2,E39,0)</f>
        <v>511079.67</v>
      </c>
      <c r="H39" s="234">
        <v>0</v>
      </c>
      <c r="I39" s="234">
        <f t="shared" ref="I39:I49" si="8">G39-H39</f>
        <v>511079.67</v>
      </c>
      <c r="J39" s="232">
        <f t="shared" ref="J39:J64" si="9">IF(F39=$J$2,E39,0)</f>
        <v>0</v>
      </c>
      <c r="K39" s="232"/>
      <c r="L39" s="247"/>
      <c r="M39" s="234">
        <f t="shared" ref="M39:M44" si="10">J39-L39</f>
        <v>0</v>
      </c>
      <c r="N39" s="232">
        <f t="shared" ref="N39:N64" si="11">IF(F39=$N$2,E39,0)</f>
        <v>0</v>
      </c>
      <c r="O39" s="233">
        <v>4</v>
      </c>
    </row>
    <row r="40" spans="1:15" x14ac:dyDescent="0.2">
      <c r="A40" s="237" t="s">
        <v>400</v>
      </c>
      <c r="B40" s="229">
        <v>454</v>
      </c>
      <c r="C40" s="238" t="s">
        <v>401</v>
      </c>
      <c r="D40" s="230" t="s">
        <v>402</v>
      </c>
      <c r="E40" s="231">
        <v>2663424.9500000002</v>
      </c>
      <c r="F40" s="232" t="str">
        <f t="shared" si="7"/>
        <v>Traditional OOR</v>
      </c>
      <c r="G40" s="232">
        <f t="shared" ref="G40:G64" si="12">IF(F40=$G$2,E40,0)</f>
        <v>2663424.9500000002</v>
      </c>
      <c r="H40" s="234">
        <v>0</v>
      </c>
      <c r="I40" s="234">
        <f t="shared" si="8"/>
        <v>2663424.9500000002</v>
      </c>
      <c r="J40" s="232">
        <f t="shared" si="9"/>
        <v>0</v>
      </c>
      <c r="K40" s="232"/>
      <c r="L40" s="247"/>
      <c r="M40" s="236">
        <f t="shared" si="10"/>
        <v>0</v>
      </c>
      <c r="N40" s="232">
        <f t="shared" si="11"/>
        <v>0</v>
      </c>
      <c r="O40" s="239">
        <v>4</v>
      </c>
    </row>
    <row r="41" spans="1:15" x14ac:dyDescent="0.2">
      <c r="A41" s="237" t="s">
        <v>403</v>
      </c>
      <c r="B41" s="229">
        <v>454</v>
      </c>
      <c r="C41" s="238" t="s">
        <v>404</v>
      </c>
      <c r="D41" s="230" t="s">
        <v>405</v>
      </c>
      <c r="E41" s="231">
        <v>485440</v>
      </c>
      <c r="F41" s="232" t="str">
        <f t="shared" si="7"/>
        <v>Traditional OOR</v>
      </c>
      <c r="G41" s="232">
        <f t="shared" si="12"/>
        <v>485440</v>
      </c>
      <c r="H41" s="234">
        <v>0</v>
      </c>
      <c r="I41" s="234">
        <f t="shared" si="8"/>
        <v>485440</v>
      </c>
      <c r="J41" s="232">
        <f t="shared" si="9"/>
        <v>0</v>
      </c>
      <c r="K41" s="232"/>
      <c r="L41" s="247"/>
      <c r="M41" s="236">
        <f t="shared" si="10"/>
        <v>0</v>
      </c>
      <c r="N41" s="232">
        <f t="shared" si="11"/>
        <v>0</v>
      </c>
      <c r="O41" s="239">
        <v>4</v>
      </c>
    </row>
    <row r="42" spans="1:15" x14ac:dyDescent="0.2">
      <c r="A42" s="237" t="s">
        <v>406</v>
      </c>
      <c r="B42" s="229">
        <v>454</v>
      </c>
      <c r="C42" s="238" t="s">
        <v>407</v>
      </c>
      <c r="D42" s="230" t="s">
        <v>408</v>
      </c>
      <c r="E42" s="231">
        <v>0</v>
      </c>
      <c r="F42" s="232" t="str">
        <f t="shared" si="7"/>
        <v>Traditional OOR</v>
      </c>
      <c r="G42" s="232">
        <f t="shared" si="12"/>
        <v>0</v>
      </c>
      <c r="H42" s="234">
        <v>0</v>
      </c>
      <c r="I42" s="234">
        <f t="shared" si="8"/>
        <v>0</v>
      </c>
      <c r="J42" s="232">
        <f t="shared" si="9"/>
        <v>0</v>
      </c>
      <c r="K42" s="232"/>
      <c r="L42" s="247"/>
      <c r="M42" s="236">
        <f t="shared" si="10"/>
        <v>0</v>
      </c>
      <c r="N42" s="232">
        <f t="shared" si="11"/>
        <v>0</v>
      </c>
      <c r="O42" s="239">
        <v>4</v>
      </c>
    </row>
    <row r="43" spans="1:15" x14ac:dyDescent="0.2">
      <c r="A43" s="237" t="s">
        <v>409</v>
      </c>
      <c r="B43" s="229">
        <v>454</v>
      </c>
      <c r="C43" s="238" t="s">
        <v>410</v>
      </c>
      <c r="D43" s="230" t="s">
        <v>411</v>
      </c>
      <c r="E43" s="231">
        <v>0</v>
      </c>
      <c r="F43" s="232" t="str">
        <f t="shared" si="7"/>
        <v>Traditional OOR</v>
      </c>
      <c r="G43" s="232">
        <f t="shared" si="12"/>
        <v>0</v>
      </c>
      <c r="H43" s="234">
        <v>0</v>
      </c>
      <c r="I43" s="234">
        <f t="shared" si="8"/>
        <v>0</v>
      </c>
      <c r="J43" s="232">
        <f t="shared" si="9"/>
        <v>0</v>
      </c>
      <c r="K43" s="232"/>
      <c r="L43" s="247"/>
      <c r="M43" s="236">
        <f t="shared" si="10"/>
        <v>0</v>
      </c>
      <c r="N43" s="232">
        <f t="shared" si="11"/>
        <v>0</v>
      </c>
      <c r="O43" s="239">
        <v>4</v>
      </c>
    </row>
    <row r="44" spans="1:15" x14ac:dyDescent="0.2">
      <c r="A44" s="237" t="s">
        <v>412</v>
      </c>
      <c r="B44" s="229">
        <v>454</v>
      </c>
      <c r="C44" s="267">
        <v>4184120</v>
      </c>
      <c r="D44" s="230" t="s">
        <v>413</v>
      </c>
      <c r="E44" s="231">
        <v>0</v>
      </c>
      <c r="F44" s="232" t="str">
        <f t="shared" si="7"/>
        <v>Traditional OOR</v>
      </c>
      <c r="G44" s="232">
        <f>IF(F44=$G$2,E44,0)</f>
        <v>0</v>
      </c>
      <c r="H44" s="234">
        <v>0</v>
      </c>
      <c r="I44" s="234">
        <f>G44-H44</f>
        <v>0</v>
      </c>
      <c r="J44" s="232">
        <f t="shared" si="9"/>
        <v>0</v>
      </c>
      <c r="K44" s="232"/>
      <c r="L44" s="247"/>
      <c r="M44" s="236">
        <f t="shared" si="10"/>
        <v>0</v>
      </c>
      <c r="N44" s="232">
        <f t="shared" si="11"/>
        <v>0</v>
      </c>
      <c r="O44" s="239">
        <v>4</v>
      </c>
    </row>
    <row r="45" spans="1:15" x14ac:dyDescent="0.2">
      <c r="A45" s="237" t="s">
        <v>414</v>
      </c>
      <c r="B45" s="229">
        <v>454</v>
      </c>
      <c r="C45" s="238" t="s">
        <v>415</v>
      </c>
      <c r="D45" s="230" t="s">
        <v>416</v>
      </c>
      <c r="E45" s="231">
        <v>125209.13</v>
      </c>
      <c r="F45" s="232" t="str">
        <f>$J$2</f>
        <v>GRSM</v>
      </c>
      <c r="G45" s="232">
        <f t="shared" si="12"/>
        <v>0</v>
      </c>
      <c r="H45" s="234">
        <v>0</v>
      </c>
      <c r="I45" s="234">
        <f t="shared" si="8"/>
        <v>0</v>
      </c>
      <c r="J45" s="232">
        <f t="shared" si="9"/>
        <v>125209.13</v>
      </c>
      <c r="K45" s="259" t="s">
        <v>316</v>
      </c>
      <c r="L45" s="268">
        <v>25123.06</v>
      </c>
      <c r="M45" s="236">
        <f>J45-L45</f>
        <v>100086.07</v>
      </c>
      <c r="N45" s="232">
        <f t="shared" si="11"/>
        <v>0</v>
      </c>
      <c r="O45" s="239">
        <v>2</v>
      </c>
    </row>
    <row r="46" spans="1:15" x14ac:dyDescent="0.2">
      <c r="A46" s="237" t="s">
        <v>417</v>
      </c>
      <c r="B46" s="229">
        <v>454</v>
      </c>
      <c r="C46" s="238" t="s">
        <v>418</v>
      </c>
      <c r="D46" s="230" t="s">
        <v>419</v>
      </c>
      <c r="E46" s="231">
        <v>240</v>
      </c>
      <c r="F46" s="232" t="str">
        <f>$J$2</f>
        <v>GRSM</v>
      </c>
      <c r="G46" s="232">
        <f t="shared" si="12"/>
        <v>0</v>
      </c>
      <c r="H46" s="234">
        <v>0</v>
      </c>
      <c r="I46" s="234">
        <f t="shared" si="8"/>
        <v>0</v>
      </c>
      <c r="J46" s="232">
        <f t="shared" si="9"/>
        <v>240</v>
      </c>
      <c r="K46" s="259" t="s">
        <v>316</v>
      </c>
      <c r="L46" s="268">
        <v>0</v>
      </c>
      <c r="M46" s="236">
        <f t="shared" ref="M46:M64" si="13">J46-L46</f>
        <v>240</v>
      </c>
      <c r="N46" s="232">
        <f t="shared" si="11"/>
        <v>0</v>
      </c>
      <c r="O46" s="239">
        <v>2</v>
      </c>
    </row>
    <row r="47" spans="1:15" x14ac:dyDescent="0.2">
      <c r="A47" s="237" t="s">
        <v>420</v>
      </c>
      <c r="B47" s="229">
        <v>454</v>
      </c>
      <c r="C47" s="238" t="s">
        <v>421</v>
      </c>
      <c r="D47" s="230" t="s">
        <v>422</v>
      </c>
      <c r="E47" s="231">
        <v>486</v>
      </c>
      <c r="F47" s="232" t="str">
        <f>$J$2</f>
        <v>GRSM</v>
      </c>
      <c r="G47" s="232">
        <f t="shared" si="12"/>
        <v>0</v>
      </c>
      <c r="H47" s="234">
        <v>0</v>
      </c>
      <c r="I47" s="234">
        <f t="shared" si="8"/>
        <v>0</v>
      </c>
      <c r="J47" s="232">
        <f t="shared" si="9"/>
        <v>486</v>
      </c>
      <c r="K47" s="259" t="s">
        <v>316</v>
      </c>
      <c r="L47" s="268">
        <v>35.85</v>
      </c>
      <c r="M47" s="236">
        <f t="shared" si="13"/>
        <v>450.15</v>
      </c>
      <c r="N47" s="232">
        <f t="shared" si="11"/>
        <v>0</v>
      </c>
      <c r="O47" s="239">
        <v>2</v>
      </c>
    </row>
    <row r="48" spans="1:15" x14ac:dyDescent="0.2">
      <c r="A48" s="237" t="s">
        <v>423</v>
      </c>
      <c r="B48" s="229">
        <v>454</v>
      </c>
      <c r="C48" s="267" t="s">
        <v>424</v>
      </c>
      <c r="D48" s="230" t="s">
        <v>425</v>
      </c>
      <c r="E48" s="231">
        <v>141533.71</v>
      </c>
      <c r="F48" s="232" t="str">
        <f>$J$2</f>
        <v>GRSM</v>
      </c>
      <c r="G48" s="232">
        <f t="shared" si="12"/>
        <v>0</v>
      </c>
      <c r="H48" s="234">
        <v>0</v>
      </c>
      <c r="I48" s="234">
        <f t="shared" si="8"/>
        <v>0</v>
      </c>
      <c r="J48" s="232">
        <f t="shared" si="9"/>
        <v>141533.71</v>
      </c>
      <c r="K48" s="259" t="s">
        <v>316</v>
      </c>
      <c r="L48" s="268">
        <v>47183.13</v>
      </c>
      <c r="M48" s="236">
        <f t="shared" si="13"/>
        <v>94350.579999999987</v>
      </c>
      <c r="N48" s="232">
        <f t="shared" si="11"/>
        <v>0</v>
      </c>
      <c r="O48" s="233">
        <v>2</v>
      </c>
    </row>
    <row r="49" spans="1:15" x14ac:dyDescent="0.2">
      <c r="A49" s="237" t="s">
        <v>426</v>
      </c>
      <c r="B49" s="229">
        <v>454</v>
      </c>
      <c r="C49" s="230" t="s">
        <v>427</v>
      </c>
      <c r="D49" s="230" t="s">
        <v>428</v>
      </c>
      <c r="E49" s="231">
        <v>-1154581.9099999999</v>
      </c>
      <c r="F49" s="232" t="str">
        <f>$G$2</f>
        <v>Traditional OOR</v>
      </c>
      <c r="G49" s="232">
        <f t="shared" si="12"/>
        <v>-1154581.9099999999</v>
      </c>
      <c r="H49" s="234">
        <v>0</v>
      </c>
      <c r="I49" s="234">
        <f t="shared" si="8"/>
        <v>-1154581.9099999999</v>
      </c>
      <c r="J49" s="232">
        <f t="shared" si="9"/>
        <v>0</v>
      </c>
      <c r="K49" s="232"/>
      <c r="L49" s="247"/>
      <c r="M49" s="236">
        <f t="shared" si="13"/>
        <v>0</v>
      </c>
      <c r="N49" s="232">
        <f t="shared" si="11"/>
        <v>0</v>
      </c>
      <c r="O49" s="233">
        <v>4</v>
      </c>
    </row>
    <row r="50" spans="1:15" x14ac:dyDescent="0.2">
      <c r="A50" s="237" t="s">
        <v>429</v>
      </c>
      <c r="B50" s="229">
        <v>454</v>
      </c>
      <c r="C50" s="238" t="s">
        <v>430</v>
      </c>
      <c r="D50" s="230" t="s">
        <v>431</v>
      </c>
      <c r="E50" s="231">
        <v>2466052.77</v>
      </c>
      <c r="F50" s="232" t="str">
        <f>$N$2</f>
        <v>Other Ratemaking</v>
      </c>
      <c r="G50" s="232">
        <f>I50+H50</f>
        <v>105892.30594380001</v>
      </c>
      <c r="H50" s="234">
        <f>E50*$D$234</f>
        <v>105892.30594380001</v>
      </c>
      <c r="I50" s="234">
        <v>0</v>
      </c>
      <c r="J50" s="232">
        <f t="shared" si="9"/>
        <v>0</v>
      </c>
      <c r="K50" s="232"/>
      <c r="L50" s="247"/>
      <c r="M50" s="236">
        <f t="shared" si="13"/>
        <v>0</v>
      </c>
      <c r="N50" s="232">
        <f>IF(F50=$N$2,E50-H50,0)</f>
        <v>2360160.4640561999</v>
      </c>
      <c r="O50" s="239" t="s">
        <v>432</v>
      </c>
    </row>
    <row r="51" spans="1:15" x14ac:dyDescent="0.2">
      <c r="A51" s="237" t="s">
        <v>433</v>
      </c>
      <c r="B51" s="229">
        <v>454</v>
      </c>
      <c r="C51" s="238" t="s">
        <v>434</v>
      </c>
      <c r="D51" s="230" t="s">
        <v>435</v>
      </c>
      <c r="E51" s="231">
        <v>690.34</v>
      </c>
      <c r="F51" s="232" t="str">
        <f>$G$2</f>
        <v>Traditional OOR</v>
      </c>
      <c r="G51" s="232">
        <f t="shared" si="12"/>
        <v>690.34</v>
      </c>
      <c r="H51" s="234">
        <f>E51*$D$234</f>
        <v>29.643199599999999</v>
      </c>
      <c r="I51" s="234">
        <f>G51-H51</f>
        <v>660.69680040000003</v>
      </c>
      <c r="J51" s="232">
        <f t="shared" si="9"/>
        <v>0</v>
      </c>
      <c r="K51" s="232"/>
      <c r="L51" s="247"/>
      <c r="M51" s="236">
        <f t="shared" si="13"/>
        <v>0</v>
      </c>
      <c r="N51" s="232">
        <f t="shared" si="11"/>
        <v>0</v>
      </c>
      <c r="O51" s="239">
        <v>7</v>
      </c>
    </row>
    <row r="52" spans="1:15" x14ac:dyDescent="0.2">
      <c r="A52" s="237" t="s">
        <v>436</v>
      </c>
      <c r="B52" s="229">
        <v>454</v>
      </c>
      <c r="C52" s="230" t="s">
        <v>437</v>
      </c>
      <c r="D52" s="230" t="s">
        <v>438</v>
      </c>
      <c r="E52" s="231">
        <v>1237647.08</v>
      </c>
      <c r="F52" s="232" t="str">
        <f>$N$2</f>
        <v>Other Ratemaking</v>
      </c>
      <c r="G52" s="232">
        <f>I52+H52</f>
        <v>53144.565615200001</v>
      </c>
      <c r="H52" s="234">
        <f>E52*$D$234</f>
        <v>53144.565615200001</v>
      </c>
      <c r="I52" s="234">
        <v>0</v>
      </c>
      <c r="J52" s="232">
        <f t="shared" si="9"/>
        <v>0</v>
      </c>
      <c r="K52" s="232"/>
      <c r="L52" s="247"/>
      <c r="M52" s="234">
        <f t="shared" si="13"/>
        <v>0</v>
      </c>
      <c r="N52" s="232">
        <f>IF(F52=$N$2,E52-H52,0)</f>
        <v>1184502.5143848001</v>
      </c>
      <c r="O52" s="233" t="s">
        <v>432</v>
      </c>
    </row>
    <row r="53" spans="1:15" x14ac:dyDescent="0.2">
      <c r="A53" s="237" t="s">
        <v>439</v>
      </c>
      <c r="B53" s="229">
        <v>454</v>
      </c>
      <c r="C53" s="238" t="s">
        <v>440</v>
      </c>
      <c r="D53" s="230" t="s">
        <v>441</v>
      </c>
      <c r="E53" s="231">
        <v>3883.87</v>
      </c>
      <c r="F53" s="232" t="str">
        <f t="shared" ref="F53:F58" si="14">$G$2</f>
        <v>Traditional OOR</v>
      </c>
      <c r="G53" s="232">
        <f t="shared" si="12"/>
        <v>3883.87</v>
      </c>
      <c r="H53" s="234">
        <f>E53*$D$228</f>
        <v>166.77337779999999</v>
      </c>
      <c r="I53" s="234">
        <f t="shared" ref="I53:I64" si="15">G53-H53</f>
        <v>3717.0966221999997</v>
      </c>
      <c r="J53" s="232">
        <f t="shared" si="9"/>
        <v>0</v>
      </c>
      <c r="K53" s="232"/>
      <c r="L53" s="247"/>
      <c r="M53" s="236">
        <f t="shared" si="13"/>
        <v>0</v>
      </c>
      <c r="N53" s="232">
        <f t="shared" si="11"/>
        <v>0</v>
      </c>
      <c r="O53" s="239">
        <v>7</v>
      </c>
    </row>
    <row r="54" spans="1:15" x14ac:dyDescent="0.2">
      <c r="A54" s="237" t="s">
        <v>442</v>
      </c>
      <c r="B54" s="229">
        <v>454</v>
      </c>
      <c r="C54" s="238" t="s">
        <v>443</v>
      </c>
      <c r="D54" s="230" t="s">
        <v>444</v>
      </c>
      <c r="E54" s="231">
        <v>0</v>
      </c>
      <c r="F54" s="232" t="str">
        <f t="shared" si="14"/>
        <v>Traditional OOR</v>
      </c>
      <c r="G54" s="232">
        <f t="shared" si="12"/>
        <v>0</v>
      </c>
      <c r="H54" s="234">
        <v>0</v>
      </c>
      <c r="I54" s="234">
        <f t="shared" si="15"/>
        <v>0</v>
      </c>
      <c r="J54" s="232">
        <f t="shared" si="9"/>
        <v>0</v>
      </c>
      <c r="K54" s="232"/>
      <c r="L54" s="247"/>
      <c r="M54" s="236">
        <f t="shared" si="13"/>
        <v>0</v>
      </c>
      <c r="N54" s="232">
        <f t="shared" si="11"/>
        <v>0</v>
      </c>
      <c r="O54" s="239">
        <v>1</v>
      </c>
    </row>
    <row r="55" spans="1:15" x14ac:dyDescent="0.2">
      <c r="A55" s="237" t="s">
        <v>445</v>
      </c>
      <c r="B55" s="229">
        <v>454</v>
      </c>
      <c r="C55" s="238" t="s">
        <v>446</v>
      </c>
      <c r="D55" s="230" t="s">
        <v>447</v>
      </c>
      <c r="E55" s="231">
        <v>11390574.75</v>
      </c>
      <c r="F55" s="232" t="str">
        <f t="shared" si="14"/>
        <v>Traditional OOR</v>
      </c>
      <c r="G55" s="232">
        <f t="shared" si="12"/>
        <v>11390574.75</v>
      </c>
      <c r="H55" s="234">
        <v>0</v>
      </c>
      <c r="I55" s="234">
        <f t="shared" si="15"/>
        <v>11390574.75</v>
      </c>
      <c r="J55" s="232">
        <f t="shared" si="9"/>
        <v>0</v>
      </c>
      <c r="K55" s="232"/>
      <c r="L55" s="247"/>
      <c r="M55" s="236">
        <f t="shared" si="13"/>
        <v>0</v>
      </c>
      <c r="N55" s="232">
        <f t="shared" si="11"/>
        <v>0</v>
      </c>
      <c r="O55" s="239">
        <v>4</v>
      </c>
    </row>
    <row r="56" spans="1:15" x14ac:dyDescent="0.2">
      <c r="A56" s="237" t="s">
        <v>448</v>
      </c>
      <c r="B56" s="229">
        <v>454</v>
      </c>
      <c r="C56" s="238" t="s">
        <v>449</v>
      </c>
      <c r="D56" s="230" t="s">
        <v>450</v>
      </c>
      <c r="E56" s="231">
        <v>719020.91</v>
      </c>
      <c r="F56" s="232" t="str">
        <f t="shared" si="14"/>
        <v>Traditional OOR</v>
      </c>
      <c r="G56" s="232">
        <f t="shared" si="12"/>
        <v>719020.91</v>
      </c>
      <c r="H56" s="234">
        <v>0</v>
      </c>
      <c r="I56" s="234">
        <f>G56-H56</f>
        <v>719020.91</v>
      </c>
      <c r="J56" s="232">
        <f t="shared" si="9"/>
        <v>0</v>
      </c>
      <c r="K56" s="232"/>
      <c r="L56" s="247"/>
      <c r="M56" s="236">
        <f t="shared" si="13"/>
        <v>0</v>
      </c>
      <c r="N56" s="232">
        <f t="shared" si="11"/>
        <v>0</v>
      </c>
      <c r="O56" s="239">
        <v>4</v>
      </c>
    </row>
    <row r="57" spans="1:15" ht="13.5" thickBot="1" x14ac:dyDescent="0.25">
      <c r="A57" s="237" t="s">
        <v>451</v>
      </c>
      <c r="B57" s="229">
        <v>454</v>
      </c>
      <c r="C57" s="238" t="s">
        <v>452</v>
      </c>
      <c r="D57" s="230" t="s">
        <v>453</v>
      </c>
      <c r="E57" s="231">
        <v>25061712.68</v>
      </c>
      <c r="F57" s="232" t="str">
        <f t="shared" si="14"/>
        <v>Traditional OOR</v>
      </c>
      <c r="G57" s="232">
        <f t="shared" si="12"/>
        <v>25061712.68</v>
      </c>
      <c r="H57" s="269">
        <v>0</v>
      </c>
      <c r="I57" s="234">
        <f t="shared" si="15"/>
        <v>25061712.68</v>
      </c>
      <c r="J57" s="232">
        <f t="shared" si="9"/>
        <v>0</v>
      </c>
      <c r="K57" s="232"/>
      <c r="L57" s="247"/>
      <c r="M57" s="236">
        <f t="shared" si="13"/>
        <v>0</v>
      </c>
      <c r="N57" s="232">
        <f t="shared" si="11"/>
        <v>0</v>
      </c>
      <c r="O57" s="239">
        <v>4</v>
      </c>
    </row>
    <row r="58" spans="1:15" ht="13.5" thickBot="1" x14ac:dyDescent="0.25">
      <c r="A58" s="237" t="s">
        <v>454</v>
      </c>
      <c r="B58" s="229">
        <v>454</v>
      </c>
      <c r="C58" s="238" t="s">
        <v>455</v>
      </c>
      <c r="D58" s="230" t="s">
        <v>456</v>
      </c>
      <c r="E58" s="231">
        <v>14004036.630000001</v>
      </c>
      <c r="F58" s="232" t="str">
        <f t="shared" si="14"/>
        <v>Traditional OOR</v>
      </c>
      <c r="G58" s="270">
        <f t="shared" si="12"/>
        <v>14004036.630000001</v>
      </c>
      <c r="H58" s="271">
        <v>2075492.04</v>
      </c>
      <c r="I58" s="272">
        <f>G58-H58</f>
        <v>11928544.59</v>
      </c>
      <c r="J58" s="232">
        <f t="shared" si="9"/>
        <v>0</v>
      </c>
      <c r="K58" s="232"/>
      <c r="L58" s="247"/>
      <c r="M58" s="236">
        <f t="shared" si="13"/>
        <v>0</v>
      </c>
      <c r="N58" s="232">
        <f t="shared" si="11"/>
        <v>0</v>
      </c>
      <c r="O58" s="239">
        <v>8</v>
      </c>
    </row>
    <row r="59" spans="1:15" x14ac:dyDescent="0.2">
      <c r="A59" s="237" t="s">
        <v>457</v>
      </c>
      <c r="B59" s="229">
        <v>454</v>
      </c>
      <c r="C59" s="230" t="s">
        <v>458</v>
      </c>
      <c r="D59" s="230" t="s">
        <v>459</v>
      </c>
      <c r="E59" s="231">
        <v>22234900.640000001</v>
      </c>
      <c r="F59" s="232" t="str">
        <f>$J$2</f>
        <v>GRSM</v>
      </c>
      <c r="G59" s="232">
        <f t="shared" si="12"/>
        <v>0</v>
      </c>
      <c r="H59" s="273">
        <v>0</v>
      </c>
      <c r="I59" s="234">
        <f t="shared" si="15"/>
        <v>0</v>
      </c>
      <c r="J59" s="232">
        <f t="shared" si="9"/>
        <v>22234900.640000001</v>
      </c>
      <c r="K59" s="259" t="s">
        <v>316</v>
      </c>
      <c r="L59" s="268">
        <v>2894101.27</v>
      </c>
      <c r="M59" s="236">
        <f t="shared" si="13"/>
        <v>19340799.370000001</v>
      </c>
      <c r="N59" s="232">
        <f t="shared" si="11"/>
        <v>0</v>
      </c>
      <c r="O59" s="233">
        <v>2</v>
      </c>
    </row>
    <row r="60" spans="1:15" x14ac:dyDescent="0.2">
      <c r="A60" s="237" t="s">
        <v>460</v>
      </c>
      <c r="B60" s="229">
        <v>454</v>
      </c>
      <c r="C60" s="238" t="s">
        <v>461</v>
      </c>
      <c r="D60" s="230" t="s">
        <v>462</v>
      </c>
      <c r="E60" s="231">
        <v>0</v>
      </c>
      <c r="F60" s="232" t="str">
        <f>$G$2</f>
        <v>Traditional OOR</v>
      </c>
      <c r="G60" s="232">
        <f t="shared" si="12"/>
        <v>0</v>
      </c>
      <c r="H60" s="234">
        <v>0</v>
      </c>
      <c r="I60" s="234">
        <f t="shared" si="15"/>
        <v>0</v>
      </c>
      <c r="J60" s="232">
        <f t="shared" si="9"/>
        <v>0</v>
      </c>
      <c r="K60" s="232"/>
      <c r="L60" s="247"/>
      <c r="M60" s="236">
        <f t="shared" si="13"/>
        <v>0</v>
      </c>
      <c r="N60" s="232">
        <f t="shared" si="11"/>
        <v>0</v>
      </c>
      <c r="O60" s="233">
        <v>4</v>
      </c>
    </row>
    <row r="61" spans="1:15" x14ac:dyDescent="0.2">
      <c r="A61" s="237" t="s">
        <v>463</v>
      </c>
      <c r="B61" s="229">
        <v>454</v>
      </c>
      <c r="C61" s="228" t="s">
        <v>393</v>
      </c>
      <c r="D61" s="230" t="s">
        <v>394</v>
      </c>
      <c r="E61" s="231">
        <v>-21657.279999999999</v>
      </c>
      <c r="F61" s="232" t="str">
        <f>$G$2</f>
        <v>Traditional OOR</v>
      </c>
      <c r="G61" s="232">
        <f t="shared" si="12"/>
        <v>-21657.279999999999</v>
      </c>
      <c r="H61" s="234">
        <v>0</v>
      </c>
      <c r="I61" s="234">
        <f t="shared" si="15"/>
        <v>-21657.279999999999</v>
      </c>
      <c r="J61" s="232">
        <f t="shared" si="9"/>
        <v>0</v>
      </c>
      <c r="K61" s="232"/>
      <c r="L61" s="247"/>
      <c r="M61" s="236">
        <f t="shared" si="13"/>
        <v>0</v>
      </c>
      <c r="N61" s="232">
        <f t="shared" si="11"/>
        <v>0</v>
      </c>
      <c r="O61" s="233">
        <v>1</v>
      </c>
    </row>
    <row r="62" spans="1:15" x14ac:dyDescent="0.2">
      <c r="A62" s="228" t="s">
        <v>464</v>
      </c>
      <c r="B62" s="229">
        <v>454</v>
      </c>
      <c r="C62" s="229">
        <v>4206515</v>
      </c>
      <c r="D62" s="260" t="s">
        <v>465</v>
      </c>
      <c r="E62" s="231">
        <v>424984.26</v>
      </c>
      <c r="F62" s="232" t="s">
        <v>325</v>
      </c>
      <c r="G62" s="232">
        <f t="shared" si="12"/>
        <v>0</v>
      </c>
      <c r="H62" s="234">
        <v>0</v>
      </c>
      <c r="I62" s="234">
        <f t="shared" si="15"/>
        <v>0</v>
      </c>
      <c r="J62" s="232">
        <f t="shared" si="9"/>
        <v>424984.26</v>
      </c>
      <c r="K62" s="232" t="s">
        <v>316</v>
      </c>
      <c r="L62" s="247">
        <v>91160.44</v>
      </c>
      <c r="M62" s="234">
        <f t="shared" si="13"/>
        <v>333823.82</v>
      </c>
      <c r="N62" s="232">
        <f t="shared" si="11"/>
        <v>0</v>
      </c>
      <c r="O62" s="233">
        <v>2</v>
      </c>
    </row>
    <row r="63" spans="1:15" x14ac:dyDescent="0.2">
      <c r="A63" s="228" t="s">
        <v>466</v>
      </c>
      <c r="B63" s="229">
        <v>454</v>
      </c>
      <c r="C63" s="229">
        <v>4184122</v>
      </c>
      <c r="D63" s="260" t="s">
        <v>467</v>
      </c>
      <c r="E63" s="231">
        <v>610</v>
      </c>
      <c r="F63" s="232" t="s">
        <v>324</v>
      </c>
      <c r="G63" s="232">
        <f t="shared" si="12"/>
        <v>610</v>
      </c>
      <c r="H63" s="234">
        <v>0</v>
      </c>
      <c r="I63" s="234">
        <f t="shared" si="15"/>
        <v>610</v>
      </c>
      <c r="J63" s="232">
        <f t="shared" si="9"/>
        <v>0</v>
      </c>
      <c r="K63" s="232"/>
      <c r="L63" s="247"/>
      <c r="M63" s="234">
        <f t="shared" si="13"/>
        <v>0</v>
      </c>
      <c r="N63" s="232">
        <f t="shared" si="11"/>
        <v>0</v>
      </c>
      <c r="O63" s="233">
        <v>4</v>
      </c>
    </row>
    <row r="64" spans="1:15" x14ac:dyDescent="0.2">
      <c r="A64" s="228" t="s">
        <v>468</v>
      </c>
      <c r="B64" s="229">
        <v>454</v>
      </c>
      <c r="C64" s="229">
        <v>4184124</v>
      </c>
      <c r="D64" s="260" t="s">
        <v>469</v>
      </c>
      <c r="E64" s="231">
        <v>18320</v>
      </c>
      <c r="F64" s="232" t="s">
        <v>324</v>
      </c>
      <c r="G64" s="232">
        <f t="shared" si="12"/>
        <v>18320</v>
      </c>
      <c r="H64" s="234">
        <v>0</v>
      </c>
      <c r="I64" s="234">
        <f t="shared" si="15"/>
        <v>18320</v>
      </c>
      <c r="J64" s="232">
        <f t="shared" si="9"/>
        <v>0</v>
      </c>
      <c r="K64" s="232"/>
      <c r="L64" s="247"/>
      <c r="M64" s="234">
        <f t="shared" si="13"/>
        <v>0</v>
      </c>
      <c r="N64" s="232">
        <f t="shared" si="11"/>
        <v>0</v>
      </c>
      <c r="O64" s="233">
        <v>4</v>
      </c>
    </row>
    <row r="65" spans="1:15" x14ac:dyDescent="0.2">
      <c r="A65" s="228"/>
      <c r="B65" s="229"/>
      <c r="C65" s="230"/>
      <c r="D65" s="260"/>
      <c r="E65" s="231"/>
      <c r="F65" s="231"/>
      <c r="G65" s="248"/>
      <c r="H65" s="247"/>
      <c r="I65" s="247"/>
      <c r="J65" s="231"/>
      <c r="K65" s="231"/>
      <c r="L65" s="247"/>
      <c r="M65" s="247"/>
      <c r="N65" s="231"/>
      <c r="O65" s="246"/>
    </row>
    <row r="66" spans="1:15" x14ac:dyDescent="0.2">
      <c r="A66" s="241"/>
      <c r="B66" s="242"/>
      <c r="C66" s="243"/>
      <c r="D66" s="244"/>
      <c r="E66" s="231"/>
      <c r="F66" s="231"/>
      <c r="G66" s="248"/>
      <c r="H66" s="247"/>
      <c r="I66" s="247"/>
      <c r="J66" s="231"/>
      <c r="K66" s="231"/>
      <c r="L66" s="247"/>
      <c r="M66" s="247"/>
      <c r="N66" s="231"/>
      <c r="O66" s="246"/>
    </row>
    <row r="67" spans="1:15" x14ac:dyDescent="0.2">
      <c r="A67" s="237">
        <v>11</v>
      </c>
      <c r="B67" s="507" t="s">
        <v>470</v>
      </c>
      <c r="C67" s="508"/>
      <c r="D67" s="509"/>
      <c r="E67" s="249">
        <f>SUM(E39:E66)</f>
        <v>80313608.200000003</v>
      </c>
      <c r="F67" s="250"/>
      <c r="G67" s="249">
        <f>SUM(G39:G66)</f>
        <v>53841591.481559001</v>
      </c>
      <c r="H67" s="274">
        <f>SUM(H39:H66)</f>
        <v>2234725.3281363999</v>
      </c>
      <c r="I67" s="274">
        <f>SUM(I39:I66)</f>
        <v>51606866.153422594</v>
      </c>
      <c r="J67" s="249">
        <f>SUM(J39:J66)</f>
        <v>22927353.740000002</v>
      </c>
      <c r="K67" s="250"/>
      <c r="L67" s="249">
        <f>SUM(L39:L66)</f>
        <v>3057603.75</v>
      </c>
      <c r="M67" s="249">
        <f>SUM(M39:M66)</f>
        <v>19869749.990000002</v>
      </c>
      <c r="N67" s="249">
        <f>SUM(N39:N66)</f>
        <v>3544662.978441</v>
      </c>
      <c r="O67" s="213"/>
    </row>
    <row r="68" spans="1:15" ht="24.75" customHeight="1" x14ac:dyDescent="0.2">
      <c r="A68" s="237">
        <v>12</v>
      </c>
      <c r="B68" s="501" t="s">
        <v>471</v>
      </c>
      <c r="C68" s="502"/>
      <c r="D68" s="503"/>
      <c r="E68" s="252">
        <v>80313608</v>
      </c>
      <c r="F68" s="253"/>
      <c r="G68" s="275"/>
      <c r="H68" s="253"/>
      <c r="I68" s="253"/>
      <c r="J68" s="254"/>
      <c r="K68" s="253"/>
      <c r="L68" s="254"/>
      <c r="M68" s="254"/>
      <c r="N68" s="254"/>
      <c r="O68" s="165"/>
    </row>
    <row r="69" spans="1:15" x14ac:dyDescent="0.2">
      <c r="A69" s="255"/>
      <c r="B69" s="256"/>
      <c r="C69" s="257"/>
      <c r="D69" s="258"/>
      <c r="E69" s="254"/>
      <c r="F69" s="254"/>
      <c r="G69" s="254"/>
      <c r="H69" s="253"/>
      <c r="I69" s="253"/>
      <c r="J69" s="254"/>
      <c r="K69" s="253"/>
      <c r="L69" s="254"/>
      <c r="M69" s="254"/>
      <c r="N69" s="254"/>
      <c r="O69" s="165"/>
    </row>
    <row r="70" spans="1:15" x14ac:dyDescent="0.2">
      <c r="A70" s="237" t="s">
        <v>472</v>
      </c>
      <c r="B70" s="229">
        <v>456</v>
      </c>
      <c r="C70" s="238" t="s">
        <v>473</v>
      </c>
      <c r="D70" s="230" t="s">
        <v>474</v>
      </c>
      <c r="E70" s="231">
        <v>4509732.12</v>
      </c>
      <c r="F70" s="232" t="str">
        <f t="shared" ref="F70:F78" si="16">$G$2</f>
        <v>Traditional OOR</v>
      </c>
      <c r="G70" s="232">
        <f t="shared" ref="G70:G125" si="17">IF(F70=$G$2,E70,0)</f>
        <v>4509732.12</v>
      </c>
      <c r="H70" s="234">
        <v>0</v>
      </c>
      <c r="I70" s="234">
        <f t="shared" ref="I70:I125" si="18">G70-H70</f>
        <v>4509732.12</v>
      </c>
      <c r="J70" s="232">
        <f t="shared" ref="J70:J125" si="19">IF(F70=$J$2,E70,0)</f>
        <v>0</v>
      </c>
      <c r="K70" s="232"/>
      <c r="L70" s="247"/>
      <c r="M70" s="236">
        <f t="shared" ref="M70:M121" si="20">J70-L70</f>
        <v>0</v>
      </c>
      <c r="N70" s="232">
        <f t="shared" ref="N70:N125" si="21">IF(F70=$N$2,E70,0)</f>
        <v>0</v>
      </c>
      <c r="O70" s="239">
        <v>1</v>
      </c>
    </row>
    <row r="71" spans="1:15" x14ac:dyDescent="0.2">
      <c r="A71" s="237" t="s">
        <v>475</v>
      </c>
      <c r="B71" s="229">
        <v>456</v>
      </c>
      <c r="C71" s="238" t="s">
        <v>476</v>
      </c>
      <c r="D71" s="230" t="s">
        <v>477</v>
      </c>
      <c r="E71" s="231">
        <v>6295091.96</v>
      </c>
      <c r="F71" s="232" t="str">
        <f t="shared" si="16"/>
        <v>Traditional OOR</v>
      </c>
      <c r="G71" s="232">
        <f t="shared" si="17"/>
        <v>6295091.96</v>
      </c>
      <c r="H71" s="234">
        <v>0</v>
      </c>
      <c r="I71" s="234">
        <f t="shared" si="18"/>
        <v>6295091.96</v>
      </c>
      <c r="J71" s="232">
        <f t="shared" si="19"/>
        <v>0</v>
      </c>
      <c r="K71" s="232"/>
      <c r="L71" s="247"/>
      <c r="M71" s="236">
        <f t="shared" si="20"/>
        <v>0</v>
      </c>
      <c r="N71" s="232">
        <f t="shared" si="21"/>
        <v>0</v>
      </c>
      <c r="O71" s="239">
        <v>4</v>
      </c>
    </row>
    <row r="72" spans="1:15" x14ac:dyDescent="0.2">
      <c r="A72" s="237" t="s">
        <v>478</v>
      </c>
      <c r="B72" s="229">
        <v>456</v>
      </c>
      <c r="C72" s="238" t="s">
        <v>479</v>
      </c>
      <c r="D72" s="230" t="s">
        <v>480</v>
      </c>
      <c r="E72" s="231">
        <v>884025.94</v>
      </c>
      <c r="F72" s="232" t="str">
        <f t="shared" si="16"/>
        <v>Traditional OOR</v>
      </c>
      <c r="G72" s="232">
        <f t="shared" si="17"/>
        <v>884025.94</v>
      </c>
      <c r="H72" s="234">
        <v>0</v>
      </c>
      <c r="I72" s="234">
        <f t="shared" si="18"/>
        <v>884025.94</v>
      </c>
      <c r="J72" s="232">
        <f t="shared" si="19"/>
        <v>0</v>
      </c>
      <c r="K72" s="232"/>
      <c r="L72" s="247"/>
      <c r="M72" s="236">
        <f t="shared" si="20"/>
        <v>0</v>
      </c>
      <c r="N72" s="232">
        <f t="shared" si="21"/>
        <v>0</v>
      </c>
      <c r="O72" s="239">
        <v>4</v>
      </c>
    </row>
    <row r="73" spans="1:15" x14ac:dyDescent="0.2">
      <c r="A73" s="237" t="s">
        <v>481</v>
      </c>
      <c r="B73" s="229">
        <v>456</v>
      </c>
      <c r="C73" s="238" t="s">
        <v>482</v>
      </c>
      <c r="D73" s="230" t="s">
        <v>483</v>
      </c>
      <c r="E73" s="231">
        <v>-6073.4</v>
      </c>
      <c r="F73" s="232" t="str">
        <f t="shared" si="16"/>
        <v>Traditional OOR</v>
      </c>
      <c r="G73" s="232">
        <f t="shared" si="17"/>
        <v>-6073.4</v>
      </c>
      <c r="H73" s="234">
        <v>0</v>
      </c>
      <c r="I73" s="234">
        <f t="shared" si="18"/>
        <v>-6073.4</v>
      </c>
      <c r="J73" s="232">
        <f t="shared" si="19"/>
        <v>0</v>
      </c>
      <c r="K73" s="232"/>
      <c r="L73" s="247"/>
      <c r="M73" s="236">
        <f t="shared" si="20"/>
        <v>0</v>
      </c>
      <c r="N73" s="232">
        <f t="shared" si="21"/>
        <v>0</v>
      </c>
      <c r="O73" s="239">
        <v>3</v>
      </c>
    </row>
    <row r="74" spans="1:15" x14ac:dyDescent="0.2">
      <c r="A74" s="228" t="s">
        <v>484</v>
      </c>
      <c r="B74" s="229">
        <v>456</v>
      </c>
      <c r="C74" s="230" t="s">
        <v>485</v>
      </c>
      <c r="D74" s="230" t="s">
        <v>486</v>
      </c>
      <c r="E74" s="231">
        <v>480</v>
      </c>
      <c r="F74" s="232" t="str">
        <f t="shared" si="16"/>
        <v>Traditional OOR</v>
      </c>
      <c r="G74" s="232">
        <f t="shared" si="17"/>
        <v>480</v>
      </c>
      <c r="H74" s="234">
        <v>0</v>
      </c>
      <c r="I74" s="234">
        <f t="shared" si="18"/>
        <v>480</v>
      </c>
      <c r="J74" s="232">
        <f t="shared" si="19"/>
        <v>0</v>
      </c>
      <c r="K74" s="232"/>
      <c r="L74" s="247"/>
      <c r="M74" s="236">
        <f t="shared" si="20"/>
        <v>0</v>
      </c>
      <c r="N74" s="232">
        <f t="shared" si="21"/>
        <v>0</v>
      </c>
      <c r="O74" s="239">
        <v>1</v>
      </c>
    </row>
    <row r="75" spans="1:15" x14ac:dyDescent="0.2">
      <c r="A75" s="228" t="s">
        <v>487</v>
      </c>
      <c r="B75" s="229">
        <v>456</v>
      </c>
      <c r="C75" s="230" t="s">
        <v>488</v>
      </c>
      <c r="D75" s="230" t="s">
        <v>489</v>
      </c>
      <c r="E75" s="231">
        <v>599542.53</v>
      </c>
      <c r="F75" s="232" t="str">
        <f t="shared" si="16"/>
        <v>Traditional OOR</v>
      </c>
      <c r="G75" s="232">
        <f t="shared" si="17"/>
        <v>599542.53</v>
      </c>
      <c r="H75" s="234">
        <v>0</v>
      </c>
      <c r="I75" s="234">
        <f t="shared" si="18"/>
        <v>599542.53</v>
      </c>
      <c r="J75" s="232">
        <f t="shared" si="19"/>
        <v>0</v>
      </c>
      <c r="K75" s="232"/>
      <c r="L75" s="247"/>
      <c r="M75" s="236">
        <f t="shared" si="20"/>
        <v>0</v>
      </c>
      <c r="N75" s="232">
        <f t="shared" si="21"/>
        <v>0</v>
      </c>
      <c r="O75" s="239">
        <v>1</v>
      </c>
    </row>
    <row r="76" spans="1:15" x14ac:dyDescent="0.2">
      <c r="A76" s="228" t="s">
        <v>490</v>
      </c>
      <c r="B76" s="229">
        <v>456</v>
      </c>
      <c r="C76" s="230" t="s">
        <v>491</v>
      </c>
      <c r="D76" s="230" t="s">
        <v>492</v>
      </c>
      <c r="E76" s="231">
        <v>600</v>
      </c>
      <c r="F76" s="232" t="str">
        <f t="shared" si="16"/>
        <v>Traditional OOR</v>
      </c>
      <c r="G76" s="232">
        <f t="shared" si="17"/>
        <v>600</v>
      </c>
      <c r="H76" s="234">
        <v>0</v>
      </c>
      <c r="I76" s="234">
        <f t="shared" si="18"/>
        <v>600</v>
      </c>
      <c r="J76" s="232">
        <f t="shared" si="19"/>
        <v>0</v>
      </c>
      <c r="K76" s="232"/>
      <c r="L76" s="247"/>
      <c r="M76" s="236">
        <f t="shared" si="20"/>
        <v>0</v>
      </c>
      <c r="N76" s="232">
        <f t="shared" si="21"/>
        <v>0</v>
      </c>
      <c r="O76" s="239">
        <v>3</v>
      </c>
    </row>
    <row r="77" spans="1:15" x14ac:dyDescent="0.2">
      <c r="A77" s="228" t="s">
        <v>493</v>
      </c>
      <c r="B77" s="229">
        <v>456</v>
      </c>
      <c r="C77" s="229">
        <v>4186142</v>
      </c>
      <c r="D77" s="230" t="s">
        <v>494</v>
      </c>
      <c r="E77" s="231">
        <v>3427.68</v>
      </c>
      <c r="F77" s="232" t="str">
        <f t="shared" si="16"/>
        <v>Traditional OOR</v>
      </c>
      <c r="G77" s="232">
        <f>IF(F77=$G$2,E77,0)</f>
        <v>3427.68</v>
      </c>
      <c r="H77" s="234">
        <v>0</v>
      </c>
      <c r="I77" s="234">
        <f>G77-H77</f>
        <v>3427.68</v>
      </c>
      <c r="J77" s="232">
        <f t="shared" si="19"/>
        <v>0</v>
      </c>
      <c r="K77" s="232"/>
      <c r="L77" s="247"/>
      <c r="M77" s="236">
        <f t="shared" si="20"/>
        <v>0</v>
      </c>
      <c r="N77" s="232">
        <f t="shared" si="21"/>
        <v>0</v>
      </c>
      <c r="O77" s="239">
        <v>4</v>
      </c>
    </row>
    <row r="78" spans="1:15" x14ac:dyDescent="0.2">
      <c r="A78" s="228" t="s">
        <v>495</v>
      </c>
      <c r="B78" s="229">
        <v>456</v>
      </c>
      <c r="C78" s="230" t="s">
        <v>496</v>
      </c>
      <c r="D78" s="230" t="s">
        <v>497</v>
      </c>
      <c r="E78" s="231">
        <v>125.72</v>
      </c>
      <c r="F78" s="232" t="str">
        <f t="shared" si="16"/>
        <v>Traditional OOR</v>
      </c>
      <c r="G78" s="232">
        <f t="shared" si="17"/>
        <v>125.72</v>
      </c>
      <c r="H78" s="234">
        <f>E78*$D$228</f>
        <v>5.3984167999999997</v>
      </c>
      <c r="I78" s="234">
        <f t="shared" si="18"/>
        <v>120.32158319999999</v>
      </c>
      <c r="J78" s="232">
        <f t="shared" si="19"/>
        <v>0</v>
      </c>
      <c r="K78" s="232"/>
      <c r="L78" s="247"/>
      <c r="M78" s="236">
        <f t="shared" si="20"/>
        <v>0</v>
      </c>
      <c r="N78" s="232">
        <f t="shared" si="21"/>
        <v>0</v>
      </c>
      <c r="O78" s="239">
        <v>7</v>
      </c>
    </row>
    <row r="79" spans="1:15" x14ac:dyDescent="0.2">
      <c r="A79" s="228" t="s">
        <v>498</v>
      </c>
      <c r="B79" s="229">
        <v>456</v>
      </c>
      <c r="C79" s="230" t="s">
        <v>499</v>
      </c>
      <c r="D79" s="230" t="s">
        <v>500</v>
      </c>
      <c r="E79" s="231">
        <v>372216.48</v>
      </c>
      <c r="F79" s="232" t="str">
        <f>$N$2</f>
        <v>Other Ratemaking</v>
      </c>
      <c r="G79" s="232">
        <f>I79+H79</f>
        <v>15982.975651199999</v>
      </c>
      <c r="H79" s="234">
        <f>E79*$D$234</f>
        <v>15982.975651199999</v>
      </c>
      <c r="I79" s="234">
        <v>0</v>
      </c>
      <c r="J79" s="232">
        <f t="shared" si="19"/>
        <v>0</v>
      </c>
      <c r="K79" s="232"/>
      <c r="L79" s="247"/>
      <c r="M79" s="236">
        <f t="shared" si="20"/>
        <v>0</v>
      </c>
      <c r="N79" s="232">
        <f>IF(F79=$N$2,E79-H79,0)</f>
        <v>356233.50434879999</v>
      </c>
      <c r="O79" s="239" t="s">
        <v>432</v>
      </c>
    </row>
    <row r="80" spans="1:15" x14ac:dyDescent="0.2">
      <c r="A80" s="228" t="s">
        <v>501</v>
      </c>
      <c r="B80" s="229">
        <v>456</v>
      </c>
      <c r="C80" s="230" t="s">
        <v>502</v>
      </c>
      <c r="D80" s="230" t="s">
        <v>503</v>
      </c>
      <c r="E80" s="231">
        <v>1446.92</v>
      </c>
      <c r="F80" s="232" t="str">
        <f t="shared" ref="F80:F85" si="22">$G$2</f>
        <v>Traditional OOR</v>
      </c>
      <c r="G80" s="232">
        <f t="shared" si="17"/>
        <v>1446.92</v>
      </c>
      <c r="H80" s="234">
        <v>0</v>
      </c>
      <c r="I80" s="234">
        <f t="shared" si="18"/>
        <v>1446.92</v>
      </c>
      <c r="J80" s="232">
        <f t="shared" si="19"/>
        <v>0</v>
      </c>
      <c r="K80" s="232"/>
      <c r="L80" s="247"/>
      <c r="M80" s="236">
        <f t="shared" si="20"/>
        <v>0</v>
      </c>
      <c r="N80" s="232">
        <f t="shared" si="21"/>
        <v>0</v>
      </c>
      <c r="O80" s="239">
        <v>4</v>
      </c>
    </row>
    <row r="81" spans="1:15" x14ac:dyDescent="0.2">
      <c r="A81" s="228" t="s">
        <v>504</v>
      </c>
      <c r="B81" s="229">
        <v>456</v>
      </c>
      <c r="C81" s="230" t="s">
        <v>505</v>
      </c>
      <c r="D81" s="230" t="s">
        <v>506</v>
      </c>
      <c r="E81" s="231">
        <v>14522</v>
      </c>
      <c r="F81" s="232" t="str">
        <f t="shared" si="22"/>
        <v>Traditional OOR</v>
      </c>
      <c r="G81" s="232">
        <f t="shared" si="17"/>
        <v>14522</v>
      </c>
      <c r="H81" s="234">
        <v>0</v>
      </c>
      <c r="I81" s="234">
        <f t="shared" si="18"/>
        <v>14522</v>
      </c>
      <c r="J81" s="232">
        <f t="shared" si="19"/>
        <v>0</v>
      </c>
      <c r="K81" s="232"/>
      <c r="L81" s="247"/>
      <c r="M81" s="236">
        <f t="shared" si="20"/>
        <v>0</v>
      </c>
      <c r="N81" s="232">
        <f t="shared" si="21"/>
        <v>0</v>
      </c>
      <c r="O81" s="239">
        <v>4</v>
      </c>
    </row>
    <row r="82" spans="1:15" x14ac:dyDescent="0.2">
      <c r="A82" s="228" t="s">
        <v>507</v>
      </c>
      <c r="B82" s="229">
        <v>456</v>
      </c>
      <c r="C82" s="230" t="s">
        <v>508</v>
      </c>
      <c r="D82" s="230" t="s">
        <v>509</v>
      </c>
      <c r="E82" s="231">
        <v>4388</v>
      </c>
      <c r="F82" s="232" t="str">
        <f t="shared" si="22"/>
        <v>Traditional OOR</v>
      </c>
      <c r="G82" s="232">
        <f t="shared" si="17"/>
        <v>4388</v>
      </c>
      <c r="H82" s="234">
        <v>0</v>
      </c>
      <c r="I82" s="234">
        <f t="shared" si="18"/>
        <v>4388</v>
      </c>
      <c r="J82" s="232">
        <f t="shared" si="19"/>
        <v>0</v>
      </c>
      <c r="K82" s="232"/>
      <c r="L82" s="247"/>
      <c r="M82" s="236">
        <f t="shared" si="20"/>
        <v>0</v>
      </c>
      <c r="N82" s="232">
        <f t="shared" si="21"/>
        <v>0</v>
      </c>
      <c r="O82" s="239">
        <v>4</v>
      </c>
    </row>
    <row r="83" spans="1:15" x14ac:dyDescent="0.2">
      <c r="A83" s="228" t="s">
        <v>510</v>
      </c>
      <c r="B83" s="229">
        <v>456</v>
      </c>
      <c r="C83" s="230" t="s">
        <v>511</v>
      </c>
      <c r="D83" s="230" t="s">
        <v>512</v>
      </c>
      <c r="E83" s="231">
        <v>993.08</v>
      </c>
      <c r="F83" s="232" t="str">
        <f t="shared" si="22"/>
        <v>Traditional OOR</v>
      </c>
      <c r="G83" s="232">
        <f t="shared" si="17"/>
        <v>993.08</v>
      </c>
      <c r="H83" s="234">
        <v>0</v>
      </c>
      <c r="I83" s="234">
        <f t="shared" si="18"/>
        <v>993.08</v>
      </c>
      <c r="J83" s="232">
        <f t="shared" si="19"/>
        <v>0</v>
      </c>
      <c r="K83" s="232"/>
      <c r="L83" s="247"/>
      <c r="M83" s="236">
        <f t="shared" si="20"/>
        <v>0</v>
      </c>
      <c r="N83" s="232">
        <f t="shared" si="21"/>
        <v>0</v>
      </c>
      <c r="O83" s="239">
        <v>4</v>
      </c>
    </row>
    <row r="84" spans="1:15" x14ac:dyDescent="0.2">
      <c r="A84" s="228" t="s">
        <v>513</v>
      </c>
      <c r="B84" s="229">
        <v>456</v>
      </c>
      <c r="C84" s="230" t="s">
        <v>514</v>
      </c>
      <c r="D84" s="230" t="s">
        <v>515</v>
      </c>
      <c r="E84" s="231">
        <v>845</v>
      </c>
      <c r="F84" s="232" t="str">
        <f t="shared" si="22"/>
        <v>Traditional OOR</v>
      </c>
      <c r="G84" s="232">
        <f t="shared" si="17"/>
        <v>845</v>
      </c>
      <c r="H84" s="234">
        <v>0</v>
      </c>
      <c r="I84" s="234">
        <f t="shared" si="18"/>
        <v>845</v>
      </c>
      <c r="J84" s="232">
        <f t="shared" si="19"/>
        <v>0</v>
      </c>
      <c r="K84" s="232"/>
      <c r="L84" s="247"/>
      <c r="M84" s="236">
        <f t="shared" si="20"/>
        <v>0</v>
      </c>
      <c r="N84" s="232">
        <f t="shared" si="21"/>
        <v>0</v>
      </c>
      <c r="O84" s="239">
        <v>4</v>
      </c>
    </row>
    <row r="85" spans="1:15" x14ac:dyDescent="0.2">
      <c r="A85" s="228" t="s">
        <v>516</v>
      </c>
      <c r="B85" s="229">
        <v>456</v>
      </c>
      <c r="C85" s="230" t="s">
        <v>517</v>
      </c>
      <c r="D85" s="230" t="s">
        <v>518</v>
      </c>
      <c r="E85" s="231">
        <v>208656</v>
      </c>
      <c r="F85" s="232" t="str">
        <f t="shared" si="22"/>
        <v>Traditional OOR</v>
      </c>
      <c r="G85" s="232">
        <f t="shared" si="17"/>
        <v>208656</v>
      </c>
      <c r="H85" s="234">
        <v>0</v>
      </c>
      <c r="I85" s="234">
        <f t="shared" si="18"/>
        <v>208656</v>
      </c>
      <c r="J85" s="232">
        <f t="shared" si="19"/>
        <v>0</v>
      </c>
      <c r="K85" s="232"/>
      <c r="L85" s="247"/>
      <c r="M85" s="236">
        <f t="shared" si="20"/>
        <v>0</v>
      </c>
      <c r="N85" s="232">
        <f t="shared" si="21"/>
        <v>0</v>
      </c>
      <c r="O85" s="239">
        <v>4</v>
      </c>
    </row>
    <row r="86" spans="1:15" x14ac:dyDescent="0.2">
      <c r="A86" s="228" t="s">
        <v>519</v>
      </c>
      <c r="B86" s="229">
        <v>456</v>
      </c>
      <c r="C86" s="230" t="s">
        <v>520</v>
      </c>
      <c r="D86" s="230" t="s">
        <v>521</v>
      </c>
      <c r="E86" s="231">
        <v>1462927.95</v>
      </c>
      <c r="F86" s="232" t="str">
        <f t="shared" ref="F86:F99" si="23">$J$2</f>
        <v>GRSM</v>
      </c>
      <c r="G86" s="232">
        <f t="shared" si="17"/>
        <v>0</v>
      </c>
      <c r="H86" s="234">
        <v>0</v>
      </c>
      <c r="I86" s="234">
        <f t="shared" si="18"/>
        <v>0</v>
      </c>
      <c r="J86" s="232">
        <f t="shared" si="19"/>
        <v>1462927.95</v>
      </c>
      <c r="K86" s="259" t="s">
        <v>316</v>
      </c>
      <c r="L86" s="268">
        <v>256201.04</v>
      </c>
      <c r="M86" s="236">
        <f t="shared" si="20"/>
        <v>1206726.9099999999</v>
      </c>
      <c r="N86" s="232">
        <f t="shared" si="21"/>
        <v>0</v>
      </c>
      <c r="O86" s="239">
        <v>2</v>
      </c>
    </row>
    <row r="87" spans="1:15" x14ac:dyDescent="0.2">
      <c r="A87" s="228" t="s">
        <v>522</v>
      </c>
      <c r="B87" s="229">
        <v>456</v>
      </c>
      <c r="C87" s="230" t="s">
        <v>523</v>
      </c>
      <c r="D87" s="230" t="s">
        <v>524</v>
      </c>
      <c r="E87" s="231">
        <v>109453.18</v>
      </c>
      <c r="F87" s="232" t="str">
        <f t="shared" si="23"/>
        <v>GRSM</v>
      </c>
      <c r="G87" s="232">
        <f t="shared" si="17"/>
        <v>0</v>
      </c>
      <c r="H87" s="234">
        <v>0</v>
      </c>
      <c r="I87" s="234">
        <f t="shared" si="18"/>
        <v>0</v>
      </c>
      <c r="J87" s="232">
        <f t="shared" si="19"/>
        <v>109453.18</v>
      </c>
      <c r="K87" s="259" t="s">
        <v>316</v>
      </c>
      <c r="L87" s="268">
        <v>20080.599999999999</v>
      </c>
      <c r="M87" s="236">
        <f t="shared" si="20"/>
        <v>89372.579999999987</v>
      </c>
      <c r="N87" s="232">
        <f t="shared" si="21"/>
        <v>0</v>
      </c>
      <c r="O87" s="239">
        <v>2</v>
      </c>
    </row>
    <row r="88" spans="1:15" x14ac:dyDescent="0.2">
      <c r="A88" s="228" t="s">
        <v>525</v>
      </c>
      <c r="B88" s="229">
        <v>456</v>
      </c>
      <c r="C88" s="230" t="s">
        <v>526</v>
      </c>
      <c r="D88" s="230" t="s">
        <v>527</v>
      </c>
      <c r="E88" s="231">
        <v>75715</v>
      </c>
      <c r="F88" s="232" t="str">
        <f t="shared" si="23"/>
        <v>GRSM</v>
      </c>
      <c r="G88" s="232">
        <f t="shared" si="17"/>
        <v>0</v>
      </c>
      <c r="H88" s="234">
        <v>0</v>
      </c>
      <c r="I88" s="234">
        <f t="shared" si="18"/>
        <v>0</v>
      </c>
      <c r="J88" s="232">
        <f t="shared" si="19"/>
        <v>75715</v>
      </c>
      <c r="K88" s="259" t="s">
        <v>316</v>
      </c>
      <c r="L88" s="247">
        <v>9927.7099999999991</v>
      </c>
      <c r="M88" s="236">
        <f t="shared" si="20"/>
        <v>65787.290000000008</v>
      </c>
      <c r="N88" s="232">
        <f t="shared" si="21"/>
        <v>0</v>
      </c>
      <c r="O88" s="239">
        <v>2</v>
      </c>
    </row>
    <row r="89" spans="1:15" x14ac:dyDescent="0.2">
      <c r="A89" s="228" t="s">
        <v>528</v>
      </c>
      <c r="B89" s="229">
        <v>456</v>
      </c>
      <c r="C89" s="230" t="s">
        <v>529</v>
      </c>
      <c r="D89" s="230" t="s">
        <v>530</v>
      </c>
      <c r="E89" s="231">
        <v>0</v>
      </c>
      <c r="F89" s="232" t="str">
        <f t="shared" si="23"/>
        <v>GRSM</v>
      </c>
      <c r="G89" s="232">
        <f t="shared" si="17"/>
        <v>0</v>
      </c>
      <c r="H89" s="234">
        <v>0</v>
      </c>
      <c r="I89" s="234">
        <f t="shared" si="18"/>
        <v>0</v>
      </c>
      <c r="J89" s="232">
        <f t="shared" si="19"/>
        <v>0</v>
      </c>
      <c r="K89" s="259" t="s">
        <v>316</v>
      </c>
      <c r="L89" s="247">
        <v>0</v>
      </c>
      <c r="M89" s="236">
        <f t="shared" si="20"/>
        <v>0</v>
      </c>
      <c r="N89" s="232">
        <f t="shared" si="21"/>
        <v>0</v>
      </c>
      <c r="O89" s="233">
        <v>2</v>
      </c>
    </row>
    <row r="90" spans="1:15" x14ac:dyDescent="0.2">
      <c r="A90" s="228" t="s">
        <v>531</v>
      </c>
      <c r="B90" s="229">
        <v>456</v>
      </c>
      <c r="C90" s="230" t="s">
        <v>532</v>
      </c>
      <c r="D90" s="230" t="s">
        <v>533</v>
      </c>
      <c r="E90" s="231">
        <v>12941.55</v>
      </c>
      <c r="F90" s="232" t="str">
        <f t="shared" si="23"/>
        <v>GRSM</v>
      </c>
      <c r="G90" s="232">
        <f t="shared" si="17"/>
        <v>0</v>
      </c>
      <c r="H90" s="234">
        <v>0</v>
      </c>
      <c r="I90" s="234">
        <f t="shared" si="18"/>
        <v>0</v>
      </c>
      <c r="J90" s="232">
        <f t="shared" si="19"/>
        <v>12941.55</v>
      </c>
      <c r="K90" s="259" t="s">
        <v>316</v>
      </c>
      <c r="L90" s="247">
        <v>2437.7399999999998</v>
      </c>
      <c r="M90" s="236">
        <f t="shared" si="20"/>
        <v>10503.81</v>
      </c>
      <c r="N90" s="232">
        <f t="shared" si="21"/>
        <v>0</v>
      </c>
      <c r="O90" s="239">
        <v>2</v>
      </c>
    </row>
    <row r="91" spans="1:15" x14ac:dyDescent="0.2">
      <c r="A91" s="228" t="s">
        <v>534</v>
      </c>
      <c r="B91" s="229">
        <v>456</v>
      </c>
      <c r="C91" s="230" t="s">
        <v>535</v>
      </c>
      <c r="D91" s="230" t="s">
        <v>536</v>
      </c>
      <c r="E91" s="231">
        <v>225</v>
      </c>
      <c r="F91" s="232" t="str">
        <f t="shared" si="23"/>
        <v>GRSM</v>
      </c>
      <c r="G91" s="232">
        <f t="shared" si="17"/>
        <v>0</v>
      </c>
      <c r="H91" s="234">
        <v>0</v>
      </c>
      <c r="I91" s="234">
        <f t="shared" si="18"/>
        <v>0</v>
      </c>
      <c r="J91" s="232">
        <f t="shared" si="19"/>
        <v>225</v>
      </c>
      <c r="K91" s="259" t="s">
        <v>316</v>
      </c>
      <c r="L91" s="247">
        <v>0</v>
      </c>
      <c r="M91" s="236">
        <f t="shared" si="20"/>
        <v>225</v>
      </c>
      <c r="N91" s="232">
        <f t="shared" si="21"/>
        <v>0</v>
      </c>
      <c r="O91" s="239">
        <v>2</v>
      </c>
    </row>
    <row r="92" spans="1:15" x14ac:dyDescent="0.2">
      <c r="A92" s="228" t="s">
        <v>537</v>
      </c>
      <c r="B92" s="229">
        <v>456</v>
      </c>
      <c r="C92" s="230" t="s">
        <v>538</v>
      </c>
      <c r="D92" s="230" t="s">
        <v>539</v>
      </c>
      <c r="E92" s="231">
        <v>6085</v>
      </c>
      <c r="F92" s="232" t="str">
        <f t="shared" si="23"/>
        <v>GRSM</v>
      </c>
      <c r="G92" s="232">
        <f t="shared" si="17"/>
        <v>0</v>
      </c>
      <c r="H92" s="234">
        <v>0</v>
      </c>
      <c r="I92" s="234">
        <f t="shared" si="18"/>
        <v>0</v>
      </c>
      <c r="J92" s="232">
        <f t="shared" si="19"/>
        <v>6085</v>
      </c>
      <c r="K92" s="259" t="s">
        <v>316</v>
      </c>
      <c r="L92" s="247">
        <v>2725</v>
      </c>
      <c r="M92" s="236">
        <f t="shared" si="20"/>
        <v>3360</v>
      </c>
      <c r="N92" s="232">
        <f t="shared" si="21"/>
        <v>0</v>
      </c>
      <c r="O92" s="233">
        <v>2</v>
      </c>
    </row>
    <row r="93" spans="1:15" x14ac:dyDescent="0.2">
      <c r="A93" s="228" t="s">
        <v>540</v>
      </c>
      <c r="B93" s="229">
        <v>456</v>
      </c>
      <c r="C93" s="229">
        <v>4186536</v>
      </c>
      <c r="D93" s="260" t="s">
        <v>541</v>
      </c>
      <c r="E93" s="231">
        <v>0</v>
      </c>
      <c r="F93" s="232" t="str">
        <f t="shared" si="23"/>
        <v>GRSM</v>
      </c>
      <c r="G93" s="232">
        <f t="shared" si="17"/>
        <v>0</v>
      </c>
      <c r="H93" s="234">
        <v>0</v>
      </c>
      <c r="I93" s="234">
        <f t="shared" si="18"/>
        <v>0</v>
      </c>
      <c r="J93" s="232">
        <f t="shared" si="19"/>
        <v>0</v>
      </c>
      <c r="K93" s="259" t="s">
        <v>316</v>
      </c>
      <c r="L93" s="247">
        <v>0</v>
      </c>
      <c r="M93" s="236">
        <f t="shared" si="20"/>
        <v>0</v>
      </c>
      <c r="N93" s="232">
        <f t="shared" si="21"/>
        <v>0</v>
      </c>
      <c r="O93" s="233">
        <v>2</v>
      </c>
    </row>
    <row r="94" spans="1:15" x14ac:dyDescent="0.2">
      <c r="A94" s="228" t="s">
        <v>542</v>
      </c>
      <c r="B94" s="229">
        <v>456</v>
      </c>
      <c r="C94" s="229">
        <v>4186538</v>
      </c>
      <c r="D94" s="260" t="s">
        <v>543</v>
      </c>
      <c r="E94" s="231">
        <v>0</v>
      </c>
      <c r="F94" s="232" t="str">
        <f t="shared" si="23"/>
        <v>GRSM</v>
      </c>
      <c r="G94" s="232">
        <f t="shared" si="17"/>
        <v>0</v>
      </c>
      <c r="H94" s="234">
        <v>0</v>
      </c>
      <c r="I94" s="234">
        <f t="shared" si="18"/>
        <v>0</v>
      </c>
      <c r="J94" s="232">
        <f t="shared" si="19"/>
        <v>0</v>
      </c>
      <c r="K94" s="259" t="s">
        <v>316</v>
      </c>
      <c r="L94" s="247">
        <v>0</v>
      </c>
      <c r="M94" s="236">
        <f t="shared" si="20"/>
        <v>0</v>
      </c>
      <c r="N94" s="232">
        <f t="shared" si="21"/>
        <v>0</v>
      </c>
      <c r="O94" s="233">
        <v>2</v>
      </c>
    </row>
    <row r="95" spans="1:15" x14ac:dyDescent="0.2">
      <c r="A95" s="228" t="s">
        <v>544</v>
      </c>
      <c r="B95" s="229">
        <v>456</v>
      </c>
      <c r="C95" s="230" t="s">
        <v>545</v>
      </c>
      <c r="D95" s="230" t="s">
        <v>546</v>
      </c>
      <c r="E95" s="231">
        <v>0</v>
      </c>
      <c r="F95" s="232" t="str">
        <f t="shared" si="23"/>
        <v>GRSM</v>
      </c>
      <c r="G95" s="232">
        <f t="shared" si="17"/>
        <v>0</v>
      </c>
      <c r="H95" s="234">
        <v>0</v>
      </c>
      <c r="I95" s="234">
        <f t="shared" si="18"/>
        <v>0</v>
      </c>
      <c r="J95" s="232">
        <f t="shared" si="19"/>
        <v>0</v>
      </c>
      <c r="K95" s="259" t="s">
        <v>280</v>
      </c>
      <c r="L95" s="247">
        <v>0</v>
      </c>
      <c r="M95" s="236">
        <f t="shared" si="20"/>
        <v>0</v>
      </c>
      <c r="N95" s="232">
        <f t="shared" si="21"/>
        <v>0</v>
      </c>
      <c r="O95" s="233">
        <v>2</v>
      </c>
    </row>
    <row r="96" spans="1:15" x14ac:dyDescent="0.2">
      <c r="A96" s="228" t="s">
        <v>547</v>
      </c>
      <c r="B96" s="229">
        <v>456</v>
      </c>
      <c r="C96" s="230" t="s">
        <v>548</v>
      </c>
      <c r="D96" s="230" t="s">
        <v>549</v>
      </c>
      <c r="E96" s="231">
        <v>0</v>
      </c>
      <c r="F96" s="232" t="str">
        <f t="shared" si="23"/>
        <v>GRSM</v>
      </c>
      <c r="G96" s="232">
        <f t="shared" si="17"/>
        <v>0</v>
      </c>
      <c r="H96" s="234">
        <v>0</v>
      </c>
      <c r="I96" s="234">
        <f t="shared" si="18"/>
        <v>0</v>
      </c>
      <c r="J96" s="232">
        <f t="shared" si="19"/>
        <v>0</v>
      </c>
      <c r="K96" s="259" t="s">
        <v>280</v>
      </c>
      <c r="L96" s="247">
        <v>0</v>
      </c>
      <c r="M96" s="236">
        <f t="shared" si="20"/>
        <v>0</v>
      </c>
      <c r="N96" s="232">
        <f t="shared" si="21"/>
        <v>0</v>
      </c>
      <c r="O96" s="233">
        <v>2</v>
      </c>
    </row>
    <row r="97" spans="1:15" x14ac:dyDescent="0.2">
      <c r="A97" s="228" t="s">
        <v>550</v>
      </c>
      <c r="B97" s="229">
        <v>456</v>
      </c>
      <c r="C97" s="230" t="s">
        <v>551</v>
      </c>
      <c r="D97" s="230" t="s">
        <v>552</v>
      </c>
      <c r="E97" s="231">
        <v>0</v>
      </c>
      <c r="F97" s="232" t="str">
        <f t="shared" si="23"/>
        <v>GRSM</v>
      </c>
      <c r="G97" s="232">
        <f t="shared" si="17"/>
        <v>0</v>
      </c>
      <c r="H97" s="234">
        <v>0</v>
      </c>
      <c r="I97" s="234">
        <f t="shared" si="18"/>
        <v>0</v>
      </c>
      <c r="J97" s="232">
        <f t="shared" si="19"/>
        <v>0</v>
      </c>
      <c r="K97" s="259" t="s">
        <v>280</v>
      </c>
      <c r="L97" s="247">
        <v>0</v>
      </c>
      <c r="M97" s="236">
        <f t="shared" si="20"/>
        <v>0</v>
      </c>
      <c r="N97" s="232">
        <f t="shared" si="21"/>
        <v>0</v>
      </c>
      <c r="O97" s="233">
        <v>2</v>
      </c>
    </row>
    <row r="98" spans="1:15" x14ac:dyDescent="0.2">
      <c r="A98" s="228" t="s">
        <v>553</v>
      </c>
      <c r="B98" s="229">
        <v>456</v>
      </c>
      <c r="C98" s="230" t="s">
        <v>554</v>
      </c>
      <c r="D98" s="230" t="s">
        <v>555</v>
      </c>
      <c r="E98" s="231">
        <v>0</v>
      </c>
      <c r="F98" s="232" t="str">
        <f t="shared" si="23"/>
        <v>GRSM</v>
      </c>
      <c r="G98" s="232">
        <f t="shared" si="17"/>
        <v>0</v>
      </c>
      <c r="H98" s="234">
        <v>0</v>
      </c>
      <c r="I98" s="234">
        <f t="shared" si="18"/>
        <v>0</v>
      </c>
      <c r="J98" s="232">
        <f>IF(F98=$J$2,E98,0)</f>
        <v>0</v>
      </c>
      <c r="K98" s="259" t="s">
        <v>280</v>
      </c>
      <c r="L98" s="247">
        <v>0</v>
      </c>
      <c r="M98" s="236">
        <f t="shared" si="20"/>
        <v>0</v>
      </c>
      <c r="N98" s="232">
        <f t="shared" si="21"/>
        <v>0</v>
      </c>
      <c r="O98" s="239">
        <v>2</v>
      </c>
    </row>
    <row r="99" spans="1:15" x14ac:dyDescent="0.2">
      <c r="A99" s="228" t="s">
        <v>556</v>
      </c>
      <c r="B99" s="229">
        <v>456</v>
      </c>
      <c r="C99" s="230" t="s">
        <v>557</v>
      </c>
      <c r="D99" s="230" t="s">
        <v>558</v>
      </c>
      <c r="E99" s="231">
        <v>16095</v>
      </c>
      <c r="F99" s="232" t="str">
        <f t="shared" si="23"/>
        <v>GRSM</v>
      </c>
      <c r="G99" s="232">
        <f t="shared" si="17"/>
        <v>0</v>
      </c>
      <c r="H99" s="234">
        <v>0</v>
      </c>
      <c r="I99" s="234">
        <f t="shared" si="18"/>
        <v>0</v>
      </c>
      <c r="J99" s="232">
        <f t="shared" si="19"/>
        <v>16095</v>
      </c>
      <c r="K99" s="259" t="s">
        <v>280</v>
      </c>
      <c r="L99" s="268">
        <v>1344.14</v>
      </c>
      <c r="M99" s="234">
        <f t="shared" si="20"/>
        <v>14750.86</v>
      </c>
      <c r="N99" s="232">
        <f t="shared" si="21"/>
        <v>0</v>
      </c>
      <c r="O99" s="233">
        <v>2</v>
      </c>
    </row>
    <row r="100" spans="1:15" x14ac:dyDescent="0.2">
      <c r="A100" s="228" t="s">
        <v>559</v>
      </c>
      <c r="B100" s="229">
        <v>456</v>
      </c>
      <c r="C100" s="230" t="s">
        <v>560</v>
      </c>
      <c r="D100" s="230" t="s">
        <v>561</v>
      </c>
      <c r="E100" s="231">
        <v>0</v>
      </c>
      <c r="F100" s="232" t="str">
        <f>$N$2</f>
        <v>Other Ratemaking</v>
      </c>
      <c r="G100" s="232">
        <f t="shared" si="17"/>
        <v>0</v>
      </c>
      <c r="H100" s="234">
        <v>0</v>
      </c>
      <c r="I100" s="234">
        <f t="shared" si="18"/>
        <v>0</v>
      </c>
      <c r="J100" s="232">
        <f t="shared" si="19"/>
        <v>0</v>
      </c>
      <c r="K100" s="232"/>
      <c r="L100" s="247"/>
      <c r="M100" s="236">
        <f t="shared" si="20"/>
        <v>0</v>
      </c>
      <c r="N100" s="232">
        <f t="shared" si="21"/>
        <v>0</v>
      </c>
      <c r="O100" s="239">
        <v>6</v>
      </c>
    </row>
    <row r="101" spans="1:15" x14ac:dyDescent="0.2">
      <c r="A101" s="228" t="s">
        <v>562</v>
      </c>
      <c r="B101" s="229">
        <v>456</v>
      </c>
      <c r="C101" s="230" t="s">
        <v>563</v>
      </c>
      <c r="D101" s="230" t="s">
        <v>564</v>
      </c>
      <c r="E101" s="231">
        <v>6639365.1699999999</v>
      </c>
      <c r="F101" s="232" t="str">
        <f>$G$2</f>
        <v>Traditional OOR</v>
      </c>
      <c r="G101" s="232">
        <f t="shared" si="17"/>
        <v>6639365.1699999999</v>
      </c>
      <c r="H101" s="234">
        <v>0</v>
      </c>
      <c r="I101" s="234">
        <f t="shared" si="18"/>
        <v>6639365.1699999999</v>
      </c>
      <c r="J101" s="232">
        <f t="shared" si="19"/>
        <v>0</v>
      </c>
      <c r="K101" s="232"/>
      <c r="L101" s="247"/>
      <c r="M101" s="236">
        <f t="shared" si="20"/>
        <v>0</v>
      </c>
      <c r="N101" s="232">
        <f t="shared" si="21"/>
        <v>0</v>
      </c>
      <c r="O101" s="239">
        <v>4</v>
      </c>
    </row>
    <row r="102" spans="1:15" x14ac:dyDescent="0.2">
      <c r="A102" s="228" t="s">
        <v>565</v>
      </c>
      <c r="B102" s="229">
        <v>456</v>
      </c>
      <c r="C102" s="230" t="s">
        <v>566</v>
      </c>
      <c r="D102" s="230" t="s">
        <v>567</v>
      </c>
      <c r="E102" s="231">
        <v>151892342.61000001</v>
      </c>
      <c r="F102" s="232" t="str">
        <f t="shared" ref="F102:F107" si="24">$N$2</f>
        <v>Other Ratemaking</v>
      </c>
      <c r="G102" s="232">
        <f t="shared" si="17"/>
        <v>0</v>
      </c>
      <c r="H102" s="234">
        <v>0</v>
      </c>
      <c r="I102" s="234">
        <f t="shared" si="18"/>
        <v>0</v>
      </c>
      <c r="J102" s="232">
        <f t="shared" si="19"/>
        <v>0</v>
      </c>
      <c r="K102" s="232"/>
      <c r="L102" s="247"/>
      <c r="M102" s="236">
        <f t="shared" si="20"/>
        <v>0</v>
      </c>
      <c r="N102" s="232">
        <f t="shared" si="21"/>
        <v>151892342.61000001</v>
      </c>
      <c r="O102" s="239">
        <v>6</v>
      </c>
    </row>
    <row r="103" spans="1:15" x14ac:dyDescent="0.2">
      <c r="A103" s="228" t="s">
        <v>568</v>
      </c>
      <c r="B103" s="229">
        <v>456</v>
      </c>
      <c r="C103" s="230" t="s">
        <v>569</v>
      </c>
      <c r="D103" s="230" t="s">
        <v>570</v>
      </c>
      <c r="E103" s="231">
        <v>-35638216.140000001</v>
      </c>
      <c r="F103" s="232" t="str">
        <f t="shared" si="24"/>
        <v>Other Ratemaking</v>
      </c>
      <c r="G103" s="232">
        <f t="shared" si="17"/>
        <v>0</v>
      </c>
      <c r="H103" s="234">
        <v>0</v>
      </c>
      <c r="I103" s="234">
        <f t="shared" si="18"/>
        <v>0</v>
      </c>
      <c r="J103" s="232">
        <f t="shared" si="19"/>
        <v>0</v>
      </c>
      <c r="K103" s="232"/>
      <c r="L103" s="247"/>
      <c r="M103" s="236">
        <f t="shared" si="20"/>
        <v>0</v>
      </c>
      <c r="N103" s="232">
        <f t="shared" si="21"/>
        <v>-35638216.140000001</v>
      </c>
      <c r="O103" s="239">
        <v>6</v>
      </c>
    </row>
    <row r="104" spans="1:15" x14ac:dyDescent="0.2">
      <c r="A104" s="228" t="s">
        <v>571</v>
      </c>
      <c r="B104" s="229">
        <v>456</v>
      </c>
      <c r="C104" s="230" t="s">
        <v>572</v>
      </c>
      <c r="D104" s="230" t="s">
        <v>573</v>
      </c>
      <c r="E104" s="231">
        <v>-152070208</v>
      </c>
      <c r="F104" s="232" t="str">
        <f t="shared" si="24"/>
        <v>Other Ratemaking</v>
      </c>
      <c r="G104" s="232">
        <f t="shared" si="17"/>
        <v>0</v>
      </c>
      <c r="H104" s="234">
        <v>0</v>
      </c>
      <c r="I104" s="234">
        <f t="shared" si="18"/>
        <v>0</v>
      </c>
      <c r="J104" s="232">
        <f t="shared" si="19"/>
        <v>0</v>
      </c>
      <c r="K104" s="232"/>
      <c r="L104" s="247"/>
      <c r="M104" s="236">
        <f t="shared" si="20"/>
        <v>0</v>
      </c>
      <c r="N104" s="232">
        <f t="shared" si="21"/>
        <v>-152070208</v>
      </c>
      <c r="O104" s="239">
        <v>6</v>
      </c>
    </row>
    <row r="105" spans="1:15" x14ac:dyDescent="0.2">
      <c r="A105" s="228" t="s">
        <v>574</v>
      </c>
      <c r="B105" s="229">
        <v>456</v>
      </c>
      <c r="C105" s="230" t="s">
        <v>575</v>
      </c>
      <c r="D105" s="230" t="s">
        <v>576</v>
      </c>
      <c r="E105" s="231">
        <v>35638216.140000001</v>
      </c>
      <c r="F105" s="232" t="str">
        <f t="shared" si="24"/>
        <v>Other Ratemaking</v>
      </c>
      <c r="G105" s="232">
        <f t="shared" si="17"/>
        <v>0</v>
      </c>
      <c r="H105" s="234">
        <v>0</v>
      </c>
      <c r="I105" s="234">
        <f t="shared" si="18"/>
        <v>0</v>
      </c>
      <c r="J105" s="232">
        <f t="shared" si="19"/>
        <v>0</v>
      </c>
      <c r="K105" s="232"/>
      <c r="L105" s="247"/>
      <c r="M105" s="236">
        <f t="shared" si="20"/>
        <v>0</v>
      </c>
      <c r="N105" s="232">
        <f t="shared" si="21"/>
        <v>35638216.140000001</v>
      </c>
      <c r="O105" s="239">
        <v>6</v>
      </c>
    </row>
    <row r="106" spans="1:15" x14ac:dyDescent="0.2">
      <c r="A106" s="228" t="s">
        <v>577</v>
      </c>
      <c r="B106" s="229">
        <v>456</v>
      </c>
      <c r="C106" s="230" t="s">
        <v>578</v>
      </c>
      <c r="D106" s="230" t="s">
        <v>579</v>
      </c>
      <c r="E106" s="231">
        <v>40366101.490000002</v>
      </c>
      <c r="F106" s="232" t="str">
        <f t="shared" si="24"/>
        <v>Other Ratemaking</v>
      </c>
      <c r="G106" s="232">
        <f t="shared" si="17"/>
        <v>0</v>
      </c>
      <c r="H106" s="234">
        <v>0</v>
      </c>
      <c r="I106" s="234">
        <f t="shared" si="18"/>
        <v>0</v>
      </c>
      <c r="J106" s="232">
        <f t="shared" si="19"/>
        <v>0</v>
      </c>
      <c r="K106" s="232"/>
      <c r="L106" s="247"/>
      <c r="M106" s="236">
        <f t="shared" si="20"/>
        <v>0</v>
      </c>
      <c r="N106" s="232">
        <f t="shared" si="21"/>
        <v>40366101.490000002</v>
      </c>
      <c r="O106" s="239">
        <v>6</v>
      </c>
    </row>
    <row r="107" spans="1:15" x14ac:dyDescent="0.2">
      <c r="A107" s="228" t="s">
        <v>580</v>
      </c>
      <c r="B107" s="229">
        <v>456</v>
      </c>
      <c r="C107" s="230" t="s">
        <v>581</v>
      </c>
      <c r="D107" s="230" t="s">
        <v>582</v>
      </c>
      <c r="E107" s="231">
        <v>-40366101.490000002</v>
      </c>
      <c r="F107" s="232" t="str">
        <f t="shared" si="24"/>
        <v>Other Ratemaking</v>
      </c>
      <c r="G107" s="232">
        <f t="shared" si="17"/>
        <v>0</v>
      </c>
      <c r="H107" s="234">
        <v>0</v>
      </c>
      <c r="I107" s="234">
        <f t="shared" si="18"/>
        <v>0</v>
      </c>
      <c r="J107" s="232">
        <f t="shared" si="19"/>
        <v>0</v>
      </c>
      <c r="K107" s="232"/>
      <c r="L107" s="247"/>
      <c r="M107" s="236">
        <f t="shared" si="20"/>
        <v>0</v>
      </c>
      <c r="N107" s="232">
        <f t="shared" si="21"/>
        <v>-40366101.490000002</v>
      </c>
      <c r="O107" s="239">
        <v>6</v>
      </c>
    </row>
    <row r="108" spans="1:15" x14ac:dyDescent="0.2">
      <c r="A108" s="228" t="s">
        <v>583</v>
      </c>
      <c r="B108" s="229">
        <v>456</v>
      </c>
      <c r="C108" s="230" t="s">
        <v>584</v>
      </c>
      <c r="D108" s="230" t="s">
        <v>585</v>
      </c>
      <c r="E108" s="231">
        <v>0</v>
      </c>
      <c r="F108" s="232" t="str">
        <f>$J$2</f>
        <v>GRSM</v>
      </c>
      <c r="G108" s="232">
        <f t="shared" si="17"/>
        <v>0</v>
      </c>
      <c r="H108" s="234">
        <v>0</v>
      </c>
      <c r="I108" s="234">
        <f t="shared" si="18"/>
        <v>0</v>
      </c>
      <c r="J108" s="232">
        <f t="shared" si="19"/>
        <v>0</v>
      </c>
      <c r="K108" s="259" t="s">
        <v>280</v>
      </c>
      <c r="L108" s="247">
        <v>0</v>
      </c>
      <c r="M108" s="236">
        <f t="shared" si="20"/>
        <v>0</v>
      </c>
      <c r="N108" s="232">
        <f t="shared" si="21"/>
        <v>0</v>
      </c>
      <c r="O108" s="239">
        <v>2</v>
      </c>
    </row>
    <row r="109" spans="1:15" x14ac:dyDescent="0.2">
      <c r="A109" s="228" t="s">
        <v>586</v>
      </c>
      <c r="B109" s="229">
        <v>456</v>
      </c>
      <c r="C109" s="230" t="s">
        <v>587</v>
      </c>
      <c r="D109" s="230" t="s">
        <v>588</v>
      </c>
      <c r="E109" s="268">
        <v>0</v>
      </c>
      <c r="F109" s="232" t="str">
        <f>$J$2</f>
        <v>GRSM</v>
      </c>
      <c r="G109" s="232">
        <f t="shared" si="17"/>
        <v>0</v>
      </c>
      <c r="H109" s="234">
        <v>0</v>
      </c>
      <c r="I109" s="234">
        <f t="shared" si="18"/>
        <v>0</v>
      </c>
      <c r="J109" s="232">
        <f t="shared" si="19"/>
        <v>0</v>
      </c>
      <c r="K109" s="259" t="s">
        <v>280</v>
      </c>
      <c r="L109" s="268">
        <v>0</v>
      </c>
      <c r="M109" s="236">
        <f t="shared" si="20"/>
        <v>0</v>
      </c>
      <c r="N109" s="232">
        <f t="shared" si="21"/>
        <v>0</v>
      </c>
      <c r="O109" s="239">
        <v>2</v>
      </c>
    </row>
    <row r="110" spans="1:15" x14ac:dyDescent="0.2">
      <c r="A110" s="228" t="s">
        <v>589</v>
      </c>
      <c r="B110" s="229">
        <v>456</v>
      </c>
      <c r="C110" s="230" t="s">
        <v>590</v>
      </c>
      <c r="D110" s="230" t="s">
        <v>591</v>
      </c>
      <c r="E110" s="231">
        <v>0</v>
      </c>
      <c r="F110" s="232" t="str">
        <f>$N$2</f>
        <v>Other Ratemaking</v>
      </c>
      <c r="G110" s="232">
        <f t="shared" si="17"/>
        <v>0</v>
      </c>
      <c r="H110" s="234">
        <v>0</v>
      </c>
      <c r="I110" s="234">
        <f t="shared" si="18"/>
        <v>0</v>
      </c>
      <c r="J110" s="232">
        <f t="shared" si="19"/>
        <v>0</v>
      </c>
      <c r="K110" s="232"/>
      <c r="L110" s="247"/>
      <c r="M110" s="236">
        <f t="shared" si="20"/>
        <v>0</v>
      </c>
      <c r="N110" s="232">
        <f t="shared" si="21"/>
        <v>0</v>
      </c>
      <c r="O110" s="239">
        <v>6</v>
      </c>
    </row>
    <row r="111" spans="1:15" x14ac:dyDescent="0.2">
      <c r="A111" s="228" t="s">
        <v>592</v>
      </c>
      <c r="B111" s="229">
        <v>456</v>
      </c>
      <c r="C111" s="230" t="s">
        <v>593</v>
      </c>
      <c r="D111" s="230" t="s">
        <v>594</v>
      </c>
      <c r="E111" s="231">
        <v>483897.29</v>
      </c>
      <c r="F111" s="232" t="str">
        <f t="shared" ref="F111:F121" si="25">$G$2</f>
        <v>Traditional OOR</v>
      </c>
      <c r="G111" s="232">
        <f t="shared" si="17"/>
        <v>483897.29</v>
      </c>
      <c r="H111" s="234">
        <v>0</v>
      </c>
      <c r="I111" s="234">
        <f t="shared" si="18"/>
        <v>483897.29</v>
      </c>
      <c r="J111" s="232">
        <f t="shared" si="19"/>
        <v>0</v>
      </c>
      <c r="K111" s="232"/>
      <c r="L111" s="247"/>
      <c r="M111" s="236">
        <f t="shared" si="20"/>
        <v>0</v>
      </c>
      <c r="N111" s="232">
        <f t="shared" si="21"/>
        <v>0</v>
      </c>
      <c r="O111" s="239">
        <v>1</v>
      </c>
    </row>
    <row r="112" spans="1:15" x14ac:dyDescent="0.2">
      <c r="A112" s="228" t="s">
        <v>595</v>
      </c>
      <c r="B112" s="229">
        <v>456</v>
      </c>
      <c r="C112" s="230" t="s">
        <v>596</v>
      </c>
      <c r="D112" s="230" t="s">
        <v>597</v>
      </c>
      <c r="E112" s="231">
        <v>0</v>
      </c>
      <c r="F112" s="232" t="str">
        <f t="shared" si="25"/>
        <v>Traditional OOR</v>
      </c>
      <c r="G112" s="232">
        <f t="shared" si="17"/>
        <v>0</v>
      </c>
      <c r="H112" s="234">
        <v>0</v>
      </c>
      <c r="I112" s="234">
        <f t="shared" si="18"/>
        <v>0</v>
      </c>
      <c r="J112" s="232">
        <f t="shared" si="19"/>
        <v>0</v>
      </c>
      <c r="K112" s="232"/>
      <c r="L112" s="247"/>
      <c r="M112" s="236">
        <f t="shared" si="20"/>
        <v>0</v>
      </c>
      <c r="N112" s="232">
        <f t="shared" si="21"/>
        <v>0</v>
      </c>
      <c r="O112" s="239">
        <v>1</v>
      </c>
    </row>
    <row r="113" spans="1:15" x14ac:dyDescent="0.2">
      <c r="A113" s="228" t="s">
        <v>598</v>
      </c>
      <c r="B113" s="229">
        <v>456</v>
      </c>
      <c r="C113" s="230" t="s">
        <v>599</v>
      </c>
      <c r="D113" s="230" t="s">
        <v>600</v>
      </c>
      <c r="E113" s="231">
        <v>2400744.2799999998</v>
      </c>
      <c r="F113" s="232" t="str">
        <f t="shared" si="25"/>
        <v>Traditional OOR</v>
      </c>
      <c r="G113" s="232">
        <f t="shared" si="17"/>
        <v>2400744.2799999998</v>
      </c>
      <c r="H113" s="234">
        <v>0</v>
      </c>
      <c r="I113" s="234">
        <f t="shared" si="18"/>
        <v>2400744.2799999998</v>
      </c>
      <c r="J113" s="232">
        <f t="shared" si="19"/>
        <v>0</v>
      </c>
      <c r="K113" s="232"/>
      <c r="L113" s="247"/>
      <c r="M113" s="236">
        <f t="shared" si="20"/>
        <v>0</v>
      </c>
      <c r="N113" s="232">
        <f t="shared" si="21"/>
        <v>0</v>
      </c>
      <c r="O113" s="239">
        <v>4</v>
      </c>
    </row>
    <row r="114" spans="1:15" x14ac:dyDescent="0.2">
      <c r="A114" s="228" t="s">
        <v>601</v>
      </c>
      <c r="B114" s="229">
        <v>456</v>
      </c>
      <c r="C114" s="230" t="s">
        <v>602</v>
      </c>
      <c r="D114" s="230" t="s">
        <v>603</v>
      </c>
      <c r="E114" s="231">
        <v>518163.3</v>
      </c>
      <c r="F114" s="232" t="str">
        <f t="shared" si="25"/>
        <v>Traditional OOR</v>
      </c>
      <c r="G114" s="232">
        <f t="shared" si="17"/>
        <v>518163.3</v>
      </c>
      <c r="H114" s="234">
        <v>0</v>
      </c>
      <c r="I114" s="234">
        <f t="shared" si="18"/>
        <v>518163.3</v>
      </c>
      <c r="J114" s="232">
        <f t="shared" si="19"/>
        <v>0</v>
      </c>
      <c r="K114" s="232"/>
      <c r="L114" s="247"/>
      <c r="M114" s="236">
        <f t="shared" si="20"/>
        <v>0</v>
      </c>
      <c r="N114" s="232">
        <f t="shared" si="21"/>
        <v>0</v>
      </c>
      <c r="O114" s="239">
        <v>4</v>
      </c>
    </row>
    <row r="115" spans="1:15" x14ac:dyDescent="0.2">
      <c r="A115" s="228" t="s">
        <v>604</v>
      </c>
      <c r="B115" s="229">
        <v>456</v>
      </c>
      <c r="C115" s="230" t="s">
        <v>605</v>
      </c>
      <c r="D115" s="230" t="s">
        <v>606</v>
      </c>
      <c r="E115" s="231">
        <v>-279.5</v>
      </c>
      <c r="F115" s="232" t="str">
        <f t="shared" si="25"/>
        <v>Traditional OOR</v>
      </c>
      <c r="G115" s="232">
        <f t="shared" si="17"/>
        <v>-279.5</v>
      </c>
      <c r="H115" s="234">
        <v>0</v>
      </c>
      <c r="I115" s="234">
        <f t="shared" si="18"/>
        <v>-279.5</v>
      </c>
      <c r="J115" s="232">
        <f t="shared" si="19"/>
        <v>0</v>
      </c>
      <c r="K115" s="232"/>
      <c r="L115" s="247"/>
      <c r="M115" s="236">
        <f t="shared" si="20"/>
        <v>0</v>
      </c>
      <c r="N115" s="232">
        <f t="shared" si="21"/>
        <v>0</v>
      </c>
      <c r="O115" s="239">
        <v>4</v>
      </c>
    </row>
    <row r="116" spans="1:15" x14ac:dyDescent="0.2">
      <c r="A116" s="228" t="s">
        <v>607</v>
      </c>
      <c r="B116" s="229">
        <v>456</v>
      </c>
      <c r="C116" s="230" t="s">
        <v>608</v>
      </c>
      <c r="D116" s="230" t="s">
        <v>609</v>
      </c>
      <c r="E116" s="231">
        <v>0</v>
      </c>
      <c r="F116" s="232" t="str">
        <f t="shared" si="25"/>
        <v>Traditional OOR</v>
      </c>
      <c r="G116" s="232">
        <f t="shared" si="17"/>
        <v>0</v>
      </c>
      <c r="H116" s="234">
        <v>0</v>
      </c>
      <c r="I116" s="234">
        <f t="shared" si="18"/>
        <v>0</v>
      </c>
      <c r="J116" s="232">
        <f t="shared" si="19"/>
        <v>0</v>
      </c>
      <c r="K116" s="232"/>
      <c r="L116" s="247"/>
      <c r="M116" s="236">
        <f t="shared" si="20"/>
        <v>0</v>
      </c>
      <c r="N116" s="232">
        <f t="shared" si="21"/>
        <v>0</v>
      </c>
      <c r="O116" s="239">
        <v>1</v>
      </c>
    </row>
    <row r="117" spans="1:15" ht="13.5" thickBot="1" x14ac:dyDescent="0.25">
      <c r="A117" s="228" t="s">
        <v>610</v>
      </c>
      <c r="B117" s="229">
        <v>456</v>
      </c>
      <c r="C117" s="230" t="s">
        <v>611</v>
      </c>
      <c r="D117" s="230" t="s">
        <v>612</v>
      </c>
      <c r="E117" s="231">
        <v>2378.58</v>
      </c>
      <c r="F117" s="232" t="str">
        <f t="shared" si="25"/>
        <v>Traditional OOR</v>
      </c>
      <c r="G117" s="232">
        <f t="shared" si="17"/>
        <v>2378.58</v>
      </c>
      <c r="H117" s="269">
        <v>0</v>
      </c>
      <c r="I117" s="234">
        <f t="shared" si="18"/>
        <v>2378.58</v>
      </c>
      <c r="J117" s="232">
        <f t="shared" si="19"/>
        <v>0</v>
      </c>
      <c r="K117" s="232"/>
      <c r="L117" s="247"/>
      <c r="M117" s="236">
        <f t="shared" si="20"/>
        <v>0</v>
      </c>
      <c r="N117" s="232">
        <f t="shared" si="21"/>
        <v>0</v>
      </c>
      <c r="O117" s="239">
        <v>4</v>
      </c>
    </row>
    <row r="118" spans="1:15" ht="13.5" thickBot="1" x14ac:dyDescent="0.25">
      <c r="A118" s="228" t="s">
        <v>613</v>
      </c>
      <c r="B118" s="229">
        <v>456</v>
      </c>
      <c r="C118" s="230" t="s">
        <v>614</v>
      </c>
      <c r="D118" s="230" t="s">
        <v>615</v>
      </c>
      <c r="E118" s="231">
        <v>2154224.52</v>
      </c>
      <c r="F118" s="232" t="str">
        <f t="shared" si="25"/>
        <v>Traditional OOR</v>
      </c>
      <c r="G118" s="270">
        <f t="shared" si="17"/>
        <v>2154224.52</v>
      </c>
      <c r="H118" s="271">
        <v>77265.36</v>
      </c>
      <c r="I118" s="272">
        <f t="shared" si="18"/>
        <v>2076959.16</v>
      </c>
      <c r="J118" s="232">
        <f t="shared" si="19"/>
        <v>0</v>
      </c>
      <c r="K118" s="232"/>
      <c r="L118" s="247"/>
      <c r="M118" s="236">
        <f t="shared" si="20"/>
        <v>0</v>
      </c>
      <c r="N118" s="232">
        <f t="shared" si="21"/>
        <v>0</v>
      </c>
      <c r="O118" s="233">
        <v>8</v>
      </c>
    </row>
    <row r="119" spans="1:15" x14ac:dyDescent="0.2">
      <c r="A119" s="228" t="s">
        <v>616</v>
      </c>
      <c r="B119" s="229">
        <v>456</v>
      </c>
      <c r="C119" s="230" t="s">
        <v>617</v>
      </c>
      <c r="D119" s="230" t="s">
        <v>618</v>
      </c>
      <c r="E119" s="231">
        <v>3574028.1</v>
      </c>
      <c r="F119" s="232" t="str">
        <f t="shared" si="25"/>
        <v>Traditional OOR</v>
      </c>
      <c r="G119" s="232">
        <f t="shared" si="17"/>
        <v>3574028.1</v>
      </c>
      <c r="H119" s="273">
        <v>0</v>
      </c>
      <c r="I119" s="234">
        <f t="shared" si="18"/>
        <v>3574028.1</v>
      </c>
      <c r="J119" s="232">
        <f t="shared" si="19"/>
        <v>0</v>
      </c>
      <c r="K119" s="232"/>
      <c r="L119" s="247"/>
      <c r="M119" s="236">
        <f t="shared" si="20"/>
        <v>0</v>
      </c>
      <c r="N119" s="232">
        <f t="shared" si="21"/>
        <v>0</v>
      </c>
      <c r="O119" s="239">
        <v>4</v>
      </c>
    </row>
    <row r="120" spans="1:15" x14ac:dyDescent="0.2">
      <c r="A120" s="228" t="s">
        <v>619</v>
      </c>
      <c r="B120" s="229">
        <v>456</v>
      </c>
      <c r="C120" s="230" t="s">
        <v>620</v>
      </c>
      <c r="D120" s="230" t="s">
        <v>621</v>
      </c>
      <c r="E120" s="231">
        <v>1938.3</v>
      </c>
      <c r="F120" s="232" t="str">
        <f t="shared" si="25"/>
        <v>Traditional OOR</v>
      </c>
      <c r="G120" s="232">
        <f t="shared" si="17"/>
        <v>1938.3</v>
      </c>
      <c r="H120" s="234">
        <v>0</v>
      </c>
      <c r="I120" s="234">
        <f t="shared" si="18"/>
        <v>1938.3</v>
      </c>
      <c r="J120" s="232">
        <f t="shared" si="19"/>
        <v>0</v>
      </c>
      <c r="K120" s="232"/>
      <c r="L120" s="247"/>
      <c r="M120" s="236">
        <f t="shared" si="20"/>
        <v>0</v>
      </c>
      <c r="N120" s="232">
        <f t="shared" si="21"/>
        <v>0</v>
      </c>
      <c r="O120" s="239">
        <v>4</v>
      </c>
    </row>
    <row r="121" spans="1:15" x14ac:dyDescent="0.2">
      <c r="A121" s="228" t="s">
        <v>622</v>
      </c>
      <c r="B121" s="229">
        <v>456</v>
      </c>
      <c r="C121" s="230" t="s">
        <v>623</v>
      </c>
      <c r="D121" s="230" t="s">
        <v>624</v>
      </c>
      <c r="E121" s="231">
        <v>4057</v>
      </c>
      <c r="F121" s="232" t="str">
        <f t="shared" si="25"/>
        <v>Traditional OOR</v>
      </c>
      <c r="G121" s="232">
        <f t="shared" si="17"/>
        <v>4057</v>
      </c>
      <c r="H121" s="234">
        <v>0</v>
      </c>
      <c r="I121" s="234">
        <f t="shared" si="18"/>
        <v>4057</v>
      </c>
      <c r="J121" s="232">
        <f t="shared" si="19"/>
        <v>0</v>
      </c>
      <c r="K121" s="232"/>
      <c r="L121" s="247"/>
      <c r="M121" s="236">
        <f t="shared" si="20"/>
        <v>0</v>
      </c>
      <c r="N121" s="232">
        <f t="shared" si="21"/>
        <v>0</v>
      </c>
      <c r="O121" s="239">
        <v>6</v>
      </c>
    </row>
    <row r="122" spans="1:15" x14ac:dyDescent="0.2">
      <c r="A122" s="228" t="s">
        <v>625</v>
      </c>
      <c r="B122" s="229">
        <v>456</v>
      </c>
      <c r="C122" s="230" t="s">
        <v>626</v>
      </c>
      <c r="D122" s="230" t="s">
        <v>627</v>
      </c>
      <c r="E122" s="231">
        <v>0</v>
      </c>
      <c r="F122" s="232" t="str">
        <f>$J$2</f>
        <v>GRSM</v>
      </c>
      <c r="G122" s="232">
        <f t="shared" si="17"/>
        <v>0</v>
      </c>
      <c r="H122" s="234">
        <v>0</v>
      </c>
      <c r="I122" s="234">
        <f t="shared" si="18"/>
        <v>0</v>
      </c>
      <c r="J122" s="232">
        <f t="shared" si="19"/>
        <v>0</v>
      </c>
      <c r="K122" s="259" t="s">
        <v>316</v>
      </c>
      <c r="L122" s="247">
        <v>0</v>
      </c>
      <c r="M122" s="236">
        <f>J122-L122</f>
        <v>0</v>
      </c>
      <c r="N122" s="232">
        <f t="shared" si="21"/>
        <v>0</v>
      </c>
      <c r="O122" s="239">
        <v>2</v>
      </c>
    </row>
    <row r="123" spans="1:15" x14ac:dyDescent="0.2">
      <c r="A123" s="228" t="s">
        <v>628</v>
      </c>
      <c r="B123" s="229">
        <v>456</v>
      </c>
      <c r="C123" s="228" t="s">
        <v>393</v>
      </c>
      <c r="D123" s="230" t="s">
        <v>394</v>
      </c>
      <c r="E123" s="231">
        <v>-908.17</v>
      </c>
      <c r="F123" s="232" t="str">
        <f>$G$2</f>
        <v>Traditional OOR</v>
      </c>
      <c r="G123" s="232">
        <f t="shared" si="17"/>
        <v>-908.17</v>
      </c>
      <c r="H123" s="234">
        <v>0</v>
      </c>
      <c r="I123" s="234">
        <f t="shared" si="18"/>
        <v>-908.17</v>
      </c>
      <c r="J123" s="232">
        <f t="shared" si="19"/>
        <v>0</v>
      </c>
      <c r="K123" s="232"/>
      <c r="L123" s="247"/>
      <c r="M123" s="236">
        <f>J123-L123</f>
        <v>0</v>
      </c>
      <c r="N123" s="232">
        <f t="shared" si="21"/>
        <v>0</v>
      </c>
      <c r="O123" s="239">
        <v>1</v>
      </c>
    </row>
    <row r="124" spans="1:15" x14ac:dyDescent="0.2">
      <c r="A124" s="228" t="s">
        <v>629</v>
      </c>
      <c r="B124" s="229">
        <v>456</v>
      </c>
      <c r="C124" s="229">
        <v>4186911</v>
      </c>
      <c r="D124" s="260" t="s">
        <v>630</v>
      </c>
      <c r="E124" s="231">
        <v>1555196.68</v>
      </c>
      <c r="F124" s="232" t="s">
        <v>326</v>
      </c>
      <c r="G124" s="232">
        <f t="shared" si="17"/>
        <v>0</v>
      </c>
      <c r="H124" s="234">
        <v>0</v>
      </c>
      <c r="I124" s="234">
        <f t="shared" si="18"/>
        <v>0</v>
      </c>
      <c r="J124" s="232">
        <f t="shared" si="19"/>
        <v>0</v>
      </c>
      <c r="K124" s="232"/>
      <c r="L124" s="247"/>
      <c r="M124" s="234">
        <f t="shared" ref="M124:M125" si="26">J124-L124</f>
        <v>0</v>
      </c>
      <c r="N124" s="232">
        <f t="shared" si="21"/>
        <v>1555196.68</v>
      </c>
      <c r="O124" s="233">
        <v>6</v>
      </c>
    </row>
    <row r="125" spans="1:15" x14ac:dyDescent="0.2">
      <c r="A125" s="228" t="s">
        <v>631</v>
      </c>
      <c r="B125" s="229">
        <v>456</v>
      </c>
      <c r="C125" s="229">
        <v>4186925</v>
      </c>
      <c r="D125" s="260" t="s">
        <v>632</v>
      </c>
      <c r="E125" s="231">
        <v>109658120</v>
      </c>
      <c r="F125" s="232" t="s">
        <v>326</v>
      </c>
      <c r="G125" s="232">
        <f t="shared" si="17"/>
        <v>0</v>
      </c>
      <c r="H125" s="234">
        <v>0</v>
      </c>
      <c r="I125" s="234">
        <f t="shared" si="18"/>
        <v>0</v>
      </c>
      <c r="J125" s="232">
        <f t="shared" si="19"/>
        <v>0</v>
      </c>
      <c r="K125" s="232"/>
      <c r="L125" s="247"/>
      <c r="M125" s="234">
        <f t="shared" si="26"/>
        <v>0</v>
      </c>
      <c r="N125" s="232">
        <f t="shared" si="21"/>
        <v>109658120</v>
      </c>
      <c r="O125" s="233">
        <v>6</v>
      </c>
    </row>
    <row r="126" spans="1:15" x14ac:dyDescent="0.2">
      <c r="A126" s="241"/>
      <c r="B126" s="242"/>
      <c r="C126" s="243"/>
      <c r="D126" s="244"/>
      <c r="E126" s="231"/>
      <c r="F126" s="231"/>
      <c r="G126" s="248"/>
      <c r="H126" s="247"/>
      <c r="I126" s="247"/>
      <c r="J126" s="231"/>
      <c r="K126" s="231"/>
      <c r="L126" s="247"/>
      <c r="M126" s="247"/>
      <c r="N126" s="231"/>
      <c r="O126" s="246"/>
    </row>
    <row r="127" spans="1:15" x14ac:dyDescent="0.2">
      <c r="A127" s="241"/>
      <c r="B127" s="242"/>
      <c r="C127" s="243"/>
      <c r="D127" s="244"/>
      <c r="E127" s="231"/>
      <c r="F127" s="231"/>
      <c r="G127" s="248"/>
      <c r="H127" s="247"/>
      <c r="I127" s="247"/>
      <c r="J127" s="231"/>
      <c r="K127" s="231"/>
      <c r="L127" s="247"/>
      <c r="M127" s="247"/>
      <c r="N127" s="231"/>
      <c r="O127" s="246"/>
    </row>
    <row r="128" spans="1:15" x14ac:dyDescent="0.2">
      <c r="A128" s="237">
        <v>13</v>
      </c>
      <c r="B128" s="507" t="s">
        <v>633</v>
      </c>
      <c r="C128" s="508"/>
      <c r="D128" s="509"/>
      <c r="E128" s="249">
        <f>SUM(E70:E127)</f>
        <v>141386522.87000003</v>
      </c>
      <c r="F128" s="250"/>
      <c r="G128" s="249">
        <f>SUM(G70:G127)</f>
        <v>28311395.395651199</v>
      </c>
      <c r="H128" s="274">
        <f>SUM(H70:H127)</f>
        <v>93253.734068000005</v>
      </c>
      <c r="I128" s="274">
        <f>SUM(I70:I127)</f>
        <v>28218141.661583196</v>
      </c>
      <c r="J128" s="249">
        <f>SUM(J70:J127)</f>
        <v>1683442.68</v>
      </c>
      <c r="K128" s="250"/>
      <c r="L128" s="249">
        <f>SUM(L70:L127)</f>
        <v>292716.23000000004</v>
      </c>
      <c r="M128" s="249">
        <f>SUM(M70:M127)</f>
        <v>1390726.4500000002</v>
      </c>
      <c r="N128" s="249">
        <f>SUM(N70:N127)</f>
        <v>111391684.79434884</v>
      </c>
      <c r="O128" s="213"/>
    </row>
    <row r="129" spans="1:15" ht="25.5" customHeight="1" x14ac:dyDescent="0.2">
      <c r="A129" s="237">
        <v>14</v>
      </c>
      <c r="B129" s="501" t="s">
        <v>634</v>
      </c>
      <c r="C129" s="502"/>
      <c r="D129" s="503"/>
      <c r="E129" s="252">
        <v>141386523</v>
      </c>
      <c r="F129" s="253"/>
      <c r="G129" s="275"/>
      <c r="H129" s="253"/>
      <c r="I129" s="253"/>
      <c r="J129" s="275"/>
      <c r="K129" s="253"/>
      <c r="L129" s="254"/>
      <c r="M129" s="254"/>
      <c r="N129" s="254"/>
      <c r="O129" s="165"/>
    </row>
    <row r="130" spans="1:15" x14ac:dyDescent="0.2">
      <c r="A130" s="255"/>
      <c r="B130" s="256"/>
      <c r="C130" s="257"/>
      <c r="D130" s="258"/>
      <c r="E130" s="254"/>
      <c r="F130" s="254"/>
      <c r="G130" s="254"/>
      <c r="H130" s="253"/>
      <c r="I130" s="253"/>
      <c r="J130" s="254"/>
      <c r="K130" s="253"/>
      <c r="L130" s="254"/>
      <c r="M130" s="254"/>
      <c r="N130" s="254"/>
      <c r="O130" s="165"/>
    </row>
    <row r="131" spans="1:15" x14ac:dyDescent="0.2">
      <c r="A131" s="237" t="s">
        <v>68</v>
      </c>
      <c r="B131" s="229">
        <v>456.1</v>
      </c>
      <c r="C131" s="238" t="s">
        <v>635</v>
      </c>
      <c r="D131" s="230" t="s">
        <v>636</v>
      </c>
      <c r="E131" s="268">
        <v>0</v>
      </c>
      <c r="F131" s="232" t="str">
        <f>$G$2</f>
        <v>Traditional OOR</v>
      </c>
      <c r="G131" s="232">
        <f t="shared" ref="G131:G149" si="27">IF(F131=$G$2,E131,0)</f>
        <v>0</v>
      </c>
      <c r="H131" s="234">
        <f>G131</f>
        <v>0</v>
      </c>
      <c r="I131" s="234">
        <f t="shared" ref="I131:I149" si="28">G131-H131</f>
        <v>0</v>
      </c>
      <c r="J131" s="232">
        <f t="shared" ref="J131:J149" si="29">IF(F131=$J$2,E131,0)</f>
        <v>0</v>
      </c>
      <c r="K131" s="259"/>
      <c r="L131" s="247"/>
      <c r="M131" s="236">
        <f t="shared" ref="M131:M149" si="30">J131-L131</f>
        <v>0</v>
      </c>
      <c r="N131" s="232">
        <f t="shared" ref="N131:N149" si="31">IF(F131=$N$2,E131,0)</f>
        <v>0</v>
      </c>
      <c r="O131" s="239">
        <v>5</v>
      </c>
    </row>
    <row r="132" spans="1:15" x14ac:dyDescent="0.2">
      <c r="A132" s="237" t="s">
        <v>637</v>
      </c>
      <c r="B132" s="229">
        <v>456.1</v>
      </c>
      <c r="C132" s="238" t="s">
        <v>638</v>
      </c>
      <c r="D132" s="230" t="s">
        <v>639</v>
      </c>
      <c r="E132" s="268">
        <v>299738.03999999998</v>
      </c>
      <c r="F132" s="232" t="str">
        <f>$G$2</f>
        <v>Traditional OOR</v>
      </c>
      <c r="G132" s="232">
        <f t="shared" si="27"/>
        <v>299738.03999999998</v>
      </c>
      <c r="H132" s="234">
        <v>0</v>
      </c>
      <c r="I132" s="234">
        <f t="shared" si="28"/>
        <v>299738.03999999998</v>
      </c>
      <c r="J132" s="232">
        <f t="shared" si="29"/>
        <v>0</v>
      </c>
      <c r="K132" s="259"/>
      <c r="L132" s="247"/>
      <c r="M132" s="236">
        <f t="shared" si="30"/>
        <v>0</v>
      </c>
      <c r="N132" s="232">
        <f t="shared" si="31"/>
        <v>0</v>
      </c>
      <c r="O132" s="239">
        <v>4</v>
      </c>
    </row>
    <row r="133" spans="1:15" x14ac:dyDescent="0.2">
      <c r="A133" s="237" t="s">
        <v>640</v>
      </c>
      <c r="B133" s="229">
        <v>456.1</v>
      </c>
      <c r="C133" s="238" t="s">
        <v>641</v>
      </c>
      <c r="D133" s="230" t="s">
        <v>642</v>
      </c>
      <c r="E133" s="268">
        <v>992562.96</v>
      </c>
      <c r="F133" s="232" t="str">
        <f>$G$2</f>
        <v>Traditional OOR</v>
      </c>
      <c r="G133" s="232">
        <f t="shared" si="27"/>
        <v>992562.96</v>
      </c>
      <c r="H133" s="234">
        <v>0</v>
      </c>
      <c r="I133" s="234">
        <f t="shared" si="28"/>
        <v>992562.96</v>
      </c>
      <c r="J133" s="232">
        <f t="shared" si="29"/>
        <v>0</v>
      </c>
      <c r="K133" s="259"/>
      <c r="L133" s="247"/>
      <c r="M133" s="236">
        <f t="shared" si="30"/>
        <v>0</v>
      </c>
      <c r="N133" s="232">
        <f t="shared" si="31"/>
        <v>0</v>
      </c>
      <c r="O133" s="239">
        <v>4</v>
      </c>
    </row>
    <row r="134" spans="1:15" x14ac:dyDescent="0.2">
      <c r="A134" s="237" t="s">
        <v>643</v>
      </c>
      <c r="B134" s="229">
        <v>456.1</v>
      </c>
      <c r="C134" s="238" t="s">
        <v>644</v>
      </c>
      <c r="D134" s="230" t="s">
        <v>645</v>
      </c>
      <c r="E134" s="268">
        <v>245120</v>
      </c>
      <c r="F134" s="232" t="str">
        <f>$N$2</f>
        <v>Other Ratemaking</v>
      </c>
      <c r="G134" s="232">
        <f t="shared" si="27"/>
        <v>0</v>
      </c>
      <c r="H134" s="234">
        <v>0</v>
      </c>
      <c r="I134" s="234">
        <f t="shared" si="28"/>
        <v>0</v>
      </c>
      <c r="J134" s="232">
        <f t="shared" si="29"/>
        <v>0</v>
      </c>
      <c r="K134" s="259"/>
      <c r="L134" s="247"/>
      <c r="M134" s="236">
        <f t="shared" si="30"/>
        <v>0</v>
      </c>
      <c r="N134" s="232">
        <f t="shared" si="31"/>
        <v>245120</v>
      </c>
      <c r="O134" s="239">
        <v>6</v>
      </c>
    </row>
    <row r="135" spans="1:15" x14ac:dyDescent="0.2">
      <c r="A135" s="237" t="s">
        <v>646</v>
      </c>
      <c r="B135" s="229">
        <v>456.1</v>
      </c>
      <c r="C135" s="238" t="s">
        <v>647</v>
      </c>
      <c r="D135" s="230" t="s">
        <v>648</v>
      </c>
      <c r="E135" s="268">
        <v>35922110.460000001</v>
      </c>
      <c r="F135" s="232" t="str">
        <f>$N$2</f>
        <v>Other Ratemaking</v>
      </c>
      <c r="G135" s="232">
        <f t="shared" si="27"/>
        <v>0</v>
      </c>
      <c r="H135" s="234">
        <v>0</v>
      </c>
      <c r="I135" s="234">
        <f t="shared" si="28"/>
        <v>0</v>
      </c>
      <c r="J135" s="232">
        <f t="shared" si="29"/>
        <v>0</v>
      </c>
      <c r="K135" s="259"/>
      <c r="L135" s="247"/>
      <c r="M135" s="236">
        <f t="shared" si="30"/>
        <v>0</v>
      </c>
      <c r="N135" s="232">
        <f t="shared" si="31"/>
        <v>35922110.460000001</v>
      </c>
      <c r="O135" s="239">
        <v>6</v>
      </c>
    </row>
    <row r="136" spans="1:15" x14ac:dyDescent="0.2">
      <c r="A136" s="237" t="s">
        <v>649</v>
      </c>
      <c r="B136" s="229">
        <v>456.1</v>
      </c>
      <c r="C136" s="238" t="s">
        <v>650</v>
      </c>
      <c r="D136" s="230" t="s">
        <v>651</v>
      </c>
      <c r="E136" s="268">
        <v>0</v>
      </c>
      <c r="F136" s="232" t="str">
        <f>$N$2</f>
        <v>Other Ratemaking</v>
      </c>
      <c r="G136" s="232">
        <f t="shared" si="27"/>
        <v>0</v>
      </c>
      <c r="H136" s="234">
        <v>0</v>
      </c>
      <c r="I136" s="234">
        <f t="shared" si="28"/>
        <v>0</v>
      </c>
      <c r="J136" s="232">
        <f t="shared" si="29"/>
        <v>0</v>
      </c>
      <c r="K136" s="259"/>
      <c r="L136" s="247"/>
      <c r="M136" s="236">
        <f t="shared" si="30"/>
        <v>0</v>
      </c>
      <c r="N136" s="232">
        <f t="shared" si="31"/>
        <v>0</v>
      </c>
      <c r="O136" s="239">
        <v>6</v>
      </c>
    </row>
    <row r="137" spans="1:15" x14ac:dyDescent="0.2">
      <c r="A137" s="237" t="s">
        <v>652</v>
      </c>
      <c r="B137" s="229">
        <v>456.1</v>
      </c>
      <c r="C137" s="238" t="s">
        <v>653</v>
      </c>
      <c r="D137" s="230" t="s">
        <v>654</v>
      </c>
      <c r="E137" s="268">
        <v>37724739.600000001</v>
      </c>
      <c r="F137" s="232" t="str">
        <f>$G$2</f>
        <v>Traditional OOR</v>
      </c>
      <c r="G137" s="232">
        <f t="shared" si="27"/>
        <v>37724739.600000001</v>
      </c>
      <c r="H137" s="234">
        <f>G137</f>
        <v>37724739.600000001</v>
      </c>
      <c r="I137" s="234">
        <f t="shared" si="28"/>
        <v>0</v>
      </c>
      <c r="J137" s="232">
        <f t="shared" si="29"/>
        <v>0</v>
      </c>
      <c r="K137" s="259"/>
      <c r="L137" s="247"/>
      <c r="M137" s="236">
        <f t="shared" si="30"/>
        <v>0</v>
      </c>
      <c r="N137" s="232">
        <f t="shared" si="31"/>
        <v>0</v>
      </c>
      <c r="O137" s="239">
        <v>5</v>
      </c>
    </row>
    <row r="138" spans="1:15" x14ac:dyDescent="0.2">
      <c r="A138" s="237" t="s">
        <v>655</v>
      </c>
      <c r="B138" s="229">
        <v>456.1</v>
      </c>
      <c r="C138" s="238" t="s">
        <v>656</v>
      </c>
      <c r="D138" s="230" t="s">
        <v>657</v>
      </c>
      <c r="E138" s="268">
        <v>5027852.3600000003</v>
      </c>
      <c r="F138" s="232" t="str">
        <f>$G$2</f>
        <v>Traditional OOR</v>
      </c>
      <c r="G138" s="232">
        <f t="shared" si="27"/>
        <v>5027852.3600000003</v>
      </c>
      <c r="H138" s="234">
        <v>0</v>
      </c>
      <c r="I138" s="234">
        <f t="shared" si="28"/>
        <v>5027852.3600000003</v>
      </c>
      <c r="J138" s="232">
        <f t="shared" si="29"/>
        <v>0</v>
      </c>
      <c r="K138" s="259"/>
      <c r="L138" s="247"/>
      <c r="M138" s="236">
        <f t="shared" si="30"/>
        <v>0</v>
      </c>
      <c r="N138" s="232">
        <f t="shared" si="31"/>
        <v>0</v>
      </c>
      <c r="O138" s="239">
        <v>4</v>
      </c>
    </row>
    <row r="139" spans="1:15" x14ac:dyDescent="0.2">
      <c r="A139" s="237" t="s">
        <v>658</v>
      </c>
      <c r="B139" s="229">
        <v>456.1</v>
      </c>
      <c r="C139" s="238" t="s">
        <v>659</v>
      </c>
      <c r="D139" s="230" t="s">
        <v>660</v>
      </c>
      <c r="E139" s="268">
        <v>394622.16</v>
      </c>
      <c r="F139" s="232" t="str">
        <f>$G$2</f>
        <v>Traditional OOR</v>
      </c>
      <c r="G139" s="232">
        <f t="shared" si="27"/>
        <v>394622.16</v>
      </c>
      <c r="H139" s="234">
        <v>0</v>
      </c>
      <c r="I139" s="234">
        <f t="shared" si="28"/>
        <v>394622.16</v>
      </c>
      <c r="J139" s="232">
        <f t="shared" si="29"/>
        <v>0</v>
      </c>
      <c r="K139" s="259"/>
      <c r="L139" s="247"/>
      <c r="M139" s="236">
        <f t="shared" si="30"/>
        <v>0</v>
      </c>
      <c r="N139" s="232">
        <f t="shared" si="31"/>
        <v>0</v>
      </c>
      <c r="O139" s="239">
        <v>4</v>
      </c>
    </row>
    <row r="140" spans="1:15" x14ac:dyDescent="0.2">
      <c r="A140" s="237" t="s">
        <v>661</v>
      </c>
      <c r="B140" s="229">
        <v>456.1</v>
      </c>
      <c r="C140" s="238" t="s">
        <v>662</v>
      </c>
      <c r="D140" s="230" t="s">
        <v>663</v>
      </c>
      <c r="E140" s="268">
        <v>0</v>
      </c>
      <c r="F140" s="232" t="str">
        <f>$N$2</f>
        <v>Other Ratemaking</v>
      </c>
      <c r="G140" s="232">
        <f t="shared" si="27"/>
        <v>0</v>
      </c>
      <c r="H140" s="234">
        <v>0</v>
      </c>
      <c r="I140" s="234">
        <f t="shared" si="28"/>
        <v>0</v>
      </c>
      <c r="J140" s="232">
        <f t="shared" si="29"/>
        <v>0</v>
      </c>
      <c r="K140" s="259"/>
      <c r="L140" s="247"/>
      <c r="M140" s="236">
        <f t="shared" si="30"/>
        <v>0</v>
      </c>
      <c r="N140" s="232">
        <f t="shared" si="31"/>
        <v>0</v>
      </c>
      <c r="O140" s="239">
        <v>6</v>
      </c>
    </row>
    <row r="141" spans="1:15" x14ac:dyDescent="0.2">
      <c r="A141" s="237" t="s">
        <v>664</v>
      </c>
      <c r="B141" s="229">
        <v>456.1</v>
      </c>
      <c r="C141" s="238" t="s">
        <v>665</v>
      </c>
      <c r="D141" s="230" t="s">
        <v>666</v>
      </c>
      <c r="E141" s="268">
        <v>1081985.76</v>
      </c>
      <c r="F141" s="232" t="str">
        <f t="shared" ref="F141:F148" si="32">$G$2</f>
        <v>Traditional OOR</v>
      </c>
      <c r="G141" s="232">
        <f t="shared" si="27"/>
        <v>1081985.76</v>
      </c>
      <c r="H141" s="234">
        <v>0</v>
      </c>
      <c r="I141" s="234">
        <f t="shared" si="28"/>
        <v>1081985.76</v>
      </c>
      <c r="J141" s="232">
        <f t="shared" si="29"/>
        <v>0</v>
      </c>
      <c r="K141" s="259"/>
      <c r="L141" s="247"/>
      <c r="M141" s="236">
        <f t="shared" si="30"/>
        <v>0</v>
      </c>
      <c r="N141" s="232">
        <f t="shared" si="31"/>
        <v>0</v>
      </c>
      <c r="O141" s="239">
        <v>4</v>
      </c>
    </row>
    <row r="142" spans="1:15" x14ac:dyDescent="0.2">
      <c r="A142" s="237" t="s">
        <v>667</v>
      </c>
      <c r="B142" s="229">
        <v>456.1</v>
      </c>
      <c r="C142" s="238" t="s">
        <v>668</v>
      </c>
      <c r="D142" s="230" t="s">
        <v>669</v>
      </c>
      <c r="E142" s="268">
        <v>402147.6</v>
      </c>
      <c r="F142" s="232" t="str">
        <f t="shared" si="32"/>
        <v>Traditional OOR</v>
      </c>
      <c r="G142" s="232">
        <f t="shared" si="27"/>
        <v>402147.6</v>
      </c>
      <c r="H142" s="234">
        <v>0</v>
      </c>
      <c r="I142" s="234">
        <f t="shared" si="28"/>
        <v>402147.6</v>
      </c>
      <c r="J142" s="232">
        <f t="shared" si="29"/>
        <v>0</v>
      </c>
      <c r="K142" s="259"/>
      <c r="L142" s="247"/>
      <c r="M142" s="236">
        <f t="shared" si="30"/>
        <v>0</v>
      </c>
      <c r="N142" s="232">
        <f t="shared" si="31"/>
        <v>0</v>
      </c>
      <c r="O142" s="239">
        <v>4</v>
      </c>
    </row>
    <row r="143" spans="1:15" x14ac:dyDescent="0.2">
      <c r="A143" s="237" t="s">
        <v>670</v>
      </c>
      <c r="B143" s="229">
        <v>456.1</v>
      </c>
      <c r="C143" s="238" t="s">
        <v>671</v>
      </c>
      <c r="D143" s="230" t="s">
        <v>672</v>
      </c>
      <c r="E143" s="268">
        <v>206110.56</v>
      </c>
      <c r="F143" s="232" t="str">
        <f t="shared" si="32"/>
        <v>Traditional OOR</v>
      </c>
      <c r="G143" s="232">
        <f t="shared" si="27"/>
        <v>206110.56</v>
      </c>
      <c r="H143" s="234">
        <v>0</v>
      </c>
      <c r="I143" s="234">
        <f t="shared" si="28"/>
        <v>206110.56</v>
      </c>
      <c r="J143" s="232">
        <f t="shared" si="29"/>
        <v>0</v>
      </c>
      <c r="K143" s="259"/>
      <c r="L143" s="247"/>
      <c r="M143" s="236">
        <f t="shared" si="30"/>
        <v>0</v>
      </c>
      <c r="N143" s="232">
        <f t="shared" si="31"/>
        <v>0</v>
      </c>
      <c r="O143" s="239">
        <v>4</v>
      </c>
    </row>
    <row r="144" spans="1:15" x14ac:dyDescent="0.2">
      <c r="A144" s="237" t="s">
        <v>673</v>
      </c>
      <c r="B144" s="229">
        <v>456.1</v>
      </c>
      <c r="C144" s="238" t="s">
        <v>674</v>
      </c>
      <c r="D144" s="230" t="s">
        <v>675</v>
      </c>
      <c r="E144" s="268">
        <v>551001.72</v>
      </c>
      <c r="F144" s="232" t="str">
        <f t="shared" si="32"/>
        <v>Traditional OOR</v>
      </c>
      <c r="G144" s="232">
        <f t="shared" si="27"/>
        <v>551001.72</v>
      </c>
      <c r="H144" s="234">
        <v>0</v>
      </c>
      <c r="I144" s="234">
        <f t="shared" si="28"/>
        <v>551001.72</v>
      </c>
      <c r="J144" s="232">
        <f t="shared" si="29"/>
        <v>0</v>
      </c>
      <c r="K144" s="259"/>
      <c r="L144" s="247"/>
      <c r="M144" s="236">
        <f t="shared" si="30"/>
        <v>0</v>
      </c>
      <c r="N144" s="232">
        <f t="shared" si="31"/>
        <v>0</v>
      </c>
      <c r="O144" s="239">
        <v>4</v>
      </c>
    </row>
    <row r="145" spans="1:15" x14ac:dyDescent="0.2">
      <c r="A145" s="237" t="s">
        <v>676</v>
      </c>
      <c r="B145" s="229">
        <v>456.1</v>
      </c>
      <c r="C145" s="238" t="s">
        <v>677</v>
      </c>
      <c r="D145" s="230" t="s">
        <v>678</v>
      </c>
      <c r="E145" s="268">
        <v>650488.19999999995</v>
      </c>
      <c r="F145" s="232" t="str">
        <f t="shared" si="32"/>
        <v>Traditional OOR</v>
      </c>
      <c r="G145" s="232">
        <f t="shared" si="27"/>
        <v>650488.19999999995</v>
      </c>
      <c r="H145" s="234">
        <v>0</v>
      </c>
      <c r="I145" s="234">
        <f t="shared" si="28"/>
        <v>650488.19999999995</v>
      </c>
      <c r="J145" s="232">
        <f t="shared" si="29"/>
        <v>0</v>
      </c>
      <c r="K145" s="259"/>
      <c r="L145" s="247"/>
      <c r="M145" s="236">
        <f t="shared" si="30"/>
        <v>0</v>
      </c>
      <c r="N145" s="232">
        <f t="shared" si="31"/>
        <v>0</v>
      </c>
      <c r="O145" s="239">
        <v>4</v>
      </c>
    </row>
    <row r="146" spans="1:15" x14ac:dyDescent="0.2">
      <c r="A146" s="237" t="s">
        <v>679</v>
      </c>
      <c r="B146" s="229">
        <v>456.1</v>
      </c>
      <c r="C146" s="238" t="s">
        <v>680</v>
      </c>
      <c r="D146" s="230" t="s">
        <v>681</v>
      </c>
      <c r="E146" s="268">
        <v>264133.44</v>
      </c>
      <c r="F146" s="232" t="str">
        <f t="shared" si="32"/>
        <v>Traditional OOR</v>
      </c>
      <c r="G146" s="232">
        <f t="shared" si="27"/>
        <v>264133.44</v>
      </c>
      <c r="H146" s="234">
        <v>0</v>
      </c>
      <c r="I146" s="234">
        <f t="shared" si="28"/>
        <v>264133.44</v>
      </c>
      <c r="J146" s="232">
        <f t="shared" si="29"/>
        <v>0</v>
      </c>
      <c r="K146" s="259"/>
      <c r="L146" s="247"/>
      <c r="M146" s="236">
        <f t="shared" si="30"/>
        <v>0</v>
      </c>
      <c r="N146" s="232">
        <f t="shared" si="31"/>
        <v>0</v>
      </c>
      <c r="O146" s="239">
        <v>4</v>
      </c>
    </row>
    <row r="147" spans="1:15" x14ac:dyDescent="0.2">
      <c r="A147" s="237" t="s">
        <v>682</v>
      </c>
      <c r="B147" s="229">
        <v>456.1</v>
      </c>
      <c r="C147" s="238" t="s">
        <v>683</v>
      </c>
      <c r="D147" s="230" t="s">
        <v>684</v>
      </c>
      <c r="E147" s="231">
        <v>0</v>
      </c>
      <c r="F147" s="232" t="str">
        <f t="shared" si="32"/>
        <v>Traditional OOR</v>
      </c>
      <c r="G147" s="232">
        <f t="shared" si="27"/>
        <v>0</v>
      </c>
      <c r="H147" s="234">
        <v>0</v>
      </c>
      <c r="I147" s="234">
        <f t="shared" si="28"/>
        <v>0</v>
      </c>
      <c r="J147" s="232">
        <f t="shared" si="29"/>
        <v>0</v>
      </c>
      <c r="K147" s="232"/>
      <c r="L147" s="247"/>
      <c r="M147" s="236">
        <f t="shared" si="30"/>
        <v>0</v>
      </c>
      <c r="N147" s="232">
        <f t="shared" si="31"/>
        <v>0</v>
      </c>
      <c r="O147" s="239">
        <v>4</v>
      </c>
    </row>
    <row r="148" spans="1:15" x14ac:dyDescent="0.2">
      <c r="A148" s="237" t="s">
        <v>685</v>
      </c>
      <c r="B148" s="229">
        <v>456.1</v>
      </c>
      <c r="C148" s="238" t="s">
        <v>686</v>
      </c>
      <c r="D148" s="230" t="s">
        <v>687</v>
      </c>
      <c r="E148" s="268">
        <v>42492.12</v>
      </c>
      <c r="F148" s="232" t="str">
        <f t="shared" si="32"/>
        <v>Traditional OOR</v>
      </c>
      <c r="G148" s="232">
        <f t="shared" si="27"/>
        <v>42492.12</v>
      </c>
      <c r="H148" s="234">
        <v>0</v>
      </c>
      <c r="I148" s="234">
        <f t="shared" si="28"/>
        <v>42492.12</v>
      </c>
      <c r="J148" s="232">
        <f t="shared" si="29"/>
        <v>0</v>
      </c>
      <c r="K148" s="259"/>
      <c r="L148" s="247"/>
      <c r="M148" s="236">
        <f t="shared" si="30"/>
        <v>0</v>
      </c>
      <c r="N148" s="232">
        <f t="shared" si="31"/>
        <v>0</v>
      </c>
      <c r="O148" s="239">
        <v>4</v>
      </c>
    </row>
    <row r="149" spans="1:15" x14ac:dyDescent="0.2">
      <c r="A149" s="237" t="s">
        <v>688</v>
      </c>
      <c r="B149" s="229">
        <v>456.1</v>
      </c>
      <c r="C149" s="238" t="s">
        <v>689</v>
      </c>
      <c r="D149" s="230" t="s">
        <v>690</v>
      </c>
      <c r="E149" s="268">
        <v>64819.63</v>
      </c>
      <c r="F149" s="232" t="str">
        <f>$N$2</f>
        <v>Other Ratemaking</v>
      </c>
      <c r="G149" s="232">
        <f t="shared" si="27"/>
        <v>0</v>
      </c>
      <c r="H149" s="234">
        <v>0</v>
      </c>
      <c r="I149" s="234">
        <f t="shared" si="28"/>
        <v>0</v>
      </c>
      <c r="J149" s="232">
        <f t="shared" si="29"/>
        <v>0</v>
      </c>
      <c r="K149" s="259"/>
      <c r="L149" s="247"/>
      <c r="M149" s="236">
        <f t="shared" si="30"/>
        <v>0</v>
      </c>
      <c r="N149" s="232">
        <f t="shared" si="31"/>
        <v>64819.63</v>
      </c>
      <c r="O149" s="239">
        <v>6</v>
      </c>
    </row>
    <row r="150" spans="1:15" x14ac:dyDescent="0.2">
      <c r="A150" s="241"/>
      <c r="B150" s="242"/>
      <c r="C150" s="243"/>
      <c r="D150" s="244"/>
      <c r="E150" s="268"/>
      <c r="F150" s="268"/>
      <c r="G150" s="248"/>
      <c r="H150" s="247"/>
      <c r="I150" s="247"/>
      <c r="J150" s="231"/>
      <c r="K150" s="268"/>
      <c r="L150" s="247"/>
      <c r="M150" s="247"/>
      <c r="N150" s="231"/>
      <c r="O150" s="246"/>
    </row>
    <row r="151" spans="1:15" x14ac:dyDescent="0.2">
      <c r="A151" s="241"/>
      <c r="B151" s="242"/>
      <c r="C151" s="243"/>
      <c r="D151" s="244"/>
      <c r="E151" s="268"/>
      <c r="F151" s="268"/>
      <c r="G151" s="248"/>
      <c r="H151" s="247"/>
      <c r="I151" s="247"/>
      <c r="J151" s="231"/>
      <c r="K151" s="268"/>
      <c r="L151" s="247"/>
      <c r="M151" s="247"/>
      <c r="N151" s="231"/>
      <c r="O151" s="246"/>
    </row>
    <row r="152" spans="1:15" x14ac:dyDescent="0.2">
      <c r="A152" s="237">
        <v>16</v>
      </c>
      <c r="B152" s="507" t="s">
        <v>691</v>
      </c>
      <c r="C152" s="508"/>
      <c r="D152" s="509"/>
      <c r="E152" s="249">
        <f>SUM(E131:E151)</f>
        <v>83869924.609999999</v>
      </c>
      <c r="F152" s="250"/>
      <c r="G152" s="249">
        <f>SUM(G131:G151)</f>
        <v>47637874.519999996</v>
      </c>
      <c r="H152" s="251">
        <f>SUM(H131:H151)</f>
        <v>37724739.600000001</v>
      </c>
      <c r="I152" s="251">
        <f>SUM(I131:I151)</f>
        <v>9913134.9199999981</v>
      </c>
      <c r="J152" s="249">
        <f>SUM(J131:J151)</f>
        <v>0</v>
      </c>
      <c r="K152" s="250"/>
      <c r="L152" s="249">
        <f>SUM(L131:L151)</f>
        <v>0</v>
      </c>
      <c r="M152" s="249">
        <f>SUM(M131:M151)</f>
        <v>0</v>
      </c>
      <c r="N152" s="249">
        <f>SUM(N131:N151)</f>
        <v>36232050.090000004</v>
      </c>
      <c r="O152" s="213"/>
    </row>
    <row r="153" spans="1:15" ht="25.5" customHeight="1" x14ac:dyDescent="0.2">
      <c r="A153" s="237">
        <v>17</v>
      </c>
      <c r="B153" s="501" t="s">
        <v>692</v>
      </c>
      <c r="C153" s="502"/>
      <c r="D153" s="503"/>
      <c r="E153" s="252">
        <v>83869925</v>
      </c>
      <c r="F153" s="253"/>
      <c r="G153" s="276"/>
      <c r="H153" s="277"/>
      <c r="I153" s="277"/>
      <c r="J153" s="278"/>
      <c r="K153" s="277"/>
      <c r="L153" s="278"/>
      <c r="M153" s="278"/>
      <c r="N153" s="278"/>
      <c r="O153" s="165"/>
    </row>
    <row r="154" spans="1:15" x14ac:dyDescent="0.2">
      <c r="A154" s="255"/>
      <c r="B154" s="256"/>
      <c r="C154" s="257"/>
      <c r="D154" s="258"/>
      <c r="E154" s="278"/>
      <c r="F154" s="278"/>
      <c r="G154" s="278"/>
      <c r="H154" s="277"/>
      <c r="I154" s="277"/>
      <c r="J154" s="278"/>
      <c r="K154" s="277"/>
      <c r="L154" s="278"/>
      <c r="M154" s="278"/>
      <c r="N154" s="278"/>
      <c r="O154" s="165"/>
    </row>
    <row r="155" spans="1:15" x14ac:dyDescent="0.2">
      <c r="A155" s="241" t="s">
        <v>693</v>
      </c>
      <c r="B155" s="279"/>
      <c r="C155" s="280"/>
      <c r="D155" s="280"/>
      <c r="E155" s="281"/>
      <c r="F155" s="281"/>
      <c r="G155" s="281"/>
      <c r="H155" s="281"/>
      <c r="I155" s="281"/>
      <c r="J155" s="281"/>
      <c r="K155" s="281"/>
      <c r="L155" s="281"/>
      <c r="M155" s="281"/>
      <c r="N155" s="281"/>
      <c r="O155" s="246"/>
    </row>
    <row r="156" spans="1:15" x14ac:dyDescent="0.2">
      <c r="A156" s="241"/>
      <c r="B156" s="282"/>
      <c r="C156" s="280"/>
      <c r="D156" s="280"/>
      <c r="E156" s="281"/>
      <c r="F156" s="281"/>
      <c r="G156" s="281"/>
      <c r="H156" s="281"/>
      <c r="I156" s="281"/>
      <c r="J156" s="281"/>
      <c r="K156" s="281"/>
      <c r="L156" s="281"/>
      <c r="M156" s="281"/>
      <c r="N156" s="281"/>
      <c r="O156" s="246"/>
    </row>
    <row r="157" spans="1:15" x14ac:dyDescent="0.2">
      <c r="A157" s="228">
        <v>19</v>
      </c>
      <c r="B157" s="507" t="s">
        <v>694</v>
      </c>
      <c r="C157" s="508"/>
      <c r="D157" s="509"/>
      <c r="E157" s="249">
        <f>SUM(E155:E156)</f>
        <v>0</v>
      </c>
      <c r="F157" s="283"/>
      <c r="G157" s="249">
        <f>SUM(G155:G156)</f>
        <v>0</v>
      </c>
      <c r="H157" s="249">
        <f t="shared" ref="H157:N157" si="33">SUM(H155:H156)</f>
        <v>0</v>
      </c>
      <c r="I157" s="249">
        <f t="shared" si="33"/>
        <v>0</v>
      </c>
      <c r="J157" s="249">
        <f t="shared" si="33"/>
        <v>0</v>
      </c>
      <c r="K157" s="250"/>
      <c r="L157" s="249">
        <f t="shared" si="33"/>
        <v>0</v>
      </c>
      <c r="M157" s="249">
        <f t="shared" si="33"/>
        <v>0</v>
      </c>
      <c r="N157" s="249">
        <f t="shared" si="33"/>
        <v>0</v>
      </c>
      <c r="O157" s="249"/>
    </row>
    <row r="158" spans="1:15" ht="26.25" customHeight="1" x14ac:dyDescent="0.2">
      <c r="A158" s="228">
        <v>20</v>
      </c>
      <c r="B158" s="514" t="s">
        <v>695</v>
      </c>
      <c r="C158" s="515"/>
      <c r="D158" s="516"/>
      <c r="E158" s="252">
        <v>0</v>
      </c>
      <c r="F158" s="278"/>
      <c r="G158" s="254"/>
      <c r="H158" s="253"/>
      <c r="I158" s="253"/>
      <c r="J158" s="254"/>
      <c r="K158" s="253"/>
      <c r="L158" s="254"/>
      <c r="M158" s="254"/>
      <c r="N158" s="254"/>
      <c r="O158" s="284"/>
    </row>
    <row r="159" spans="1:15" x14ac:dyDescent="0.2">
      <c r="A159" s="255"/>
      <c r="B159" s="256"/>
      <c r="C159" s="257"/>
      <c r="D159" s="258"/>
      <c r="E159" s="278"/>
      <c r="F159" s="278"/>
      <c r="G159" s="254"/>
      <c r="H159" s="253"/>
      <c r="I159" s="253"/>
      <c r="J159" s="254"/>
      <c r="K159" s="253"/>
      <c r="L159" s="254"/>
      <c r="M159" s="254"/>
      <c r="N159" s="254"/>
      <c r="O159" s="284"/>
    </row>
    <row r="160" spans="1:15" x14ac:dyDescent="0.2">
      <c r="A160" s="241" t="s">
        <v>696</v>
      </c>
      <c r="B160" s="279"/>
      <c r="C160" s="280"/>
      <c r="D160" s="280"/>
      <c r="E160" s="281"/>
      <c r="F160" s="281"/>
      <c r="G160" s="252"/>
      <c r="H160" s="252"/>
      <c r="I160" s="252"/>
      <c r="J160" s="252"/>
      <c r="K160" s="252"/>
      <c r="L160" s="252"/>
      <c r="M160" s="252"/>
      <c r="N160" s="252"/>
      <c r="O160" s="247"/>
    </row>
    <row r="161" spans="1:15" x14ac:dyDescent="0.2">
      <c r="A161" s="241"/>
      <c r="B161" s="282"/>
      <c r="C161" s="280"/>
      <c r="D161" s="280"/>
      <c r="E161" s="281"/>
      <c r="F161" s="281"/>
      <c r="G161" s="252"/>
      <c r="H161" s="252"/>
      <c r="I161" s="252"/>
      <c r="J161" s="252"/>
      <c r="K161" s="252"/>
      <c r="L161" s="252"/>
      <c r="M161" s="252"/>
      <c r="N161" s="252"/>
      <c r="O161" s="247"/>
    </row>
    <row r="162" spans="1:15" x14ac:dyDescent="0.2">
      <c r="A162" s="228">
        <v>22</v>
      </c>
      <c r="B162" s="507" t="s">
        <v>697</v>
      </c>
      <c r="C162" s="508"/>
      <c r="D162" s="509"/>
      <c r="E162" s="249">
        <f>SUM(E160:E161)</f>
        <v>0</v>
      </c>
      <c r="F162" s="283"/>
      <c r="G162" s="249">
        <f>SUM(G160:G161)</f>
        <v>0</v>
      </c>
      <c r="H162" s="249">
        <f>SUM(H160:H161)</f>
        <v>0</v>
      </c>
      <c r="I162" s="249">
        <f>SUM(I160:I161)</f>
        <v>0</v>
      </c>
      <c r="J162" s="249">
        <f>SUM(J160:J161)</f>
        <v>0</v>
      </c>
      <c r="K162" s="250"/>
      <c r="L162" s="249">
        <f>SUM(L160:L161)</f>
        <v>0</v>
      </c>
      <c r="M162" s="249">
        <f>SUM(M160:M161)</f>
        <v>0</v>
      </c>
      <c r="N162" s="249">
        <f>SUM(N160:N161)</f>
        <v>0</v>
      </c>
      <c r="O162" s="249"/>
    </row>
    <row r="163" spans="1:15" ht="26.25" customHeight="1" x14ac:dyDescent="0.2">
      <c r="A163" s="228">
        <v>23</v>
      </c>
      <c r="B163" s="514" t="s">
        <v>698</v>
      </c>
      <c r="C163" s="515"/>
      <c r="D163" s="516"/>
      <c r="E163" s="252">
        <v>0</v>
      </c>
      <c r="F163" s="278"/>
      <c r="G163" s="278"/>
      <c r="H163" s="277"/>
      <c r="I163" s="277"/>
      <c r="J163" s="278"/>
      <c r="K163" s="277"/>
      <c r="L163" s="278"/>
      <c r="M163" s="278"/>
      <c r="N163" s="278"/>
      <c r="O163" s="165"/>
    </row>
    <row r="164" spans="1:15" x14ac:dyDescent="0.2">
      <c r="A164" s="255"/>
      <c r="B164" s="256"/>
      <c r="C164" s="257"/>
      <c r="D164" s="258"/>
      <c r="E164" s="278"/>
      <c r="F164" s="278"/>
      <c r="G164" s="278"/>
      <c r="H164" s="277"/>
      <c r="I164" s="277"/>
      <c r="J164" s="278"/>
      <c r="K164" s="277"/>
      <c r="L164" s="278"/>
      <c r="M164" s="278"/>
      <c r="N164" s="278"/>
      <c r="O164" s="165"/>
    </row>
    <row r="165" spans="1:15" x14ac:dyDescent="0.2">
      <c r="A165" s="255"/>
      <c r="B165" s="256" t="s">
        <v>699</v>
      </c>
      <c r="C165" s="257"/>
      <c r="D165" s="258"/>
      <c r="E165" s="278"/>
      <c r="F165" s="278"/>
      <c r="G165" s="278"/>
      <c r="H165" s="277"/>
      <c r="I165" s="277"/>
      <c r="J165" s="278"/>
      <c r="K165" s="277"/>
      <c r="L165" s="278"/>
      <c r="M165" s="278"/>
      <c r="N165" s="278"/>
      <c r="O165" s="165"/>
    </row>
    <row r="166" spans="1:15" x14ac:dyDescent="0.2">
      <c r="A166" s="237" t="s">
        <v>700</v>
      </c>
      <c r="B166" s="285">
        <v>417</v>
      </c>
      <c r="C166" s="286">
        <v>4863135</v>
      </c>
      <c r="D166" s="287" t="s">
        <v>701</v>
      </c>
      <c r="E166" s="268">
        <v>0</v>
      </c>
      <c r="F166" s="232" t="str">
        <f t="shared" ref="F166:F180" si="34">$J$2</f>
        <v>GRSM</v>
      </c>
      <c r="G166" s="232">
        <f t="shared" ref="G166:G180" si="35">IF(F166=$G$2,E166,0)</f>
        <v>0</v>
      </c>
      <c r="H166" s="234">
        <v>0</v>
      </c>
      <c r="I166" s="234">
        <f t="shared" ref="I166:I180" si="36">G166-H166</f>
        <v>0</v>
      </c>
      <c r="J166" s="232">
        <f t="shared" ref="J166:J180" si="37">IF(F166=$J$2,E166,0)</f>
        <v>0</v>
      </c>
      <c r="K166" s="233" t="s">
        <v>316</v>
      </c>
      <c r="L166" s="231">
        <v>0</v>
      </c>
      <c r="M166" s="288">
        <f t="shared" ref="M166:M180" si="38">J166-L166</f>
        <v>0</v>
      </c>
      <c r="N166" s="232">
        <f t="shared" ref="N166:N180" si="39">IF(F166=$N$2,E166,0)</f>
        <v>0</v>
      </c>
      <c r="O166" s="239">
        <v>2</v>
      </c>
    </row>
    <row r="167" spans="1:15" x14ac:dyDescent="0.2">
      <c r="A167" s="237" t="s">
        <v>702</v>
      </c>
      <c r="B167" s="285">
        <v>417</v>
      </c>
      <c r="C167" s="286">
        <v>4863130</v>
      </c>
      <c r="D167" s="287" t="s">
        <v>703</v>
      </c>
      <c r="E167" s="268">
        <v>723784.85</v>
      </c>
      <c r="F167" s="232" t="str">
        <f t="shared" si="34"/>
        <v>GRSM</v>
      </c>
      <c r="G167" s="232">
        <f t="shared" si="35"/>
        <v>0</v>
      </c>
      <c r="H167" s="234">
        <v>0</v>
      </c>
      <c r="I167" s="234">
        <f t="shared" si="36"/>
        <v>0</v>
      </c>
      <c r="J167" s="232">
        <f t="shared" si="37"/>
        <v>723784.85</v>
      </c>
      <c r="K167" s="233" t="s">
        <v>316</v>
      </c>
      <c r="L167" s="231">
        <v>144486.95000000001</v>
      </c>
      <c r="M167" s="288">
        <f t="shared" si="38"/>
        <v>579297.89999999991</v>
      </c>
      <c r="N167" s="232">
        <f t="shared" si="39"/>
        <v>0</v>
      </c>
      <c r="O167" s="239">
        <v>2</v>
      </c>
    </row>
    <row r="168" spans="1:15" x14ac:dyDescent="0.2">
      <c r="A168" s="237" t="s">
        <v>704</v>
      </c>
      <c r="B168" s="285">
        <v>417</v>
      </c>
      <c r="C168" s="286">
        <v>4862110</v>
      </c>
      <c r="D168" s="287" t="s">
        <v>705</v>
      </c>
      <c r="E168" s="268">
        <v>5942547.3899999997</v>
      </c>
      <c r="F168" s="232" t="str">
        <f t="shared" si="34"/>
        <v>GRSM</v>
      </c>
      <c r="G168" s="232">
        <f t="shared" si="35"/>
        <v>0</v>
      </c>
      <c r="H168" s="234">
        <v>0</v>
      </c>
      <c r="I168" s="234">
        <f t="shared" si="36"/>
        <v>0</v>
      </c>
      <c r="J168" s="232">
        <f t="shared" si="37"/>
        <v>5942547.3899999997</v>
      </c>
      <c r="K168" s="233" t="s">
        <v>280</v>
      </c>
      <c r="L168" s="231">
        <v>1181066.6100000001</v>
      </c>
      <c r="M168" s="288">
        <f t="shared" si="38"/>
        <v>4761480.7799999993</v>
      </c>
      <c r="N168" s="232">
        <f t="shared" si="39"/>
        <v>0</v>
      </c>
      <c r="O168" s="239">
        <v>2</v>
      </c>
    </row>
    <row r="169" spans="1:15" x14ac:dyDescent="0.2">
      <c r="A169" s="237" t="s">
        <v>706</v>
      </c>
      <c r="B169" s="285">
        <v>417</v>
      </c>
      <c r="C169" s="286">
        <v>4862115</v>
      </c>
      <c r="D169" s="287" t="s">
        <v>707</v>
      </c>
      <c r="E169" s="268">
        <v>3328069.95</v>
      </c>
      <c r="F169" s="232" t="str">
        <f t="shared" si="34"/>
        <v>GRSM</v>
      </c>
      <c r="G169" s="232">
        <f t="shared" si="35"/>
        <v>0</v>
      </c>
      <c r="H169" s="234">
        <v>0</v>
      </c>
      <c r="I169" s="234">
        <f t="shared" si="36"/>
        <v>0</v>
      </c>
      <c r="J169" s="232">
        <f t="shared" si="37"/>
        <v>3328069.95</v>
      </c>
      <c r="K169" s="233" t="s">
        <v>280</v>
      </c>
      <c r="L169" s="231">
        <v>664284.31000000006</v>
      </c>
      <c r="M169" s="288">
        <f t="shared" si="38"/>
        <v>2663785.64</v>
      </c>
      <c r="N169" s="232">
        <f t="shared" si="39"/>
        <v>0</v>
      </c>
      <c r="O169" s="239">
        <v>2</v>
      </c>
    </row>
    <row r="170" spans="1:15" x14ac:dyDescent="0.2">
      <c r="A170" s="237" t="s">
        <v>708</v>
      </c>
      <c r="B170" s="285">
        <v>417</v>
      </c>
      <c r="C170" s="286">
        <v>4862120</v>
      </c>
      <c r="D170" s="287" t="s">
        <v>709</v>
      </c>
      <c r="E170" s="268">
        <v>202614.64</v>
      </c>
      <c r="F170" s="232" t="str">
        <f t="shared" si="34"/>
        <v>GRSM</v>
      </c>
      <c r="G170" s="232">
        <f t="shared" si="35"/>
        <v>0</v>
      </c>
      <c r="H170" s="234">
        <v>0</v>
      </c>
      <c r="I170" s="234">
        <f t="shared" si="36"/>
        <v>0</v>
      </c>
      <c r="J170" s="232">
        <f t="shared" si="37"/>
        <v>202614.64</v>
      </c>
      <c r="K170" s="233" t="s">
        <v>280</v>
      </c>
      <c r="L170" s="231">
        <v>52045.26</v>
      </c>
      <c r="M170" s="288">
        <f t="shared" si="38"/>
        <v>150569.38</v>
      </c>
      <c r="N170" s="232">
        <f t="shared" si="39"/>
        <v>0</v>
      </c>
      <c r="O170" s="239">
        <v>2</v>
      </c>
    </row>
    <row r="171" spans="1:15" x14ac:dyDescent="0.2">
      <c r="A171" s="237" t="s">
        <v>710</v>
      </c>
      <c r="B171" s="285">
        <v>417</v>
      </c>
      <c r="C171" s="286">
        <v>4862135</v>
      </c>
      <c r="D171" s="287" t="s">
        <v>711</v>
      </c>
      <c r="E171" s="268">
        <v>26678811.129999999</v>
      </c>
      <c r="F171" s="232" t="str">
        <f t="shared" si="34"/>
        <v>GRSM</v>
      </c>
      <c r="G171" s="232">
        <f t="shared" si="35"/>
        <v>0</v>
      </c>
      <c r="H171" s="234">
        <v>0</v>
      </c>
      <c r="I171" s="234">
        <f t="shared" si="36"/>
        <v>0</v>
      </c>
      <c r="J171" s="232">
        <f t="shared" si="37"/>
        <v>26678811.129999999</v>
      </c>
      <c r="K171" s="233" t="s">
        <v>280</v>
      </c>
      <c r="L171" s="231">
        <v>5242135.93</v>
      </c>
      <c r="M171" s="288">
        <f t="shared" si="38"/>
        <v>21436675.199999999</v>
      </c>
      <c r="N171" s="232">
        <f t="shared" si="39"/>
        <v>0</v>
      </c>
      <c r="O171" s="239">
        <v>2</v>
      </c>
    </row>
    <row r="172" spans="1:15" x14ac:dyDescent="0.2">
      <c r="A172" s="237" t="s">
        <v>712</v>
      </c>
      <c r="B172" s="285">
        <v>417</v>
      </c>
      <c r="C172" s="286">
        <v>4864110</v>
      </c>
      <c r="D172" s="287" t="s">
        <v>713</v>
      </c>
      <c r="E172" s="268">
        <v>0</v>
      </c>
      <c r="F172" s="232" t="str">
        <f t="shared" si="34"/>
        <v>GRSM</v>
      </c>
      <c r="G172" s="232">
        <f t="shared" si="35"/>
        <v>0</v>
      </c>
      <c r="H172" s="234">
        <v>0</v>
      </c>
      <c r="I172" s="234">
        <f t="shared" si="36"/>
        <v>0</v>
      </c>
      <c r="J172" s="232">
        <f t="shared" si="37"/>
        <v>0</v>
      </c>
      <c r="K172" s="233" t="s">
        <v>280</v>
      </c>
      <c r="L172" s="231">
        <v>0</v>
      </c>
      <c r="M172" s="288">
        <f t="shared" si="38"/>
        <v>0</v>
      </c>
      <c r="N172" s="232">
        <f t="shared" si="39"/>
        <v>0</v>
      </c>
      <c r="O172" s="239">
        <v>2</v>
      </c>
    </row>
    <row r="173" spans="1:15" x14ac:dyDescent="0.2">
      <c r="A173" s="237" t="s">
        <v>714</v>
      </c>
      <c r="B173" s="285">
        <v>417</v>
      </c>
      <c r="C173" s="286">
        <v>4864115</v>
      </c>
      <c r="D173" s="287" t="s">
        <v>715</v>
      </c>
      <c r="E173" s="268">
        <v>477484.81</v>
      </c>
      <c r="F173" s="232" t="str">
        <f t="shared" si="34"/>
        <v>GRSM</v>
      </c>
      <c r="G173" s="232">
        <f t="shared" si="35"/>
        <v>0</v>
      </c>
      <c r="H173" s="234">
        <v>0</v>
      </c>
      <c r="I173" s="234">
        <f t="shared" si="36"/>
        <v>0</v>
      </c>
      <c r="J173" s="232">
        <f t="shared" si="37"/>
        <v>477484.81</v>
      </c>
      <c r="K173" s="233" t="s">
        <v>280</v>
      </c>
      <c r="L173" s="231">
        <v>70312.05</v>
      </c>
      <c r="M173" s="288">
        <f t="shared" si="38"/>
        <v>407172.76</v>
      </c>
      <c r="N173" s="232">
        <f t="shared" si="39"/>
        <v>0</v>
      </c>
      <c r="O173" s="239">
        <v>2</v>
      </c>
    </row>
    <row r="174" spans="1:15" x14ac:dyDescent="0.2">
      <c r="A174" s="237" t="s">
        <v>716</v>
      </c>
      <c r="B174" s="285">
        <v>417</v>
      </c>
      <c r="C174" s="286">
        <v>4862125</v>
      </c>
      <c r="D174" s="287" t="s">
        <v>717</v>
      </c>
      <c r="E174" s="268">
        <v>12879472.68</v>
      </c>
      <c r="F174" s="232" t="str">
        <f t="shared" si="34"/>
        <v>GRSM</v>
      </c>
      <c r="G174" s="232">
        <f t="shared" si="35"/>
        <v>0</v>
      </c>
      <c r="H174" s="234">
        <v>0</v>
      </c>
      <c r="I174" s="234">
        <f t="shared" si="36"/>
        <v>0</v>
      </c>
      <c r="J174" s="232">
        <f t="shared" si="37"/>
        <v>12879472.68</v>
      </c>
      <c r="K174" s="233" t="s">
        <v>280</v>
      </c>
      <c r="L174" s="231">
        <v>2560286.37</v>
      </c>
      <c r="M174" s="288">
        <f t="shared" si="38"/>
        <v>10319186.309999999</v>
      </c>
      <c r="N174" s="232">
        <f t="shared" si="39"/>
        <v>0</v>
      </c>
      <c r="O174" s="239">
        <v>2</v>
      </c>
    </row>
    <row r="175" spans="1:15" x14ac:dyDescent="0.2">
      <c r="A175" s="237" t="s">
        <v>718</v>
      </c>
      <c r="B175" s="285">
        <v>417</v>
      </c>
      <c r="C175" s="286">
        <v>4862130</v>
      </c>
      <c r="D175" s="287" t="s">
        <v>719</v>
      </c>
      <c r="E175" s="268">
        <v>1850035.85</v>
      </c>
      <c r="F175" s="232" t="str">
        <f t="shared" si="34"/>
        <v>GRSM</v>
      </c>
      <c r="G175" s="232">
        <f t="shared" si="35"/>
        <v>0</v>
      </c>
      <c r="H175" s="234">
        <v>0</v>
      </c>
      <c r="I175" s="234">
        <f t="shared" si="36"/>
        <v>0</v>
      </c>
      <c r="J175" s="232">
        <f t="shared" si="37"/>
        <v>1850035.85</v>
      </c>
      <c r="K175" s="233" t="s">
        <v>280</v>
      </c>
      <c r="L175" s="231">
        <v>315656.76</v>
      </c>
      <c r="M175" s="288">
        <f t="shared" si="38"/>
        <v>1534379.09</v>
      </c>
      <c r="N175" s="232">
        <f t="shared" si="39"/>
        <v>0</v>
      </c>
      <c r="O175" s="239">
        <v>2</v>
      </c>
    </row>
    <row r="176" spans="1:15" x14ac:dyDescent="0.2">
      <c r="A176" s="237" t="s">
        <v>720</v>
      </c>
      <c r="B176" s="285">
        <v>417</v>
      </c>
      <c r="C176" s="286">
        <v>4863120</v>
      </c>
      <c r="D176" s="287" t="s">
        <v>721</v>
      </c>
      <c r="E176" s="268">
        <v>376315.2</v>
      </c>
      <c r="F176" s="232" t="str">
        <f t="shared" si="34"/>
        <v>GRSM</v>
      </c>
      <c r="G176" s="232">
        <f t="shared" si="35"/>
        <v>0</v>
      </c>
      <c r="H176" s="234">
        <v>0</v>
      </c>
      <c r="I176" s="234">
        <f t="shared" si="36"/>
        <v>0</v>
      </c>
      <c r="J176" s="232">
        <f t="shared" si="37"/>
        <v>376315.2</v>
      </c>
      <c r="K176" s="233" t="s">
        <v>316</v>
      </c>
      <c r="L176" s="231">
        <v>67907.350000000006</v>
      </c>
      <c r="M176" s="288">
        <f t="shared" si="38"/>
        <v>308407.84999999998</v>
      </c>
      <c r="N176" s="232">
        <f t="shared" si="39"/>
        <v>0</v>
      </c>
      <c r="O176" s="239">
        <v>2</v>
      </c>
    </row>
    <row r="177" spans="1:15" x14ac:dyDescent="0.2">
      <c r="A177" s="237" t="s">
        <v>722</v>
      </c>
      <c r="B177" s="285">
        <v>417</v>
      </c>
      <c r="C177" s="286">
        <v>4863110</v>
      </c>
      <c r="D177" s="287" t="s">
        <v>723</v>
      </c>
      <c r="E177" s="268">
        <v>2823127.66</v>
      </c>
      <c r="F177" s="232" t="str">
        <f t="shared" si="34"/>
        <v>GRSM</v>
      </c>
      <c r="G177" s="232">
        <f t="shared" si="35"/>
        <v>0</v>
      </c>
      <c r="H177" s="234">
        <v>0</v>
      </c>
      <c r="I177" s="234">
        <f t="shared" si="36"/>
        <v>0</v>
      </c>
      <c r="J177" s="232">
        <f t="shared" si="37"/>
        <v>2823127.66</v>
      </c>
      <c r="K177" s="233" t="s">
        <v>316</v>
      </c>
      <c r="L177" s="231">
        <v>562711.26</v>
      </c>
      <c r="M177" s="288">
        <f t="shared" si="38"/>
        <v>2260416.4000000004</v>
      </c>
      <c r="N177" s="232">
        <f t="shared" si="39"/>
        <v>0</v>
      </c>
      <c r="O177" s="239">
        <v>2</v>
      </c>
    </row>
    <row r="178" spans="1:15" x14ac:dyDescent="0.2">
      <c r="A178" s="237" t="s">
        <v>724</v>
      </c>
      <c r="B178" s="285">
        <v>417</v>
      </c>
      <c r="C178" s="286">
        <v>4863115</v>
      </c>
      <c r="D178" s="287" t="s">
        <v>725</v>
      </c>
      <c r="E178" s="268">
        <v>260832.9</v>
      </c>
      <c r="F178" s="232" t="str">
        <f t="shared" si="34"/>
        <v>GRSM</v>
      </c>
      <c r="G178" s="232">
        <f t="shared" si="35"/>
        <v>0</v>
      </c>
      <c r="H178" s="234">
        <v>0</v>
      </c>
      <c r="I178" s="234">
        <f t="shared" si="36"/>
        <v>0</v>
      </c>
      <c r="J178" s="232">
        <f t="shared" si="37"/>
        <v>260832.9</v>
      </c>
      <c r="K178" s="233" t="s">
        <v>316</v>
      </c>
      <c r="L178" s="231">
        <v>133302.35999999999</v>
      </c>
      <c r="M178" s="288">
        <f t="shared" si="38"/>
        <v>127530.54000000001</v>
      </c>
      <c r="N178" s="232">
        <f t="shared" si="39"/>
        <v>0</v>
      </c>
      <c r="O178" s="239">
        <v>2</v>
      </c>
    </row>
    <row r="179" spans="1:15" x14ac:dyDescent="0.2">
      <c r="A179" s="237" t="s">
        <v>726</v>
      </c>
      <c r="B179" s="285">
        <v>417</v>
      </c>
      <c r="C179" s="286">
        <v>4863125</v>
      </c>
      <c r="D179" s="287" t="s">
        <v>727</v>
      </c>
      <c r="E179" s="268">
        <v>818764.6</v>
      </c>
      <c r="F179" s="232" t="str">
        <f t="shared" si="34"/>
        <v>GRSM</v>
      </c>
      <c r="G179" s="232">
        <f t="shared" si="35"/>
        <v>0</v>
      </c>
      <c r="H179" s="234">
        <v>0</v>
      </c>
      <c r="I179" s="234">
        <f t="shared" si="36"/>
        <v>0</v>
      </c>
      <c r="J179" s="232">
        <f t="shared" si="37"/>
        <v>818764.6</v>
      </c>
      <c r="K179" s="233" t="s">
        <v>316</v>
      </c>
      <c r="L179" s="231">
        <v>185902.11</v>
      </c>
      <c r="M179" s="288">
        <f t="shared" si="38"/>
        <v>632862.49</v>
      </c>
      <c r="N179" s="232">
        <f t="shared" si="39"/>
        <v>0</v>
      </c>
      <c r="O179" s="239">
        <v>2</v>
      </c>
    </row>
    <row r="180" spans="1:15" x14ac:dyDescent="0.2">
      <c r="A180" s="237" t="s">
        <v>728</v>
      </c>
      <c r="B180" s="285">
        <v>417</v>
      </c>
      <c r="C180" s="286">
        <v>4864120</v>
      </c>
      <c r="D180" s="287" t="s">
        <v>729</v>
      </c>
      <c r="E180" s="268">
        <v>21837.84</v>
      </c>
      <c r="F180" s="232" t="str">
        <f t="shared" si="34"/>
        <v>GRSM</v>
      </c>
      <c r="G180" s="232">
        <f t="shared" si="35"/>
        <v>0</v>
      </c>
      <c r="H180" s="234">
        <v>0</v>
      </c>
      <c r="I180" s="234">
        <f t="shared" si="36"/>
        <v>0</v>
      </c>
      <c r="J180" s="232">
        <f t="shared" si="37"/>
        <v>21837.84</v>
      </c>
      <c r="K180" s="233" t="s">
        <v>280</v>
      </c>
      <c r="L180" s="231">
        <v>4478.51</v>
      </c>
      <c r="M180" s="288">
        <f t="shared" si="38"/>
        <v>17359.330000000002</v>
      </c>
      <c r="N180" s="232">
        <f t="shared" si="39"/>
        <v>0</v>
      </c>
      <c r="O180" s="239">
        <v>2</v>
      </c>
    </row>
    <row r="181" spans="1:15" x14ac:dyDescent="0.2">
      <c r="A181" s="241"/>
      <c r="B181" s="279"/>
      <c r="C181" s="289"/>
      <c r="D181" s="244"/>
      <c r="E181" s="290"/>
      <c r="F181" s="290"/>
      <c r="G181" s="248"/>
      <c r="H181" s="247"/>
      <c r="I181" s="247"/>
      <c r="J181" s="231"/>
      <c r="K181" s="246"/>
      <c r="L181" s="231"/>
      <c r="M181" s="231"/>
      <c r="N181" s="231"/>
      <c r="O181" s="246"/>
    </row>
    <row r="182" spans="1:15" x14ac:dyDescent="0.2">
      <c r="A182" s="241"/>
      <c r="B182" s="279"/>
      <c r="C182" s="289"/>
      <c r="D182" s="244"/>
      <c r="E182" s="290"/>
      <c r="F182" s="290"/>
      <c r="G182" s="248"/>
      <c r="H182" s="247"/>
      <c r="I182" s="247"/>
      <c r="J182" s="231"/>
      <c r="K182" s="246"/>
      <c r="L182" s="231"/>
      <c r="M182" s="231"/>
      <c r="N182" s="231"/>
      <c r="O182" s="246"/>
    </row>
    <row r="183" spans="1:15" x14ac:dyDescent="0.2">
      <c r="A183" s="237">
        <v>25</v>
      </c>
      <c r="B183" s="517" t="s">
        <v>730</v>
      </c>
      <c r="C183" s="508"/>
      <c r="D183" s="509"/>
      <c r="E183" s="249">
        <f>SUM(E166:E182)</f>
        <v>56383699.500000015</v>
      </c>
      <c r="F183" s="250"/>
      <c r="G183" s="249">
        <f>SUM(G166:G182)</f>
        <v>0</v>
      </c>
      <c r="H183" s="251">
        <f>SUM(H166:H182)</f>
        <v>0</v>
      </c>
      <c r="I183" s="251">
        <f>SUM(I166:I182)</f>
        <v>0</v>
      </c>
      <c r="J183" s="249">
        <f>SUM(J166:J182)</f>
        <v>56383699.500000015</v>
      </c>
      <c r="K183" s="250"/>
      <c r="L183" s="249">
        <f>SUM(L166:L182)</f>
        <v>11184575.829999998</v>
      </c>
      <c r="M183" s="249">
        <f>SUM(M166:M182)</f>
        <v>45199123.670000002</v>
      </c>
      <c r="N183" s="249">
        <f>SUM(N166:N182)</f>
        <v>0</v>
      </c>
      <c r="O183" s="213"/>
    </row>
    <row r="184" spans="1:15" x14ac:dyDescent="0.2">
      <c r="A184" s="237">
        <v>26</v>
      </c>
      <c r="B184" s="517" t="s">
        <v>731</v>
      </c>
      <c r="C184" s="508"/>
      <c r="D184" s="509"/>
      <c r="E184" s="252">
        <v>6245259.5</v>
      </c>
      <c r="F184" s="254"/>
      <c r="G184" s="278"/>
      <c r="H184" s="277"/>
      <c r="I184" s="277"/>
      <c r="J184" s="278"/>
      <c r="K184" s="277"/>
      <c r="L184" s="278"/>
      <c r="M184" s="278"/>
      <c r="N184" s="278"/>
      <c r="O184" s="165"/>
    </row>
    <row r="185" spans="1:15" ht="25.5" customHeight="1" x14ac:dyDescent="0.2">
      <c r="A185" s="237">
        <v>27</v>
      </c>
      <c r="B185" s="501" t="s">
        <v>732</v>
      </c>
      <c r="C185" s="502"/>
      <c r="D185" s="503"/>
      <c r="E185" s="252">
        <v>62628959</v>
      </c>
      <c r="F185" s="291" t="s">
        <v>308</v>
      </c>
    </row>
    <row r="186" spans="1:15" x14ac:dyDescent="0.2">
      <c r="A186" s="263"/>
    </row>
    <row r="187" spans="1:15" x14ac:dyDescent="0.2">
      <c r="B187" s="297" t="s">
        <v>733</v>
      </c>
    </row>
    <row r="188" spans="1:15" x14ac:dyDescent="0.2">
      <c r="A188" s="233" t="s">
        <v>734</v>
      </c>
      <c r="B188" s="512">
        <v>418.1</v>
      </c>
      <c r="C188" s="513"/>
      <c r="D188" s="287" t="s">
        <v>735</v>
      </c>
      <c r="E188" s="268">
        <v>12349614</v>
      </c>
      <c r="F188" s="232" t="str">
        <f>$J$2</f>
        <v>GRSM</v>
      </c>
      <c r="G188" s="232">
        <f t="shared" ref="G188:G193" si="40">IF(F188=$G$2,E188,0)</f>
        <v>0</v>
      </c>
      <c r="H188" s="233">
        <v>0</v>
      </c>
      <c r="I188" s="234">
        <f t="shared" ref="I188:I193" si="41">G188-H188</f>
        <v>0</v>
      </c>
      <c r="J188" s="232">
        <f>IF(F188=$J$2,E188,0)</f>
        <v>12349614</v>
      </c>
      <c r="K188" s="298" t="s">
        <v>280</v>
      </c>
      <c r="L188" s="231">
        <v>1848232.51</v>
      </c>
      <c r="M188" s="236">
        <f t="shared" ref="M188:M193" si="42">J188-L188</f>
        <v>10501381.49</v>
      </c>
      <c r="N188" s="232">
        <f t="shared" ref="N188:N193" si="43">IF(F188=$N$2,E188,0)</f>
        <v>0</v>
      </c>
      <c r="O188" s="239" t="s">
        <v>736</v>
      </c>
    </row>
    <row r="189" spans="1:15" x14ac:dyDescent="0.2">
      <c r="A189" s="233" t="s">
        <v>737</v>
      </c>
      <c r="B189" s="512">
        <v>418.1</v>
      </c>
      <c r="C189" s="513"/>
      <c r="D189" s="287" t="s">
        <v>738</v>
      </c>
      <c r="E189" s="268">
        <v>253421</v>
      </c>
      <c r="F189" s="232" t="str">
        <f>$J$2</f>
        <v>GRSM</v>
      </c>
      <c r="G189" s="232">
        <f t="shared" si="40"/>
        <v>0</v>
      </c>
      <c r="H189" s="233">
        <v>0</v>
      </c>
      <c r="I189" s="234">
        <f t="shared" si="41"/>
        <v>0</v>
      </c>
      <c r="J189" s="232">
        <f>IF(F189=$J$2,E189,0)</f>
        <v>253421</v>
      </c>
      <c r="K189" s="298" t="s">
        <v>316</v>
      </c>
      <c r="L189" s="231">
        <v>0</v>
      </c>
      <c r="M189" s="236">
        <f t="shared" si="42"/>
        <v>253421</v>
      </c>
      <c r="N189" s="232">
        <f t="shared" si="43"/>
        <v>0</v>
      </c>
      <c r="O189" s="239" t="s">
        <v>736</v>
      </c>
    </row>
    <row r="190" spans="1:15" x14ac:dyDescent="0.2">
      <c r="A190" s="233" t="s">
        <v>739</v>
      </c>
      <c r="B190" s="512">
        <v>418.1</v>
      </c>
      <c r="C190" s="513"/>
      <c r="D190" s="287" t="s">
        <v>740</v>
      </c>
      <c r="E190" s="268">
        <v>0</v>
      </c>
      <c r="F190" s="232" t="s">
        <v>325</v>
      </c>
      <c r="G190" s="232">
        <f t="shared" si="40"/>
        <v>0</v>
      </c>
      <c r="H190" s="233">
        <v>0</v>
      </c>
      <c r="I190" s="234">
        <f t="shared" si="41"/>
        <v>0</v>
      </c>
      <c r="J190" s="232">
        <f>IF(F190=$J$2,E190,0)</f>
        <v>0</v>
      </c>
      <c r="K190" s="298" t="s">
        <v>316</v>
      </c>
      <c r="L190" s="231">
        <v>0</v>
      </c>
      <c r="M190" s="236">
        <f t="shared" si="42"/>
        <v>0</v>
      </c>
      <c r="N190" s="232">
        <f t="shared" si="43"/>
        <v>0</v>
      </c>
      <c r="O190" s="239" t="s">
        <v>741</v>
      </c>
    </row>
    <row r="191" spans="1:15" x14ac:dyDescent="0.2">
      <c r="A191" s="233" t="s">
        <v>742</v>
      </c>
      <c r="B191" s="512">
        <v>418.1</v>
      </c>
      <c r="C191" s="513"/>
      <c r="D191" s="287" t="s">
        <v>743</v>
      </c>
      <c r="E191" s="268">
        <v>-1067</v>
      </c>
      <c r="F191" s="232" t="str">
        <f>$G$2</f>
        <v>Traditional OOR</v>
      </c>
      <c r="G191" s="232">
        <f t="shared" si="40"/>
        <v>-1067</v>
      </c>
      <c r="H191" s="234">
        <v>0</v>
      </c>
      <c r="I191" s="234">
        <f t="shared" si="41"/>
        <v>-1067</v>
      </c>
      <c r="J191" s="232">
        <f>IF(F191=$J$2,E191,0)</f>
        <v>0</v>
      </c>
      <c r="K191" s="298"/>
      <c r="L191" s="231"/>
      <c r="M191" s="234">
        <f t="shared" si="42"/>
        <v>0</v>
      </c>
      <c r="N191" s="232">
        <f t="shared" si="43"/>
        <v>0</v>
      </c>
      <c r="O191" s="233">
        <v>13</v>
      </c>
    </row>
    <row r="192" spans="1:15" x14ac:dyDescent="0.2">
      <c r="A192" s="233" t="s">
        <v>744</v>
      </c>
      <c r="B192" s="512">
        <v>418.1</v>
      </c>
      <c r="C192" s="513"/>
      <c r="D192" s="287" t="s">
        <v>745</v>
      </c>
      <c r="E192" s="268">
        <v>-1100</v>
      </c>
      <c r="F192" s="232" t="str">
        <f>$G$2</f>
        <v>Traditional OOR</v>
      </c>
      <c r="G192" s="232">
        <f t="shared" si="40"/>
        <v>-1100</v>
      </c>
      <c r="H192" s="234">
        <v>0</v>
      </c>
      <c r="I192" s="234">
        <f t="shared" si="41"/>
        <v>-1100</v>
      </c>
      <c r="J192" s="232">
        <f>IF(F192=$J$2,E192,0)</f>
        <v>0</v>
      </c>
      <c r="K192" s="298"/>
      <c r="L192" s="231"/>
      <c r="M192" s="234">
        <f t="shared" si="42"/>
        <v>0</v>
      </c>
      <c r="N192" s="232">
        <f t="shared" si="43"/>
        <v>0</v>
      </c>
      <c r="O192" s="233">
        <v>14</v>
      </c>
    </row>
    <row r="193" spans="1:15" x14ac:dyDescent="0.2">
      <c r="A193" s="233" t="s">
        <v>746</v>
      </c>
      <c r="B193" s="299">
        <v>418.1</v>
      </c>
      <c r="C193" s="300"/>
      <c r="D193" s="287" t="s">
        <v>747</v>
      </c>
      <c r="E193" s="268">
        <v>1073689.28</v>
      </c>
      <c r="F193" s="232" t="str">
        <f>$G$2</f>
        <v>Traditional OOR</v>
      </c>
      <c r="G193" s="232">
        <f t="shared" si="40"/>
        <v>1073689.28</v>
      </c>
      <c r="H193" s="234">
        <f>E193*$D$234</f>
        <v>46104.217683199997</v>
      </c>
      <c r="I193" s="234">
        <f t="shared" si="41"/>
        <v>1027585.0623168</v>
      </c>
      <c r="J193" s="232">
        <v>0</v>
      </c>
      <c r="K193" s="298"/>
      <c r="L193" s="231">
        <v>0</v>
      </c>
      <c r="M193" s="234">
        <f t="shared" si="42"/>
        <v>0</v>
      </c>
      <c r="N193" s="232">
        <f t="shared" si="43"/>
        <v>0</v>
      </c>
      <c r="O193" s="233" t="s">
        <v>748</v>
      </c>
    </row>
    <row r="194" spans="1:15" x14ac:dyDescent="0.2">
      <c r="A194" s="246"/>
      <c r="B194" s="301"/>
      <c r="C194" s="302"/>
      <c r="D194" s="303"/>
      <c r="E194" s="268"/>
      <c r="F194" s="231"/>
      <c r="G194" s="248"/>
      <c r="H194" s="246"/>
      <c r="I194" s="247"/>
      <c r="J194" s="231"/>
      <c r="K194" s="304"/>
      <c r="L194" s="231"/>
      <c r="M194" s="305"/>
      <c r="N194" s="231"/>
      <c r="O194" s="246"/>
    </row>
    <row r="195" spans="1:15" x14ac:dyDescent="0.2">
      <c r="A195" s="246"/>
      <c r="B195" s="301"/>
      <c r="C195" s="302"/>
      <c r="D195" s="303"/>
      <c r="E195" s="268"/>
      <c r="F195" s="231"/>
      <c r="G195" s="248"/>
      <c r="H195" s="246"/>
      <c r="I195" s="247"/>
      <c r="J195" s="231"/>
      <c r="K195" s="304"/>
      <c r="L195" s="231"/>
      <c r="M195" s="305"/>
      <c r="N195" s="231"/>
      <c r="O195" s="246"/>
    </row>
    <row r="196" spans="1:15" x14ac:dyDescent="0.2">
      <c r="A196" s="239">
        <v>29</v>
      </c>
      <c r="B196" s="517" t="s">
        <v>749</v>
      </c>
      <c r="C196" s="508"/>
      <c r="D196" s="509"/>
      <c r="E196" s="306">
        <f>SUM(E188:E195)</f>
        <v>13674557.279999999</v>
      </c>
      <c r="F196" s="307"/>
      <c r="G196" s="308">
        <f>SUM(G188:G195)</f>
        <v>1071522.28</v>
      </c>
      <c r="H196" s="308">
        <f>SUM(H188:H195)</f>
        <v>46104.217683199997</v>
      </c>
      <c r="I196" s="308">
        <f>SUM(I188:I195)</f>
        <v>1025418.0623168</v>
      </c>
      <c r="J196" s="306">
        <f>SUM(J188:J195)</f>
        <v>12603035</v>
      </c>
      <c r="K196" s="309"/>
      <c r="L196" s="306">
        <f>SUM(L188:L195)</f>
        <v>1848232.51</v>
      </c>
      <c r="M196" s="306">
        <f>SUM(M188:M195)</f>
        <v>10754802.49</v>
      </c>
      <c r="N196" s="306">
        <f>SUM(N188:N195)</f>
        <v>0</v>
      </c>
      <c r="O196" s="213"/>
    </row>
    <row r="197" spans="1:15" x14ac:dyDescent="0.2">
      <c r="A197" s="239">
        <v>30</v>
      </c>
      <c r="B197" s="517" t="s">
        <v>750</v>
      </c>
      <c r="C197" s="521"/>
      <c r="D197" s="522"/>
      <c r="E197" s="310">
        <v>-13273374.279999999</v>
      </c>
      <c r="F197" s="311"/>
      <c r="G197" s="311"/>
      <c r="H197" s="311"/>
      <c r="I197" s="311"/>
      <c r="J197" s="312"/>
      <c r="K197" s="311"/>
      <c r="L197" s="312"/>
      <c r="M197" s="312"/>
      <c r="N197" s="312"/>
      <c r="O197" s="165"/>
    </row>
    <row r="198" spans="1:15" ht="25.5" customHeight="1" x14ac:dyDescent="0.2">
      <c r="A198" s="239">
        <v>31</v>
      </c>
      <c r="B198" s="523" t="s">
        <v>751</v>
      </c>
      <c r="C198" s="511"/>
      <c r="D198" s="511"/>
      <c r="E198" s="310">
        <v>401183</v>
      </c>
      <c r="F198" s="311"/>
      <c r="G198" s="311"/>
      <c r="H198" s="311"/>
      <c r="I198" s="311"/>
      <c r="J198" s="312"/>
      <c r="K198" s="311"/>
      <c r="L198" s="312"/>
      <c r="M198" s="312"/>
      <c r="N198" s="312"/>
      <c r="O198" s="165"/>
    </row>
    <row r="199" spans="1:15" x14ac:dyDescent="0.2">
      <c r="A199" s="263"/>
    </row>
    <row r="200" spans="1:15" x14ac:dyDescent="0.2">
      <c r="A200" s="239">
        <v>32</v>
      </c>
      <c r="B200" s="313"/>
      <c r="C200" s="314"/>
      <c r="D200" s="315" t="s">
        <v>752</v>
      </c>
      <c r="E200" s="316">
        <f>E9+E28+E36+E67+E128+E152+E157+E162+E183+E196</f>
        <v>422567011.87</v>
      </c>
      <c r="F200" s="317"/>
      <c r="G200" s="316">
        <f>G9+G28+G36+G67+G128+G152+G157+G162+G183+G196</f>
        <v>175346353.73721018</v>
      </c>
      <c r="H200" s="318">
        <f>H9+H28+H36+H67+H128+H152+H157+H162+H183+H196</f>
        <v>40098822.879887603</v>
      </c>
      <c r="I200" s="318">
        <f>I9+I28+I36+I67+I128+I152+I157+I162+I183+I196</f>
        <v>135247530.8573226</v>
      </c>
      <c r="J200" s="316">
        <f>J9+J28+J36+J67+J128+J152+J157+J162+J183+J196</f>
        <v>93887855.62000002</v>
      </c>
      <c r="K200" s="317"/>
      <c r="L200" s="316">
        <f>L9+L28+L36+L67+L128+L152+L157+L162+L183+L196</f>
        <v>16671388.919999998</v>
      </c>
      <c r="M200" s="316">
        <f>M9+M28+M36+M67+M128+M152+M157+M162+M183+M196</f>
        <v>77216466.700000003</v>
      </c>
      <c r="N200" s="316">
        <f>N9+N28+N36+N67+N128+N152+N157+N162+N183+N196</f>
        <v>153332802.51278985</v>
      </c>
      <c r="O200" s="213"/>
    </row>
    <row r="201" spans="1:15" x14ac:dyDescent="0.2">
      <c r="A201" s="319"/>
      <c r="B201" s="320"/>
      <c r="C201" s="319"/>
      <c r="E201" s="263"/>
      <c r="F201" s="263"/>
      <c r="G201" s="321"/>
      <c r="J201" s="322"/>
      <c r="K201" s="323"/>
      <c r="N201" s="321"/>
    </row>
    <row r="202" spans="1:15" x14ac:dyDescent="0.2">
      <c r="A202" s="319"/>
      <c r="B202" s="320"/>
      <c r="C202" s="319"/>
      <c r="E202" s="263"/>
      <c r="F202" s="263" t="s">
        <v>40</v>
      </c>
      <c r="J202" s="322"/>
      <c r="K202" s="323"/>
      <c r="N202" s="321"/>
    </row>
    <row r="203" spans="1:15" x14ac:dyDescent="0.2">
      <c r="A203" s="239">
        <v>33</v>
      </c>
      <c r="B203" s="324"/>
      <c r="C203" s="324"/>
      <c r="D203" s="325" t="s">
        <v>753</v>
      </c>
      <c r="E203" s="259">
        <f>L200</f>
        <v>16671388.919999998</v>
      </c>
      <c r="F203" s="326" t="s">
        <v>754</v>
      </c>
      <c r="G203" s="321"/>
      <c r="N203" s="321"/>
    </row>
    <row r="204" spans="1:15" x14ac:dyDescent="0.2">
      <c r="A204" s="233">
        <v>34</v>
      </c>
      <c r="B204" s="324"/>
      <c r="C204" s="324"/>
      <c r="D204" s="325" t="s">
        <v>755</v>
      </c>
      <c r="E204" s="259">
        <f>E203*(5.425/16.671)</f>
        <v>5425126.5605542557</v>
      </c>
      <c r="F204" s="327" t="s">
        <v>756</v>
      </c>
      <c r="G204" s="323"/>
      <c r="N204" s="321"/>
    </row>
    <row r="205" spans="1:15" x14ac:dyDescent="0.2">
      <c r="A205" s="233">
        <v>35</v>
      </c>
      <c r="B205" s="324"/>
      <c r="C205" s="324"/>
      <c r="D205" s="328"/>
      <c r="E205" s="235"/>
      <c r="F205" s="329"/>
      <c r="G205" s="323"/>
      <c r="N205" s="321"/>
    </row>
    <row r="206" spans="1:15" x14ac:dyDescent="0.2">
      <c r="A206" s="233">
        <v>36</v>
      </c>
      <c r="B206" s="324"/>
      <c r="C206" s="324"/>
      <c r="D206" s="325" t="s">
        <v>757</v>
      </c>
      <c r="E206" s="259">
        <f>SUMIF(K4:K189,"=A",M4:M189)</f>
        <v>51806740.840000004</v>
      </c>
      <c r="F206" s="327" t="s">
        <v>758</v>
      </c>
      <c r="G206" s="323"/>
      <c r="N206" s="321"/>
    </row>
    <row r="207" spans="1:15" x14ac:dyDescent="0.2">
      <c r="A207" s="233">
        <v>37</v>
      </c>
      <c r="B207" s="216"/>
      <c r="C207" s="216"/>
      <c r="D207" s="325" t="s">
        <v>759</v>
      </c>
      <c r="E207" s="259">
        <f>0.1*E206</f>
        <v>5180674.0840000007</v>
      </c>
      <c r="F207" s="194" t="str">
        <f>"= Line "&amp;A206&amp;"D * 10%"</f>
        <v>= Line 36D * 10%</v>
      </c>
      <c r="G207" s="119"/>
      <c r="H207" s="330"/>
      <c r="I207" s="331"/>
    </row>
    <row r="208" spans="1:15" x14ac:dyDescent="0.2">
      <c r="A208" s="233">
        <v>38</v>
      </c>
      <c r="B208" s="216"/>
      <c r="C208" s="216"/>
      <c r="D208" s="325" t="s">
        <v>760</v>
      </c>
      <c r="E208" s="259">
        <f>SUMIF(K4:K192,"=P",M4:M192)</f>
        <v>25409725.859999996</v>
      </c>
      <c r="F208" s="332" t="s">
        <v>761</v>
      </c>
      <c r="G208" s="119"/>
      <c r="H208" s="263"/>
      <c r="I208" s="331"/>
    </row>
    <row r="209" spans="1:254" x14ac:dyDescent="0.2">
      <c r="A209" s="233">
        <v>39</v>
      </c>
      <c r="B209" s="216"/>
      <c r="C209" s="216"/>
      <c r="D209" s="325" t="s">
        <v>762</v>
      </c>
      <c r="E209" s="259">
        <f>0.3*E208</f>
        <v>7622917.7579999985</v>
      </c>
      <c r="F209" s="194" t="str">
        <f>"= Line "&amp;A208&amp;"D * 30%"</f>
        <v>= Line 38D * 30%</v>
      </c>
      <c r="G209" s="119"/>
      <c r="H209" s="330"/>
      <c r="I209" s="331"/>
    </row>
    <row r="210" spans="1:254" x14ac:dyDescent="0.2">
      <c r="A210" s="233">
        <v>40</v>
      </c>
      <c r="B210" s="216"/>
      <c r="C210" s="216"/>
      <c r="D210" s="325" t="s">
        <v>763</v>
      </c>
      <c r="E210" s="259">
        <f>E207+E209</f>
        <v>12803591.842</v>
      </c>
      <c r="F210" s="194" t="str">
        <f>"= Line "&amp;A207&amp;"D + Line "&amp;A209&amp;"D"</f>
        <v>= Line 37D + Line 39D</v>
      </c>
      <c r="G210" s="294"/>
    </row>
    <row r="211" spans="1:254" x14ac:dyDescent="0.2">
      <c r="A211" s="233">
        <v>41</v>
      </c>
      <c r="B211" s="216"/>
      <c r="C211" s="216"/>
      <c r="D211" s="325" t="s">
        <v>764</v>
      </c>
      <c r="E211" s="333">
        <f>5.425/16.671</f>
        <v>0.32541539199808051</v>
      </c>
      <c r="F211" s="327" t="s">
        <v>765</v>
      </c>
      <c r="G211" s="294"/>
    </row>
    <row r="212" spans="1:254" x14ac:dyDescent="0.2">
      <c r="A212" s="233">
        <v>42</v>
      </c>
      <c r="B212" s="216"/>
      <c r="C212" s="216"/>
      <c r="D212" s="325" t="s">
        <v>766</v>
      </c>
      <c r="E212" s="259">
        <f>E210*E211</f>
        <v>4166485.8582478557</v>
      </c>
      <c r="F212" s="194" t="str">
        <f>"= Line "&amp;A210&amp;"D * Line "&amp;A211&amp;"D"</f>
        <v>= Line 40D * Line 41D</v>
      </c>
      <c r="G212" s="294"/>
    </row>
    <row r="213" spans="1:254" ht="12.75" customHeight="1" x14ac:dyDescent="0.2">
      <c r="A213" s="233">
        <v>43</v>
      </c>
      <c r="B213" s="216"/>
      <c r="C213" s="216"/>
      <c r="D213" s="334" t="s">
        <v>767</v>
      </c>
      <c r="E213" s="308">
        <f>E212+E204</f>
        <v>9591612.4188021123</v>
      </c>
      <c r="F213" s="194" t="str">
        <f>"= Line "&amp;A204&amp;"D + Line "&amp;A212&amp;"D"</f>
        <v>= Line 34D + Line 42D</v>
      </c>
      <c r="G213" s="294"/>
    </row>
    <row r="214" spans="1:254" x14ac:dyDescent="0.2">
      <c r="A214" s="119"/>
      <c r="D214" s="294"/>
      <c r="E214" s="335"/>
      <c r="F214" s="327"/>
      <c r="G214" s="294"/>
    </row>
    <row r="215" spans="1:254" x14ac:dyDescent="0.2">
      <c r="A215" s="119"/>
      <c r="D215" s="336"/>
      <c r="E215" s="337" t="s">
        <v>34</v>
      </c>
      <c r="F215" s="337" t="s">
        <v>40</v>
      </c>
      <c r="G215" s="338"/>
      <c r="I215" s="296"/>
      <c r="J215" s="119"/>
      <c r="K215" s="296"/>
      <c r="L215" s="336"/>
      <c r="M215" s="337"/>
      <c r="N215" s="337"/>
      <c r="O215" s="338"/>
      <c r="P215" s="293"/>
      <c r="Q215" s="296"/>
      <c r="R215" s="336"/>
      <c r="S215" s="337"/>
      <c r="T215" s="337"/>
      <c r="U215" s="338"/>
      <c r="V215" s="293"/>
      <c r="W215" s="296"/>
      <c r="X215" s="119"/>
      <c r="Y215" s="296"/>
      <c r="Z215" s="336"/>
      <c r="AA215" s="337"/>
      <c r="AB215" s="337"/>
      <c r="AC215" s="338"/>
      <c r="AD215" s="293"/>
      <c r="AE215" s="296"/>
      <c r="AF215" s="119"/>
      <c r="AG215" s="296"/>
      <c r="AH215" s="336"/>
      <c r="AI215" s="337"/>
      <c r="AJ215" s="337"/>
      <c r="AK215" s="338"/>
      <c r="AL215" s="293"/>
      <c r="AM215" s="296"/>
      <c r="AN215" s="119"/>
      <c r="AO215" s="296"/>
      <c r="AP215" s="336"/>
      <c r="AQ215" s="337"/>
      <c r="AR215" s="337"/>
      <c r="AS215" s="338"/>
      <c r="AT215" s="293"/>
      <c r="AU215" s="296"/>
      <c r="AV215" s="119"/>
      <c r="AW215" s="296"/>
      <c r="AX215" s="336"/>
      <c r="AY215" s="337"/>
      <c r="AZ215" s="337"/>
      <c r="BA215" s="338"/>
      <c r="BB215" s="293"/>
      <c r="BC215" s="296"/>
      <c r="BD215" s="119"/>
      <c r="BE215" s="296"/>
      <c r="BF215" s="336"/>
      <c r="BG215" s="337"/>
      <c r="BH215" s="337"/>
      <c r="BI215" s="338"/>
      <c r="BJ215" s="293"/>
      <c r="BK215" s="296"/>
      <c r="BL215" s="119"/>
      <c r="BM215" s="296"/>
      <c r="BN215" s="336"/>
      <c r="BO215" s="337"/>
      <c r="BP215" s="337"/>
      <c r="BQ215" s="338"/>
      <c r="BR215" s="293"/>
      <c r="BS215" s="296"/>
      <c r="BT215" s="119"/>
      <c r="BU215" s="296"/>
      <c r="BV215" s="336"/>
      <c r="BW215" s="337"/>
      <c r="BX215" s="337"/>
      <c r="BY215" s="338"/>
      <c r="BZ215" s="293"/>
      <c r="CA215" s="296"/>
      <c r="CB215" s="119"/>
      <c r="CC215" s="296"/>
      <c r="CD215" s="336"/>
      <c r="CE215" s="337"/>
      <c r="CF215" s="337"/>
      <c r="CG215" s="338"/>
      <c r="CH215" s="293"/>
      <c r="CI215" s="296"/>
      <c r="CJ215" s="119"/>
      <c r="CK215" s="296"/>
      <c r="CL215" s="336"/>
      <c r="CM215" s="337"/>
      <c r="CN215" s="337"/>
      <c r="CO215" s="338"/>
      <c r="CP215" s="293"/>
      <c r="CQ215" s="296"/>
      <c r="CR215" s="119"/>
      <c r="CS215" s="296"/>
      <c r="CT215" s="336"/>
      <c r="CU215" s="337"/>
      <c r="CV215" s="337"/>
      <c r="CW215" s="338"/>
      <c r="CX215" s="293"/>
      <c r="CY215" s="296"/>
      <c r="CZ215" s="119"/>
      <c r="DA215" s="296"/>
      <c r="DB215" s="336"/>
      <c r="DC215" s="337"/>
      <c r="DD215" s="337"/>
      <c r="DE215" s="338"/>
      <c r="DF215" s="293"/>
      <c r="DG215" s="296"/>
      <c r="DH215" s="119"/>
      <c r="DI215" s="296"/>
      <c r="DJ215" s="336"/>
      <c r="DK215" s="337"/>
      <c r="DL215" s="337"/>
      <c r="DM215" s="338"/>
      <c r="DN215" s="293"/>
      <c r="DO215" s="296"/>
      <c r="DP215" s="119"/>
      <c r="DQ215" s="296"/>
      <c r="DR215" s="336"/>
      <c r="DS215" s="337"/>
      <c r="DT215" s="337"/>
      <c r="DU215" s="338"/>
      <c r="DV215" s="293"/>
      <c r="DW215" s="296"/>
      <c r="DX215" s="119"/>
      <c r="DY215" s="296"/>
      <c r="DZ215" s="336"/>
      <c r="EA215" s="337"/>
      <c r="EB215" s="337"/>
      <c r="EC215" s="338"/>
      <c r="ED215" s="293"/>
      <c r="EE215" s="296"/>
      <c r="EF215" s="119"/>
      <c r="EG215" s="296"/>
      <c r="EH215" s="336"/>
      <c r="EI215" s="337"/>
      <c r="EJ215" s="337"/>
      <c r="EK215" s="338"/>
      <c r="EL215" s="293"/>
      <c r="EM215" s="296"/>
      <c r="EN215" s="119"/>
      <c r="EO215" s="296"/>
      <c r="EP215" s="336"/>
      <c r="EQ215" s="337"/>
      <c r="ER215" s="337"/>
      <c r="ES215" s="338"/>
      <c r="ET215" s="293"/>
      <c r="EU215" s="296"/>
      <c r="EV215" s="119"/>
      <c r="EW215" s="296"/>
      <c r="EX215" s="336"/>
      <c r="EY215" s="337"/>
      <c r="EZ215" s="337"/>
      <c r="FA215" s="338"/>
      <c r="FB215" s="293"/>
      <c r="FC215" s="296"/>
      <c r="FD215" s="119"/>
      <c r="FE215" s="296"/>
      <c r="FF215" s="336"/>
      <c r="FG215" s="337"/>
      <c r="FH215" s="337"/>
      <c r="FI215" s="338"/>
      <c r="FJ215" s="293"/>
      <c r="FK215" s="296"/>
      <c r="FL215" s="119"/>
      <c r="FM215" s="296"/>
      <c r="FN215" s="336"/>
      <c r="FO215" s="337"/>
      <c r="FP215" s="337"/>
      <c r="FQ215" s="338"/>
      <c r="FR215" s="293"/>
      <c r="FS215" s="296"/>
      <c r="FT215" s="119"/>
      <c r="FU215" s="296"/>
      <c r="FV215" s="336"/>
      <c r="FW215" s="337"/>
      <c r="FX215" s="337"/>
      <c r="FY215" s="338"/>
      <c r="FZ215" s="293"/>
      <c r="GA215" s="296"/>
      <c r="GB215" s="119"/>
      <c r="GC215" s="296"/>
      <c r="GD215" s="336"/>
      <c r="GE215" s="337"/>
      <c r="GF215" s="337"/>
      <c r="GG215" s="338"/>
      <c r="GH215" s="293"/>
      <c r="GI215" s="296"/>
      <c r="GJ215" s="119"/>
      <c r="GK215" s="296"/>
      <c r="GL215" s="336"/>
      <c r="GM215" s="337"/>
      <c r="GN215" s="337"/>
      <c r="GO215" s="338"/>
      <c r="GP215" s="293"/>
      <c r="GQ215" s="296"/>
      <c r="GR215" s="119"/>
      <c r="GS215" s="296"/>
      <c r="GT215" s="336"/>
      <c r="GU215" s="337"/>
      <c r="GV215" s="337"/>
      <c r="GW215" s="338"/>
      <c r="GX215" s="293"/>
      <c r="GY215" s="296"/>
      <c r="GZ215" s="119"/>
      <c r="HA215" s="296"/>
      <c r="HB215" s="336"/>
      <c r="HC215" s="337"/>
      <c r="HD215" s="337"/>
      <c r="HE215" s="338"/>
      <c r="HF215" s="293"/>
      <c r="HG215" s="296"/>
      <c r="HH215" s="119"/>
      <c r="HI215" s="296"/>
      <c r="HJ215" s="336"/>
      <c r="HK215" s="337"/>
      <c r="HL215" s="337"/>
      <c r="HM215" s="338"/>
      <c r="HN215" s="293"/>
      <c r="HO215" s="296"/>
      <c r="HP215" s="119"/>
      <c r="HQ215" s="296"/>
      <c r="HR215" s="336"/>
      <c r="HS215" s="337"/>
      <c r="HT215" s="337"/>
      <c r="HU215" s="338"/>
      <c r="HV215" s="293"/>
      <c r="HW215" s="296"/>
      <c r="HX215" s="119"/>
      <c r="HY215" s="296"/>
      <c r="HZ215" s="336"/>
      <c r="IA215" s="337"/>
      <c r="IB215" s="337"/>
      <c r="IC215" s="338"/>
      <c r="ID215" s="293"/>
      <c r="IE215" s="296"/>
      <c r="IF215" s="119"/>
      <c r="IG215" s="296"/>
      <c r="IH215" s="336"/>
      <c r="II215" s="337"/>
      <c r="IJ215" s="337"/>
      <c r="IK215" s="338"/>
      <c r="IL215" s="293"/>
      <c r="IM215" s="296"/>
      <c r="IN215" s="119"/>
      <c r="IO215" s="296"/>
      <c r="IP215" s="336"/>
      <c r="IQ215" s="337"/>
      <c r="IR215" s="337"/>
      <c r="IS215" s="338"/>
      <c r="IT215" s="293"/>
    </row>
    <row r="216" spans="1:254" x14ac:dyDescent="0.2">
      <c r="A216" s="233">
        <v>44</v>
      </c>
      <c r="B216" s="297" t="s">
        <v>768</v>
      </c>
      <c r="D216" s="336"/>
      <c r="E216" s="339">
        <f>H200+E213</f>
        <v>49690435.298689716</v>
      </c>
      <c r="F216" s="340" t="s">
        <v>769</v>
      </c>
      <c r="G216" s="338"/>
      <c r="J216" s="297"/>
      <c r="K216" s="296"/>
      <c r="L216" s="336"/>
      <c r="M216" s="341"/>
      <c r="N216" s="340"/>
      <c r="O216" s="338"/>
      <c r="P216" s="293"/>
      <c r="Q216" s="296"/>
      <c r="R216" s="336"/>
      <c r="S216" s="341"/>
      <c r="T216" s="340"/>
      <c r="U216" s="338"/>
      <c r="V216" s="293"/>
      <c r="W216" s="239"/>
      <c r="X216" s="297"/>
      <c r="Y216" s="296"/>
      <c r="Z216" s="336"/>
      <c r="AA216" s="341"/>
      <c r="AB216" s="340"/>
      <c r="AC216" s="338"/>
      <c r="AD216" s="293"/>
      <c r="AE216" s="239"/>
      <c r="AF216" s="297"/>
      <c r="AG216" s="296"/>
      <c r="AH216" s="336"/>
      <c r="AI216" s="341"/>
      <c r="AJ216" s="340"/>
      <c r="AK216" s="338"/>
      <c r="AL216" s="293"/>
      <c r="AM216" s="239"/>
      <c r="AN216" s="297"/>
      <c r="AO216" s="296"/>
      <c r="AP216" s="336"/>
      <c r="AQ216" s="341"/>
      <c r="AR216" s="340"/>
      <c r="AS216" s="338"/>
      <c r="AT216" s="293"/>
      <c r="AU216" s="239"/>
      <c r="AV216" s="297"/>
      <c r="AW216" s="296"/>
      <c r="AX216" s="336"/>
      <c r="AY216" s="341"/>
      <c r="AZ216" s="340"/>
      <c r="BA216" s="338"/>
      <c r="BB216" s="293"/>
      <c r="BC216" s="239"/>
      <c r="BD216" s="297"/>
      <c r="BE216" s="296"/>
      <c r="BF216" s="336"/>
      <c r="BG216" s="341"/>
      <c r="BH216" s="340"/>
      <c r="BI216" s="338"/>
      <c r="BJ216" s="293"/>
      <c r="BK216" s="239"/>
      <c r="BL216" s="297"/>
      <c r="BM216" s="296"/>
      <c r="BN216" s="336"/>
      <c r="BO216" s="341"/>
      <c r="BP216" s="340"/>
      <c r="BQ216" s="338"/>
      <c r="BR216" s="293"/>
      <c r="BS216" s="239"/>
      <c r="BT216" s="297"/>
      <c r="BU216" s="296"/>
      <c r="BV216" s="336"/>
      <c r="BW216" s="341"/>
      <c r="BX216" s="340"/>
      <c r="BY216" s="338"/>
      <c r="BZ216" s="293"/>
      <c r="CA216" s="239"/>
      <c r="CB216" s="297"/>
      <c r="CC216" s="296"/>
      <c r="CD216" s="336"/>
      <c r="CE216" s="341"/>
      <c r="CF216" s="340"/>
      <c r="CG216" s="338"/>
      <c r="CH216" s="293"/>
      <c r="CI216" s="239"/>
      <c r="CJ216" s="297"/>
      <c r="CK216" s="296"/>
      <c r="CL216" s="336"/>
      <c r="CM216" s="341"/>
      <c r="CN216" s="340"/>
      <c r="CO216" s="338"/>
      <c r="CP216" s="293"/>
      <c r="CQ216" s="239"/>
      <c r="CR216" s="297"/>
      <c r="CS216" s="296"/>
      <c r="CT216" s="336"/>
      <c r="CU216" s="341"/>
      <c r="CV216" s="340"/>
      <c r="CW216" s="338"/>
      <c r="CX216" s="293"/>
      <c r="CY216" s="239"/>
      <c r="CZ216" s="297"/>
      <c r="DA216" s="296"/>
      <c r="DB216" s="336"/>
      <c r="DC216" s="341"/>
      <c r="DD216" s="340"/>
      <c r="DE216" s="338"/>
      <c r="DF216" s="293"/>
      <c r="DG216" s="239"/>
      <c r="DH216" s="297"/>
      <c r="DI216" s="296"/>
      <c r="DJ216" s="336"/>
      <c r="DK216" s="341"/>
      <c r="DL216" s="340"/>
      <c r="DM216" s="338"/>
      <c r="DN216" s="293"/>
      <c r="DO216" s="239"/>
      <c r="DP216" s="297"/>
      <c r="DQ216" s="296"/>
      <c r="DR216" s="336"/>
      <c r="DS216" s="341"/>
      <c r="DT216" s="340"/>
      <c r="DU216" s="338"/>
      <c r="DV216" s="293"/>
      <c r="DW216" s="239"/>
      <c r="DX216" s="297"/>
      <c r="DY216" s="296"/>
      <c r="DZ216" s="336"/>
      <c r="EA216" s="341"/>
      <c r="EB216" s="340"/>
      <c r="EC216" s="338"/>
      <c r="ED216" s="293"/>
      <c r="EE216" s="239"/>
      <c r="EF216" s="297"/>
      <c r="EG216" s="296"/>
      <c r="EH216" s="336"/>
      <c r="EI216" s="341"/>
      <c r="EJ216" s="340"/>
      <c r="EK216" s="338"/>
      <c r="EL216" s="293"/>
      <c r="EM216" s="239"/>
      <c r="EN216" s="297"/>
      <c r="EO216" s="296"/>
      <c r="EP216" s="336"/>
      <c r="EQ216" s="341"/>
      <c r="ER216" s="340"/>
      <c r="ES216" s="338"/>
      <c r="ET216" s="293"/>
      <c r="EU216" s="239"/>
      <c r="EV216" s="297"/>
      <c r="EW216" s="296"/>
      <c r="EX216" s="336"/>
      <c r="EY216" s="341"/>
      <c r="EZ216" s="340"/>
      <c r="FA216" s="338"/>
      <c r="FB216" s="293"/>
      <c r="FC216" s="239"/>
      <c r="FD216" s="297"/>
      <c r="FE216" s="296"/>
      <c r="FF216" s="336"/>
      <c r="FG216" s="341"/>
      <c r="FH216" s="340"/>
      <c r="FI216" s="338"/>
      <c r="FJ216" s="293"/>
      <c r="FK216" s="239"/>
      <c r="FL216" s="297"/>
      <c r="FM216" s="296"/>
      <c r="FN216" s="336"/>
      <c r="FO216" s="341"/>
      <c r="FP216" s="340"/>
      <c r="FQ216" s="338"/>
      <c r="FR216" s="293"/>
      <c r="FS216" s="239"/>
      <c r="FT216" s="297"/>
      <c r="FU216" s="296"/>
      <c r="FV216" s="336"/>
      <c r="FW216" s="341"/>
      <c r="FX216" s="340"/>
      <c r="FY216" s="338"/>
      <c r="FZ216" s="293"/>
      <c r="GA216" s="239"/>
      <c r="GB216" s="297"/>
      <c r="GC216" s="296"/>
      <c r="GD216" s="336"/>
      <c r="GE216" s="341"/>
      <c r="GF216" s="340"/>
      <c r="GG216" s="338"/>
      <c r="GH216" s="293"/>
      <c r="GI216" s="239"/>
      <c r="GJ216" s="297"/>
      <c r="GK216" s="296"/>
      <c r="GL216" s="336"/>
      <c r="GM216" s="341"/>
      <c r="GN216" s="340"/>
      <c r="GO216" s="338"/>
      <c r="GP216" s="293"/>
      <c r="GQ216" s="239"/>
      <c r="GR216" s="297"/>
      <c r="GS216" s="296"/>
      <c r="GT216" s="336"/>
      <c r="GU216" s="341"/>
      <c r="GV216" s="340"/>
      <c r="GW216" s="338"/>
      <c r="GX216" s="293"/>
      <c r="GY216" s="239"/>
      <c r="GZ216" s="297"/>
      <c r="HA216" s="296"/>
      <c r="HB216" s="336"/>
      <c r="HC216" s="341"/>
      <c r="HD216" s="340"/>
      <c r="HE216" s="338"/>
      <c r="HF216" s="293"/>
      <c r="HG216" s="239"/>
      <c r="HH216" s="297"/>
      <c r="HI216" s="296"/>
      <c r="HJ216" s="336"/>
      <c r="HK216" s="341"/>
      <c r="HL216" s="340"/>
      <c r="HM216" s="338"/>
      <c r="HN216" s="293"/>
      <c r="HO216" s="239"/>
      <c r="HP216" s="297"/>
      <c r="HQ216" s="296"/>
      <c r="HR216" s="336"/>
      <c r="HS216" s="341"/>
      <c r="HT216" s="340"/>
      <c r="HU216" s="338"/>
      <c r="HV216" s="293"/>
      <c r="HW216" s="239"/>
      <c r="HX216" s="297"/>
      <c r="HY216" s="296"/>
      <c r="HZ216" s="336"/>
      <c r="IA216" s="341"/>
      <c r="IB216" s="340"/>
      <c r="IC216" s="338"/>
      <c r="ID216" s="293"/>
      <c r="IE216" s="239"/>
      <c r="IF216" s="297"/>
      <c r="IG216" s="296"/>
      <c r="IH216" s="336"/>
      <c r="II216" s="341"/>
      <c r="IJ216" s="340"/>
      <c r="IK216" s="338"/>
      <c r="IL216" s="293"/>
      <c r="IM216" s="239"/>
      <c r="IN216" s="297"/>
      <c r="IO216" s="296"/>
      <c r="IP216" s="336"/>
      <c r="IQ216" s="341"/>
      <c r="IR216" s="340"/>
      <c r="IS216" s="338"/>
      <c r="IT216" s="293"/>
    </row>
    <row r="217" spans="1:254" x14ac:dyDescent="0.2">
      <c r="D217" s="294"/>
      <c r="E217" s="295"/>
      <c r="F217" s="326"/>
    </row>
    <row r="219" spans="1:254" x14ac:dyDescent="0.2">
      <c r="A219" s="296" t="s">
        <v>293</v>
      </c>
    </row>
    <row r="220" spans="1:254" ht="12.75" customHeight="1" x14ac:dyDescent="0.2">
      <c r="A220" s="342" t="s">
        <v>770</v>
      </c>
      <c r="B220" s="524" t="s">
        <v>771</v>
      </c>
      <c r="C220" s="525"/>
      <c r="D220" s="525"/>
    </row>
    <row r="221" spans="1:254" ht="77.25" customHeight="1" x14ac:dyDescent="0.2">
      <c r="A221" s="342" t="s">
        <v>772</v>
      </c>
      <c r="B221" s="518" t="s">
        <v>773</v>
      </c>
      <c r="C221" s="519"/>
      <c r="D221" s="519"/>
      <c r="E221" s="526"/>
      <c r="F221" s="526"/>
    </row>
    <row r="222" spans="1:254" ht="12.75" customHeight="1" x14ac:dyDescent="0.2">
      <c r="A222" s="342" t="s">
        <v>774</v>
      </c>
      <c r="B222" s="518" t="s">
        <v>775</v>
      </c>
      <c r="C222" s="527"/>
      <c r="D222" s="527"/>
      <c r="E222" s="528"/>
      <c r="F222" s="528"/>
    </row>
    <row r="223" spans="1:254" ht="12.75" customHeight="1" x14ac:dyDescent="0.2">
      <c r="A223" s="343" t="s">
        <v>776</v>
      </c>
      <c r="B223" s="518" t="s">
        <v>777</v>
      </c>
      <c r="C223" s="527"/>
      <c r="D223" s="527"/>
      <c r="E223" s="528"/>
      <c r="F223" s="528"/>
    </row>
    <row r="224" spans="1:254" ht="12.75" customHeight="1" x14ac:dyDescent="0.2">
      <c r="A224" s="342" t="s">
        <v>778</v>
      </c>
      <c r="B224" s="518" t="s">
        <v>779</v>
      </c>
      <c r="C224" s="527"/>
      <c r="D224" s="527"/>
      <c r="E224" s="528"/>
      <c r="F224" s="528"/>
    </row>
    <row r="225" spans="1:8" ht="12.75" customHeight="1" x14ac:dyDescent="0.2">
      <c r="A225" s="343" t="s">
        <v>780</v>
      </c>
      <c r="B225" s="518" t="s">
        <v>781</v>
      </c>
      <c r="C225" s="527"/>
      <c r="D225" s="527"/>
      <c r="E225" s="528"/>
      <c r="F225" s="528"/>
    </row>
    <row r="226" spans="1:8" ht="12.75" customHeight="1" x14ac:dyDescent="0.2">
      <c r="A226" s="343" t="s">
        <v>782</v>
      </c>
      <c r="B226" s="518" t="s">
        <v>783</v>
      </c>
      <c r="C226" s="519"/>
      <c r="D226" s="519"/>
      <c r="E226" s="520"/>
      <c r="F226" s="520"/>
    </row>
    <row r="227" spans="1:8" ht="12.75" customHeight="1" x14ac:dyDescent="0.2">
      <c r="A227" s="343"/>
      <c r="B227" s="520"/>
      <c r="C227" s="520"/>
      <c r="D227" s="520"/>
      <c r="E227" s="520"/>
      <c r="F227" s="520"/>
    </row>
    <row r="228" spans="1:8" ht="12.75" customHeight="1" x14ac:dyDescent="0.2">
      <c r="A228" s="343"/>
      <c r="B228" s="518" t="s">
        <v>784</v>
      </c>
      <c r="C228" s="527"/>
      <c r="D228" s="344">
        <v>4.2939999999999999E-2</v>
      </c>
      <c r="E228" s="345" t="s">
        <v>785</v>
      </c>
      <c r="F228" s="193" t="s">
        <v>786</v>
      </c>
      <c r="G228" s="346"/>
    </row>
    <row r="229" spans="1:8" ht="26.25" customHeight="1" x14ac:dyDescent="0.2">
      <c r="A229" s="343" t="s">
        <v>787</v>
      </c>
      <c r="B229" s="518" t="s">
        <v>788</v>
      </c>
      <c r="C229" s="527"/>
      <c r="D229" s="527"/>
      <c r="E229" s="528"/>
      <c r="F229" s="528"/>
    </row>
    <row r="230" spans="1:8" ht="27.75" customHeight="1" x14ac:dyDescent="0.2">
      <c r="A230" s="343" t="s">
        <v>789</v>
      </c>
      <c r="B230" s="518" t="s">
        <v>790</v>
      </c>
      <c r="C230" s="527"/>
      <c r="D230" s="527"/>
      <c r="E230" s="528"/>
      <c r="F230" s="528"/>
    </row>
    <row r="231" spans="1:8" ht="25.5" customHeight="1" x14ac:dyDescent="0.2">
      <c r="A231" s="342" t="s">
        <v>791</v>
      </c>
      <c r="B231" s="518" t="s">
        <v>792</v>
      </c>
      <c r="C231" s="527"/>
      <c r="D231" s="527"/>
      <c r="E231" s="528"/>
      <c r="F231" s="528"/>
    </row>
    <row r="232" spans="1:8" ht="39.950000000000003" customHeight="1" x14ac:dyDescent="0.2">
      <c r="A232" s="343" t="s">
        <v>793</v>
      </c>
      <c r="B232" s="518" t="s">
        <v>794</v>
      </c>
      <c r="C232" s="519"/>
      <c r="D232" s="519"/>
      <c r="E232" s="526"/>
      <c r="F232" s="526"/>
      <c r="G232" s="294"/>
    </row>
    <row r="233" spans="1:8" ht="26.1" customHeight="1" x14ac:dyDescent="0.2">
      <c r="A233" s="343" t="s">
        <v>795</v>
      </c>
      <c r="B233" s="518" t="s">
        <v>796</v>
      </c>
      <c r="C233" s="519"/>
      <c r="D233" s="519"/>
      <c r="E233" s="520"/>
      <c r="F233" s="520"/>
      <c r="G233" s="520"/>
    </row>
    <row r="234" spans="1:8" ht="12.75" customHeight="1" x14ac:dyDescent="0.2">
      <c r="A234" s="343"/>
      <c r="B234" s="518" t="s">
        <v>784</v>
      </c>
      <c r="C234" s="527"/>
      <c r="D234" s="344">
        <v>4.2939999999999999E-2</v>
      </c>
      <c r="E234" s="345" t="s">
        <v>785</v>
      </c>
      <c r="F234" s="193" t="s">
        <v>786</v>
      </c>
      <c r="G234" s="346"/>
    </row>
    <row r="235" spans="1:8" ht="12.75" customHeight="1" x14ac:dyDescent="0.2">
      <c r="A235" s="343" t="s">
        <v>797</v>
      </c>
      <c r="B235" s="518" t="s">
        <v>798</v>
      </c>
      <c r="C235" s="519"/>
      <c r="D235" s="519"/>
      <c r="E235" s="520"/>
      <c r="F235" s="520"/>
      <c r="G235" s="520"/>
      <c r="H235" s="520"/>
    </row>
    <row r="236" spans="1:8" ht="12.75" customHeight="1" x14ac:dyDescent="0.2">
      <c r="A236" s="343" t="s">
        <v>799</v>
      </c>
      <c r="B236" s="518" t="s">
        <v>800</v>
      </c>
      <c r="C236" s="519"/>
      <c r="D236" s="519"/>
      <c r="E236" s="520"/>
      <c r="F236" s="520"/>
      <c r="G236" s="520"/>
    </row>
    <row r="237" spans="1:8" ht="25.5" customHeight="1" x14ac:dyDescent="0.2">
      <c r="A237" s="343" t="s">
        <v>801</v>
      </c>
      <c r="B237" s="518" t="s">
        <v>802</v>
      </c>
      <c r="C237" s="519"/>
      <c r="D237" s="519"/>
      <c r="E237" s="526"/>
      <c r="F237" s="526"/>
      <c r="G237" s="294"/>
    </row>
    <row r="238" spans="1:8" x14ac:dyDescent="0.2">
      <c r="A238" s="343" t="s">
        <v>803</v>
      </c>
      <c r="B238" s="119" t="s">
        <v>804</v>
      </c>
      <c r="C238" s="119"/>
      <c r="E238" s="119"/>
      <c r="F238" s="119"/>
      <c r="G238" s="294"/>
    </row>
    <row r="239" spans="1:8" x14ac:dyDescent="0.2">
      <c r="A239" s="343" t="s">
        <v>805</v>
      </c>
      <c r="B239" s="119" t="s">
        <v>806</v>
      </c>
      <c r="C239" s="119"/>
      <c r="E239" s="294"/>
      <c r="F239" s="294"/>
      <c r="G239" s="294"/>
    </row>
    <row r="240" spans="1:8" x14ac:dyDescent="0.2">
      <c r="A240" s="119"/>
      <c r="B240" s="119" t="s">
        <v>807</v>
      </c>
      <c r="C240" s="119"/>
      <c r="E240" s="294"/>
      <c r="F240" s="294"/>
      <c r="G240" s="294"/>
    </row>
    <row r="241" spans="1:7" x14ac:dyDescent="0.2">
      <c r="A241" s="119"/>
      <c r="B241" s="119" t="s">
        <v>808</v>
      </c>
      <c r="C241" s="119"/>
      <c r="E241" s="294"/>
      <c r="F241" s="294"/>
      <c r="G241" s="294"/>
    </row>
    <row r="242" spans="1:7" x14ac:dyDescent="0.2">
      <c r="A242" s="119"/>
      <c r="B242" s="119" t="s">
        <v>809</v>
      </c>
      <c r="C242" s="119"/>
      <c r="E242" s="294"/>
      <c r="F242" s="294"/>
      <c r="G242" s="294"/>
    </row>
  </sheetData>
  <autoFilter ref="A1:O238" xr:uid="{00000000-0009-0000-0000-000004000000}"/>
  <mergeCells count="46">
    <mergeCell ref="B234:C234"/>
    <mergeCell ref="B235:H235"/>
    <mergeCell ref="B236:G236"/>
    <mergeCell ref="B237:F237"/>
    <mergeCell ref="B228:C228"/>
    <mergeCell ref="B229:F229"/>
    <mergeCell ref="B230:F230"/>
    <mergeCell ref="B231:F231"/>
    <mergeCell ref="B232:F232"/>
    <mergeCell ref="B233:G233"/>
    <mergeCell ref="B226:F227"/>
    <mergeCell ref="B191:C191"/>
    <mergeCell ref="B192:C192"/>
    <mergeCell ref="B196:D196"/>
    <mergeCell ref="B197:D197"/>
    <mergeCell ref="B198:D198"/>
    <mergeCell ref="B220:D220"/>
    <mergeCell ref="B221:F221"/>
    <mergeCell ref="B222:F222"/>
    <mergeCell ref="B223:F223"/>
    <mergeCell ref="B224:F224"/>
    <mergeCell ref="B225:F225"/>
    <mergeCell ref="B190:C190"/>
    <mergeCell ref="B152:D152"/>
    <mergeCell ref="B153:D153"/>
    <mergeCell ref="B157:D157"/>
    <mergeCell ref="B158:D158"/>
    <mergeCell ref="B162:D162"/>
    <mergeCell ref="B163:D163"/>
    <mergeCell ref="B183:D183"/>
    <mergeCell ref="B184:D184"/>
    <mergeCell ref="B185:D185"/>
    <mergeCell ref="B188:C188"/>
    <mergeCell ref="B189:C189"/>
    <mergeCell ref="B129:D129"/>
    <mergeCell ref="G2:I2"/>
    <mergeCell ref="J2:M2"/>
    <mergeCell ref="B9:D9"/>
    <mergeCell ref="B10:D10"/>
    <mergeCell ref="B28:D28"/>
    <mergeCell ref="B29:D29"/>
    <mergeCell ref="B36:D36"/>
    <mergeCell ref="B37:D37"/>
    <mergeCell ref="B67:D67"/>
    <mergeCell ref="B68:D68"/>
    <mergeCell ref="B128:D128"/>
  </mergeCells>
  <conditionalFormatting sqref="A224:A225 C159:C161 C130:C151 D73 C2:C8 C154:C156 C239:C65548 A229:A230 C163:C172 A232:A235 C217:C219 C30:C35 C38:C66 C69:C127 C200:C214 A237:A238 C11:C27">
    <cfRule type="cellIs" dxfId="18" priority="6" stopIfTrue="1" operator="between">
      <formula>4990000</formula>
      <formula>4999999</formula>
    </cfRule>
  </conditionalFormatting>
  <conditionalFormatting sqref="A236">
    <cfRule type="cellIs" dxfId="17" priority="5" stopIfTrue="1" operator="between">
      <formula>4990000</formula>
      <formula>4999999</formula>
    </cfRule>
  </conditionalFormatting>
  <conditionalFormatting sqref="A226:A228">
    <cfRule type="cellIs" dxfId="16"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15" priority="3" stopIfTrue="1" operator="between">
      <formula>4990000</formula>
      <formula>4999999</formula>
    </cfRule>
  </conditionalFormatting>
  <conditionalFormatting sqref="C215:C216">
    <cfRule type="cellIs" dxfId="14" priority="2" stopIfTrue="1" operator="between">
      <formula>4990000</formula>
      <formula>4999999</formula>
    </cfRule>
  </conditionalFormatting>
  <conditionalFormatting sqref="A239">
    <cfRule type="cellIs" dxfId="13"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2012 True Up TRR)&amp;RTO2020 Annual Update
Attachment 4
WP-Schedule 3-One Time Adj Prior Period
Page &amp;P of &amp;N</oddHeader>
    <oddFooter>&amp;R21-RevenueCredits</oddFooter>
  </headerFooter>
  <rowBreaks count="3" manualBreakCount="3">
    <brk id="68" max="16383" man="1"/>
    <brk id="129" max="16383" man="1"/>
    <brk id="18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2:H16"/>
  <sheetViews>
    <sheetView zoomScaleNormal="100" workbookViewId="0"/>
  </sheetViews>
  <sheetFormatPr defaultColWidth="9.140625" defaultRowHeight="15" x14ac:dyDescent="0.25"/>
  <cols>
    <col min="1" max="2" width="9.140625" style="41"/>
    <col min="3" max="3" width="17.85546875" style="41" customWidth="1"/>
    <col min="4" max="4" width="14" style="41" bestFit="1" customWidth="1"/>
    <col min="5" max="6" width="9.140625" style="41"/>
    <col min="7" max="7" width="13.85546875" style="41" customWidth="1"/>
    <col min="8" max="16384" width="9.140625" style="41"/>
  </cols>
  <sheetData>
    <row r="2" spans="1:8" ht="21" customHeight="1" x14ac:dyDescent="0.25"/>
    <row r="3" spans="1:8" ht="15" customHeight="1" x14ac:dyDescent="0.25">
      <c r="A3" s="492" t="s">
        <v>158</v>
      </c>
      <c r="B3" s="492"/>
      <c r="C3" s="492"/>
      <c r="D3" s="492"/>
      <c r="E3" s="492"/>
      <c r="F3" s="492"/>
      <c r="G3" s="492"/>
    </row>
    <row r="4" spans="1:8" ht="15" customHeight="1" x14ac:dyDescent="0.25">
      <c r="A4" s="492"/>
      <c r="B4" s="492"/>
      <c r="C4" s="492"/>
      <c r="D4" s="492"/>
      <c r="E4" s="492"/>
      <c r="F4" s="492"/>
      <c r="G4" s="492"/>
    </row>
    <row r="5" spans="1:8" x14ac:dyDescent="0.25">
      <c r="A5" s="493" t="s">
        <v>33</v>
      </c>
      <c r="B5" s="493"/>
      <c r="C5" s="493"/>
      <c r="D5" s="42" t="s">
        <v>34</v>
      </c>
      <c r="E5" s="494" t="s">
        <v>35</v>
      </c>
      <c r="F5" s="494"/>
      <c r="G5" s="494"/>
      <c r="H5" s="43"/>
    </row>
    <row r="6" spans="1:8" ht="47.25" customHeight="1" x14ac:dyDescent="0.25">
      <c r="A6" s="529" t="s">
        <v>810</v>
      </c>
      <c r="B6" s="530"/>
      <c r="C6" s="531"/>
      <c r="D6" s="44">
        <f>'WP-2013 Sch4-TUTRR'!J71</f>
        <v>780869270.63552642</v>
      </c>
      <c r="E6" s="532" t="s">
        <v>812</v>
      </c>
      <c r="F6" s="533"/>
      <c r="G6" s="534"/>
    </row>
    <row r="7" spans="1:8" ht="50.25" customHeight="1" x14ac:dyDescent="0.25">
      <c r="A7" s="538" t="s">
        <v>811</v>
      </c>
      <c r="B7" s="539"/>
      <c r="C7" s="540"/>
      <c r="D7" s="185">
        <f>'WP-2013 Sch4-TUTRR'!J70</f>
        <v>780668871.62417829</v>
      </c>
      <c r="E7" s="490" t="s">
        <v>989</v>
      </c>
      <c r="F7" s="537"/>
      <c r="G7" s="537"/>
    </row>
    <row r="8" spans="1:8" x14ac:dyDescent="0.25">
      <c r="A8" s="483" t="s">
        <v>36</v>
      </c>
      <c r="B8" s="483"/>
      <c r="C8" s="484"/>
      <c r="D8" s="45">
        <f>D7-D6</f>
        <v>-200399.01134812832</v>
      </c>
      <c r="E8" s="535"/>
      <c r="F8" s="535"/>
      <c r="G8" s="536"/>
    </row>
    <row r="11" spans="1:8" x14ac:dyDescent="0.25">
      <c r="A11" s="80" t="s">
        <v>284</v>
      </c>
    </row>
    <row r="12" spans="1:8" ht="15" customHeight="1" x14ac:dyDescent="0.25">
      <c r="A12" s="486" t="s">
        <v>814</v>
      </c>
      <c r="B12" s="482"/>
      <c r="C12" s="482"/>
      <c r="D12" s="482"/>
      <c r="E12" s="482"/>
      <c r="F12" s="482"/>
      <c r="G12" s="482"/>
      <c r="H12" s="482"/>
    </row>
    <row r="13" spans="1:8" ht="15" customHeight="1" x14ac:dyDescent="0.25">
      <c r="A13" s="203"/>
      <c r="B13" s="183"/>
      <c r="C13" s="183"/>
      <c r="D13" s="183"/>
      <c r="E13" s="183"/>
      <c r="F13" s="183"/>
      <c r="G13" s="183"/>
      <c r="H13" s="183"/>
    </row>
    <row r="14" spans="1:8" ht="15" customHeight="1" x14ac:dyDescent="0.25">
      <c r="A14" s="481"/>
      <c r="B14" s="482"/>
      <c r="C14" s="482"/>
      <c r="D14" s="482"/>
      <c r="E14" s="482"/>
      <c r="F14" s="482"/>
      <c r="G14" s="482"/>
      <c r="H14" s="482"/>
    </row>
    <row r="15" spans="1:8" x14ac:dyDescent="0.25">
      <c r="A15" s="203"/>
      <c r="B15" s="183"/>
      <c r="C15" s="183"/>
      <c r="D15" s="183"/>
      <c r="E15" s="183"/>
      <c r="F15" s="183"/>
      <c r="G15" s="183"/>
      <c r="H15" s="183"/>
    </row>
    <row r="16" spans="1:8" ht="15" customHeight="1" x14ac:dyDescent="0.25">
      <c r="A16" s="481"/>
      <c r="B16" s="482"/>
      <c r="C16" s="482"/>
      <c r="D16" s="482"/>
      <c r="E16" s="482"/>
      <c r="F16" s="482"/>
      <c r="G16" s="482"/>
      <c r="H16" s="482"/>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&amp;R&amp;8TO2020 Annual Update
Attachment 4
WP-Schedule 3-One Time Adj Prior Period
Page &amp;P of &amp;N</oddHeader>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72"/>
  <sheetViews>
    <sheetView zoomScale="120" zoomScaleNormal="120" zoomScaleSheetLayoutView="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3.42578125" bestFit="1" customWidth="1"/>
  </cols>
  <sheetData>
    <row r="1" spans="1:10" x14ac:dyDescent="0.2">
      <c r="A1" s="90" t="s">
        <v>38</v>
      </c>
      <c r="J1" s="91"/>
    </row>
    <row r="2" spans="1:10" x14ac:dyDescent="0.2">
      <c r="H2" s="91"/>
      <c r="J2" s="91"/>
    </row>
    <row r="3" spans="1:10" x14ac:dyDescent="0.2">
      <c r="B3" s="92" t="s">
        <v>39</v>
      </c>
      <c r="J3" s="91"/>
    </row>
    <row r="4" spans="1:10" x14ac:dyDescent="0.2">
      <c r="B4" s="93"/>
      <c r="F4" s="94" t="s">
        <v>40</v>
      </c>
      <c r="G4" s="94"/>
      <c r="H4" s="94" t="s">
        <v>41</v>
      </c>
      <c r="J4" s="91"/>
    </row>
    <row r="5" spans="1:10" x14ac:dyDescent="0.2">
      <c r="A5" s="95" t="s">
        <v>42</v>
      </c>
      <c r="B5" s="96"/>
      <c r="C5" s="97" t="s">
        <v>43</v>
      </c>
      <c r="F5" s="98" t="s">
        <v>44</v>
      </c>
      <c r="G5" s="98" t="s">
        <v>45</v>
      </c>
      <c r="H5" s="98" t="s">
        <v>46</v>
      </c>
      <c r="J5" s="135" t="s">
        <v>34</v>
      </c>
    </row>
    <row r="6" spans="1:10" x14ac:dyDescent="0.2">
      <c r="A6" s="99">
        <v>1</v>
      </c>
      <c r="B6" s="91"/>
      <c r="C6" s="100" t="s">
        <v>47</v>
      </c>
      <c r="D6" s="91"/>
      <c r="E6" s="91"/>
      <c r="F6" s="91" t="s">
        <v>48</v>
      </c>
      <c r="G6" s="91"/>
      <c r="H6" s="100" t="s">
        <v>833</v>
      </c>
      <c r="I6" s="91"/>
      <c r="J6" s="101">
        <v>4903133418.8953705</v>
      </c>
    </row>
    <row r="7" spans="1:10" x14ac:dyDescent="0.2">
      <c r="A7" s="99">
        <f>A6+1</f>
        <v>2</v>
      </c>
      <c r="B7" s="91"/>
      <c r="C7" s="100" t="s">
        <v>49</v>
      </c>
      <c r="D7" s="91"/>
      <c r="E7" s="91"/>
      <c r="F7" s="91" t="s">
        <v>50</v>
      </c>
      <c r="G7" s="91"/>
      <c r="H7" s="100" t="s">
        <v>834</v>
      </c>
      <c r="I7" s="91"/>
      <c r="J7" s="101">
        <v>179789556.64026114</v>
      </c>
    </row>
    <row r="8" spans="1:10" x14ac:dyDescent="0.2">
      <c r="A8" s="99">
        <f>A7+1</f>
        <v>3</v>
      </c>
      <c r="B8" s="91"/>
      <c r="C8" s="100" t="s">
        <v>51</v>
      </c>
      <c r="D8" s="91"/>
      <c r="E8" s="91"/>
      <c r="F8" s="91" t="s">
        <v>50</v>
      </c>
      <c r="G8" s="91"/>
      <c r="H8" s="91" t="s">
        <v>835</v>
      </c>
      <c r="I8" s="91"/>
      <c r="J8" s="101">
        <v>9942155</v>
      </c>
    </row>
    <row r="9" spans="1:10" x14ac:dyDescent="0.2">
      <c r="A9" s="99">
        <f>A8+1</f>
        <v>4</v>
      </c>
      <c r="B9" s="91"/>
      <c r="C9" s="100" t="s">
        <v>52</v>
      </c>
      <c r="D9" s="91"/>
      <c r="E9" s="91"/>
      <c r="F9" s="91" t="s">
        <v>50</v>
      </c>
      <c r="G9" s="91"/>
      <c r="H9" s="102" t="s">
        <v>836</v>
      </c>
      <c r="I9" s="91"/>
      <c r="J9" s="101">
        <v>0</v>
      </c>
    </row>
    <row r="10" spans="1:10" x14ac:dyDescent="0.2">
      <c r="A10" s="99"/>
      <c r="B10" s="91"/>
      <c r="C10" s="100"/>
      <c r="D10" s="91"/>
      <c r="E10" s="91"/>
      <c r="F10" s="91"/>
      <c r="G10" s="91"/>
      <c r="H10" s="91"/>
      <c r="I10" s="91"/>
      <c r="J10" s="101"/>
    </row>
    <row r="11" spans="1:10" x14ac:dyDescent="0.2">
      <c r="A11" s="99"/>
      <c r="B11" s="91"/>
      <c r="C11" s="103" t="s">
        <v>53</v>
      </c>
      <c r="D11" s="91"/>
      <c r="E11" s="91"/>
      <c r="F11" s="91"/>
      <c r="G11" s="91"/>
      <c r="H11" s="91"/>
      <c r="I11" s="91"/>
      <c r="J11" s="101"/>
    </row>
    <row r="12" spans="1:10" x14ac:dyDescent="0.2">
      <c r="A12" s="99">
        <f>A9+1</f>
        <v>5</v>
      </c>
      <c r="B12" s="91"/>
      <c r="C12" s="104" t="s">
        <v>54</v>
      </c>
      <c r="D12" s="91"/>
      <c r="E12" s="91"/>
      <c r="F12" s="91" t="s">
        <v>48</v>
      </c>
      <c r="G12" s="91"/>
      <c r="H12" s="100" t="s">
        <v>837</v>
      </c>
      <c r="I12" s="91"/>
      <c r="J12" s="101">
        <v>12191149.957444718</v>
      </c>
    </row>
    <row r="13" spans="1:10" x14ac:dyDescent="0.2">
      <c r="A13" s="99">
        <f>A12+1</f>
        <v>6</v>
      </c>
      <c r="B13" s="91"/>
      <c r="C13" s="105" t="s">
        <v>55</v>
      </c>
      <c r="D13" s="91"/>
      <c r="E13" s="91"/>
      <c r="F13" s="91" t="s">
        <v>48</v>
      </c>
      <c r="G13" s="91"/>
      <c r="H13" s="100" t="s">
        <v>838</v>
      </c>
      <c r="I13" s="91"/>
      <c r="J13" s="101">
        <v>2643432.4497607686</v>
      </c>
    </row>
    <row r="14" spans="1:10" x14ac:dyDescent="0.2">
      <c r="A14" s="99">
        <f>A13+1</f>
        <v>7</v>
      </c>
      <c r="B14" s="91"/>
      <c r="C14" s="104" t="s">
        <v>56</v>
      </c>
      <c r="D14" s="91"/>
      <c r="E14" s="91"/>
      <c r="F14" s="102" t="s">
        <v>57</v>
      </c>
      <c r="G14" s="91"/>
      <c r="H14" s="91" t="s">
        <v>839</v>
      </c>
      <c r="I14" s="91"/>
      <c r="J14" s="109">
        <v>7140725.4915009663</v>
      </c>
    </row>
    <row r="15" spans="1:10" x14ac:dyDescent="0.2">
      <c r="A15" s="99">
        <f>A14+1</f>
        <v>8</v>
      </c>
      <c r="B15" s="91"/>
      <c r="C15" s="104" t="s">
        <v>58</v>
      </c>
      <c r="D15" s="91"/>
      <c r="E15" s="91"/>
      <c r="F15" s="91"/>
      <c r="G15" s="91"/>
      <c r="H15" s="91" t="str">
        <f>"Line "&amp;A12&amp;" + Line "&amp;A13&amp;" + Line "&amp;A14&amp;""</f>
        <v>Line 5 + Line 6 + Line 7</v>
      </c>
      <c r="I15" s="91"/>
      <c r="J15" s="101">
        <f>SUM(J12:J14)</f>
        <v>21975307.898706451</v>
      </c>
    </row>
    <row r="16" spans="1:10" x14ac:dyDescent="0.2">
      <c r="A16" s="99"/>
      <c r="B16" s="91"/>
      <c r="C16" s="104"/>
      <c r="D16" s="91"/>
      <c r="E16" s="91"/>
      <c r="F16" s="91"/>
      <c r="G16" s="91"/>
      <c r="H16" s="91"/>
      <c r="I16" s="91"/>
      <c r="J16" s="101"/>
    </row>
    <row r="17" spans="1:10" x14ac:dyDescent="0.2">
      <c r="A17" s="99"/>
      <c r="B17" s="91"/>
      <c r="C17" s="108" t="s">
        <v>59</v>
      </c>
      <c r="D17" s="91"/>
      <c r="E17" s="91"/>
      <c r="F17" s="91"/>
      <c r="G17" s="91"/>
      <c r="H17" s="91"/>
      <c r="I17" s="91"/>
      <c r="J17" s="101"/>
    </row>
    <row r="18" spans="1:10" x14ac:dyDescent="0.2">
      <c r="A18" s="99">
        <f>A15+1</f>
        <v>9</v>
      </c>
      <c r="B18" s="91"/>
      <c r="C18" s="104" t="s">
        <v>60</v>
      </c>
      <c r="D18" s="91"/>
      <c r="E18" s="91"/>
      <c r="F18" s="91" t="s">
        <v>48</v>
      </c>
      <c r="G18" s="91" t="s">
        <v>61</v>
      </c>
      <c r="H18" s="100" t="s">
        <v>856</v>
      </c>
      <c r="I18" s="91"/>
      <c r="J18" s="101">
        <v>-1071602324.9413774</v>
      </c>
    </row>
    <row r="19" spans="1:10" x14ac:dyDescent="0.2">
      <c r="A19" s="99">
        <f>A18+1</f>
        <v>10</v>
      </c>
      <c r="B19" s="91"/>
      <c r="C19" s="104" t="s">
        <v>62</v>
      </c>
      <c r="D19" s="91"/>
      <c r="E19" s="91"/>
      <c r="F19" s="91" t="s">
        <v>50</v>
      </c>
      <c r="G19" s="91" t="s">
        <v>61</v>
      </c>
      <c r="H19" s="100" t="s">
        <v>857</v>
      </c>
      <c r="I19" s="91"/>
      <c r="J19" s="101">
        <v>-581109.91</v>
      </c>
    </row>
    <row r="20" spans="1:10" x14ac:dyDescent="0.2">
      <c r="A20" s="99">
        <f>A19+1</f>
        <v>11</v>
      </c>
      <c r="B20" s="91"/>
      <c r="C20" s="104" t="s">
        <v>63</v>
      </c>
      <c r="D20" s="46"/>
      <c r="E20" s="91"/>
      <c r="F20" s="91" t="s">
        <v>50</v>
      </c>
      <c r="G20" s="91" t="s">
        <v>61</v>
      </c>
      <c r="H20" s="100" t="s">
        <v>858</v>
      </c>
      <c r="I20" s="91"/>
      <c r="J20" s="109">
        <v>-68668721.615698114</v>
      </c>
    </row>
    <row r="21" spans="1:10" x14ac:dyDescent="0.2">
      <c r="A21" s="99">
        <f>A20+1</f>
        <v>12</v>
      </c>
      <c r="B21" s="91"/>
      <c r="C21" s="47" t="s">
        <v>64</v>
      </c>
      <c r="D21" s="46"/>
      <c r="E21" s="91"/>
      <c r="F21" s="91"/>
      <c r="G21" s="91"/>
      <c r="H21" s="91" t="str">
        <f>"Line "&amp;A18&amp;" + Line "&amp;A19&amp;" + Line "&amp;A20&amp;""</f>
        <v>Line 9 + Line 10 + Line 11</v>
      </c>
      <c r="I21" s="91"/>
      <c r="J21" s="101">
        <f>SUM(J18:J20)</f>
        <v>-1140852156.4670756</v>
      </c>
    </row>
    <row r="22" spans="1:10" x14ac:dyDescent="0.2">
      <c r="A22" s="99"/>
      <c r="B22" s="91"/>
      <c r="C22" s="102"/>
      <c r="D22" s="91"/>
      <c r="E22" s="91"/>
      <c r="F22" s="91"/>
      <c r="G22" s="91"/>
      <c r="H22" s="91"/>
      <c r="I22" s="91"/>
      <c r="J22" s="101"/>
    </row>
    <row r="23" spans="1:10" x14ac:dyDescent="0.2">
      <c r="A23" s="99">
        <f>A21+1</f>
        <v>13</v>
      </c>
      <c r="B23" s="91"/>
      <c r="C23" s="110" t="s">
        <v>65</v>
      </c>
      <c r="D23" s="91"/>
      <c r="E23" s="91"/>
      <c r="F23" s="91" t="s">
        <v>50</v>
      </c>
      <c r="G23" s="91"/>
      <c r="H23" s="100" t="s">
        <v>859</v>
      </c>
      <c r="I23" s="91"/>
      <c r="J23" s="101">
        <v>-820190103.05389631</v>
      </c>
    </row>
    <row r="24" spans="1:10" x14ac:dyDescent="0.2">
      <c r="A24" s="99">
        <f>A23+1</f>
        <v>14</v>
      </c>
      <c r="B24" s="91"/>
      <c r="C24" s="100" t="s">
        <v>66</v>
      </c>
      <c r="D24" s="91"/>
      <c r="E24" s="91"/>
      <c r="F24" s="91" t="s">
        <v>48</v>
      </c>
      <c r="G24" s="91"/>
      <c r="H24" s="100" t="s">
        <v>860</v>
      </c>
      <c r="I24" s="91"/>
      <c r="J24" s="101">
        <v>1340118516.4197419</v>
      </c>
    </row>
    <row r="25" spans="1:10" x14ac:dyDescent="0.2">
      <c r="A25" s="99">
        <f>A24+1</f>
        <v>15</v>
      </c>
      <c r="B25" s="91"/>
      <c r="C25" s="110" t="s">
        <v>67</v>
      </c>
      <c r="D25" s="91"/>
      <c r="E25" s="91"/>
      <c r="F25" s="91" t="s">
        <v>50</v>
      </c>
      <c r="G25" s="91" t="s">
        <v>61</v>
      </c>
      <c r="H25" s="100" t="s">
        <v>861</v>
      </c>
      <c r="I25" s="91"/>
      <c r="J25" s="101">
        <v>-26630218.84</v>
      </c>
    </row>
    <row r="26" spans="1:10" x14ac:dyDescent="0.2">
      <c r="A26" s="99" t="s">
        <v>68</v>
      </c>
      <c r="B26" s="91"/>
      <c r="C26" s="100" t="s">
        <v>69</v>
      </c>
      <c r="D26" s="91"/>
      <c r="E26" s="91"/>
      <c r="F26" s="91"/>
      <c r="G26" s="91"/>
      <c r="H26" s="102" t="s">
        <v>862</v>
      </c>
      <c r="I26" s="91"/>
      <c r="J26" s="101">
        <v>-6576677.7802061997</v>
      </c>
    </row>
    <row r="27" spans="1:10" x14ac:dyDescent="0.2">
      <c r="A27" s="99">
        <v>16</v>
      </c>
      <c r="B27" s="91"/>
      <c r="C27" s="110" t="s">
        <v>70</v>
      </c>
      <c r="D27" s="91"/>
      <c r="E27" s="91"/>
      <c r="F27" s="91" t="s">
        <v>50</v>
      </c>
      <c r="G27" s="91"/>
      <c r="H27" s="100" t="s">
        <v>863</v>
      </c>
      <c r="I27" s="91"/>
      <c r="J27" s="101">
        <v>0</v>
      </c>
    </row>
    <row r="28" spans="1:10" x14ac:dyDescent="0.2">
      <c r="A28" s="99"/>
      <c r="B28" s="91"/>
      <c r="C28" s="110"/>
      <c r="D28" s="91"/>
      <c r="E28" s="91"/>
      <c r="F28" s="91"/>
      <c r="G28" s="91"/>
      <c r="H28" s="91"/>
      <c r="I28" s="91"/>
      <c r="J28" s="91"/>
    </row>
    <row r="29" spans="1:10" x14ac:dyDescent="0.2">
      <c r="A29" s="99">
        <v>17</v>
      </c>
      <c r="B29" s="91"/>
      <c r="C29" s="91" t="s">
        <v>71</v>
      </c>
      <c r="D29" s="91"/>
      <c r="E29" s="91"/>
      <c r="F29" s="91"/>
      <c r="G29" s="91"/>
      <c r="H29" s="91" t="str">
        <f>"L"&amp;A6&amp;"+L"&amp;A7&amp;"+L"&amp;A8&amp;"+L"&amp;A9&amp;"+L"&amp;A15&amp;"+L"&amp;A21&amp;"+"</f>
        <v>L1+L2+L3+L4+L8+L12+</v>
      </c>
      <c r="I29" s="91"/>
      <c r="J29" s="101">
        <f>J6+ J7+J8+J9+J15+J21+J23+J24+J25+J26+J27</f>
        <v>4460709798.7129021</v>
      </c>
    </row>
    <row r="30" spans="1:10" x14ac:dyDescent="0.2">
      <c r="A30" s="99"/>
      <c r="B30" s="91"/>
      <c r="C30" s="91"/>
      <c r="D30" s="91"/>
      <c r="E30" s="91"/>
      <c r="F30" s="91"/>
      <c r="G30" s="91"/>
      <c r="H30" s="91" t="str">
        <f>"L"&amp;A23&amp;"+L"&amp;A24&amp;"+L"&amp;A25&amp;"+L"&amp;A26&amp;"+L"&amp;A27&amp;""</f>
        <v>L13+L14+L15+L15a+L16</v>
      </c>
      <c r="I30" s="91"/>
      <c r="J30" s="101"/>
    </row>
    <row r="31" spans="1:10" x14ac:dyDescent="0.2">
      <c r="A31" s="99"/>
      <c r="B31" s="111" t="s">
        <v>72</v>
      </c>
      <c r="D31" s="91"/>
      <c r="E31" s="91"/>
      <c r="F31" s="91"/>
      <c r="G31" s="91"/>
      <c r="H31" s="91"/>
      <c r="I31" s="91"/>
      <c r="J31" s="101"/>
    </row>
    <row r="32" spans="1:10" x14ac:dyDescent="0.2">
      <c r="A32" s="112" t="s">
        <v>42</v>
      </c>
      <c r="B32" s="91"/>
      <c r="C32" s="111"/>
      <c r="D32" s="91"/>
      <c r="E32" s="91"/>
      <c r="F32" s="91"/>
      <c r="G32" s="91"/>
      <c r="H32" s="91"/>
      <c r="I32" s="91"/>
      <c r="J32" s="101"/>
    </row>
    <row r="33" spans="1:10" x14ac:dyDescent="0.2">
      <c r="A33" s="99">
        <f>A29+1</f>
        <v>18</v>
      </c>
      <c r="B33" s="91"/>
      <c r="C33" s="91" t="s">
        <v>73</v>
      </c>
      <c r="D33" s="91"/>
      <c r="E33" s="91"/>
      <c r="F33" s="91"/>
      <c r="G33" s="102" t="s">
        <v>74</v>
      </c>
      <c r="H33" s="102" t="str">
        <f>"Instruction 1, Line "&amp;B98&amp;""</f>
        <v>Instruction 1, Line j</v>
      </c>
      <c r="I33" s="91"/>
      <c r="J33" s="113">
        <f>E98</f>
        <v>7.4545873534263826E-2</v>
      </c>
    </row>
    <row r="34" spans="1:10" x14ac:dyDescent="0.2">
      <c r="A34" s="94">
        <f>A33+1</f>
        <v>19</v>
      </c>
      <c r="C34" s="102" t="s">
        <v>75</v>
      </c>
      <c r="D34" s="102"/>
      <c r="E34" s="102"/>
      <c r="F34" s="102"/>
      <c r="G34" s="102"/>
      <c r="H34" t="str">
        <f>"Line "&amp;A29&amp;" * Line "&amp;A33&amp;""</f>
        <v>Line 17 * Line 18</v>
      </c>
      <c r="J34" s="116">
        <f>J29*J33</f>
        <v>332527508.52790344</v>
      </c>
    </row>
    <row r="35" spans="1:10" x14ac:dyDescent="0.2">
      <c r="A35" s="94"/>
      <c r="B35" s="96"/>
      <c r="J35" s="91"/>
    </row>
    <row r="36" spans="1:10" x14ac:dyDescent="0.2">
      <c r="A36" s="94"/>
      <c r="B36" s="90" t="s">
        <v>76</v>
      </c>
      <c r="J36" s="91"/>
    </row>
    <row r="37" spans="1:10" x14ac:dyDescent="0.2">
      <c r="A37" s="99"/>
      <c r="B37" s="105"/>
      <c r="C37" s="91"/>
      <c r="D37" s="91"/>
      <c r="E37" s="91">
        <v>16475769.585114043</v>
      </c>
      <c r="F37" s="91"/>
      <c r="G37" s="91"/>
      <c r="H37" s="91"/>
      <c r="I37" s="91"/>
      <c r="J37" s="91"/>
    </row>
    <row r="38" spans="1:10" x14ac:dyDescent="0.2">
      <c r="A38" s="99">
        <f>A34+1</f>
        <v>20</v>
      </c>
      <c r="B38" s="91"/>
      <c r="C38" s="102" t="s">
        <v>77</v>
      </c>
      <c r="D38" s="91"/>
      <c r="E38" s="91">
        <v>837749.97488595883</v>
      </c>
      <c r="F38" s="91"/>
      <c r="G38" s="91"/>
      <c r="H38" s="91"/>
      <c r="I38" s="91"/>
      <c r="J38" s="101">
        <f>(((J29*J42) + J45) *(J43/(1-J43)))+(J44/(1-J43))</f>
        <v>160823377.70013058</v>
      </c>
    </row>
    <row r="39" spans="1:10" x14ac:dyDescent="0.2">
      <c r="A39" s="99"/>
      <c r="B39" s="91"/>
      <c r="C39" s="91"/>
      <c r="D39" s="91"/>
      <c r="E39" s="91">
        <v>-6451726</v>
      </c>
      <c r="F39" s="91"/>
      <c r="G39" s="91"/>
      <c r="H39" s="91"/>
      <c r="I39" s="91"/>
      <c r="J39" s="102"/>
    </row>
    <row r="40" spans="1:10" x14ac:dyDescent="0.2">
      <c r="A40" s="99"/>
      <c r="B40" s="91"/>
      <c r="C40" s="91"/>
      <c r="D40" s="91" t="s">
        <v>78</v>
      </c>
      <c r="E40" s="91">
        <v>8601353.9800000023</v>
      </c>
      <c r="F40" s="91"/>
      <c r="G40" s="91"/>
      <c r="H40" s="91"/>
      <c r="I40" s="91"/>
      <c r="J40" s="91"/>
    </row>
    <row r="41" spans="1:10" x14ac:dyDescent="0.2">
      <c r="A41" s="99">
        <f>A38+1</f>
        <v>21</v>
      </c>
      <c r="B41" s="91"/>
      <c r="C41" s="91"/>
      <c r="D41" s="105" t="s">
        <v>79</v>
      </c>
      <c r="E41" s="91">
        <v>0</v>
      </c>
      <c r="F41" s="91"/>
      <c r="G41" s="91"/>
      <c r="H41" s="91" t="str">
        <f>"Line "&amp;A29&amp;""</f>
        <v>Line 17</v>
      </c>
      <c r="I41" s="91"/>
      <c r="J41" s="101">
        <f>J29</f>
        <v>4460709798.7129021</v>
      </c>
    </row>
    <row r="42" spans="1:10" x14ac:dyDescent="0.2">
      <c r="A42" s="99">
        <f>A41+1</f>
        <v>22</v>
      </c>
      <c r="B42" s="91"/>
      <c r="C42" s="91"/>
      <c r="D42" s="104" t="s">
        <v>80</v>
      </c>
      <c r="E42" s="91">
        <v>211377.76</v>
      </c>
      <c r="F42" s="91"/>
      <c r="G42" s="102" t="s">
        <v>81</v>
      </c>
      <c r="H42" s="102" t="str">
        <f>"Instruction 1, Line "&amp;B103&amp;""</f>
        <v>Instruction 1, Line k</v>
      </c>
      <c r="I42" s="91"/>
      <c r="J42" s="115">
        <f>E103</f>
        <v>5.1527802953550993E-2</v>
      </c>
    </row>
    <row r="43" spans="1:10" x14ac:dyDescent="0.2">
      <c r="A43" s="99">
        <f>A42+1</f>
        <v>23</v>
      </c>
      <c r="B43" s="91"/>
      <c r="C43" s="91"/>
      <c r="D43" s="105" t="s">
        <v>82</v>
      </c>
      <c r="E43" s="91">
        <v>35875127.374766812</v>
      </c>
      <c r="F43" s="91"/>
      <c r="G43" s="91"/>
      <c r="H43" s="91" t="s">
        <v>840</v>
      </c>
      <c r="I43" s="91"/>
      <c r="J43" s="115">
        <v>0.40439353647240123</v>
      </c>
    </row>
    <row r="44" spans="1:10" x14ac:dyDescent="0.2">
      <c r="A44" s="99">
        <f>A43+1</f>
        <v>24</v>
      </c>
      <c r="B44" s="91"/>
      <c r="C44" s="91"/>
      <c r="D44" s="105" t="s">
        <v>83</v>
      </c>
      <c r="E44" s="91" t="s">
        <v>126</v>
      </c>
      <c r="F44" s="91"/>
      <c r="G44" s="91"/>
      <c r="H44" s="91" t="s">
        <v>841</v>
      </c>
      <c r="I44" s="91"/>
      <c r="J44" s="101">
        <v>2086200</v>
      </c>
    </row>
    <row r="45" spans="1:10" x14ac:dyDescent="0.2">
      <c r="A45" s="99">
        <f>A44+1</f>
        <v>25</v>
      </c>
      <c r="B45" s="91"/>
      <c r="C45" s="91"/>
      <c r="D45" s="105" t="s">
        <v>84</v>
      </c>
      <c r="E45" s="91">
        <v>31135217.5</v>
      </c>
      <c r="F45" s="91"/>
      <c r="G45" s="91"/>
      <c r="H45" s="91" t="s">
        <v>842</v>
      </c>
      <c r="I45" s="91"/>
      <c r="J45" s="116">
        <v>1857488</v>
      </c>
    </row>
    <row r="46" spans="1:10" x14ac:dyDescent="0.2">
      <c r="A46" s="99"/>
      <c r="B46" s="105"/>
      <c r="C46" s="91"/>
      <c r="D46" s="91"/>
      <c r="E46" s="91">
        <v>0</v>
      </c>
      <c r="F46" s="91"/>
      <c r="G46" s="91"/>
      <c r="H46" s="91"/>
      <c r="I46" s="91"/>
      <c r="J46" s="91"/>
    </row>
    <row r="47" spans="1:10" x14ac:dyDescent="0.2">
      <c r="A47" s="99"/>
      <c r="B47" s="111" t="s">
        <v>85</v>
      </c>
      <c r="D47" s="91"/>
      <c r="E47" s="91">
        <v>223160.132088218</v>
      </c>
      <c r="F47" s="91"/>
      <c r="G47" s="91"/>
      <c r="H47" s="91"/>
      <c r="I47" s="91"/>
      <c r="J47" s="91"/>
    </row>
    <row r="48" spans="1:10" x14ac:dyDescent="0.2">
      <c r="A48" s="99">
        <f>A45+1</f>
        <v>26</v>
      </c>
      <c r="B48" s="105"/>
      <c r="C48" s="91" t="s">
        <v>86</v>
      </c>
      <c r="D48" s="91"/>
      <c r="E48" s="91">
        <v>19998510.350000001</v>
      </c>
      <c r="F48" s="91"/>
      <c r="G48" s="91"/>
      <c r="H48" s="91" t="s">
        <v>843</v>
      </c>
      <c r="I48" s="91"/>
      <c r="J48" s="101">
        <v>75425836.077882901</v>
      </c>
    </row>
    <row r="49" spans="1:10" x14ac:dyDescent="0.2">
      <c r="A49" s="99">
        <f t="shared" ref="A49:A60" si="0">A48+1</f>
        <v>27</v>
      </c>
      <c r="B49" s="105"/>
      <c r="C49" s="102" t="s">
        <v>87</v>
      </c>
      <c r="D49" s="91"/>
      <c r="E49" s="91">
        <v>78140.61</v>
      </c>
      <c r="F49" s="91"/>
      <c r="G49" s="91"/>
      <c r="H49" s="91" t="s">
        <v>844</v>
      </c>
      <c r="I49" s="91"/>
      <c r="J49" s="101">
        <v>38825771.786132552</v>
      </c>
    </row>
    <row r="50" spans="1:10" x14ac:dyDescent="0.2">
      <c r="A50" s="117" t="s">
        <v>159</v>
      </c>
      <c r="B50" s="118"/>
      <c r="C50" s="119" t="s">
        <v>160</v>
      </c>
      <c r="D50" s="120"/>
      <c r="E50" s="120">
        <v>1635670</v>
      </c>
      <c r="F50" s="120"/>
      <c r="G50" s="120"/>
      <c r="H50" s="120" t="s">
        <v>864</v>
      </c>
      <c r="I50" s="120"/>
      <c r="J50" s="121">
        <v>2544049.3873590329</v>
      </c>
    </row>
    <row r="51" spans="1:10" x14ac:dyDescent="0.2">
      <c r="A51" s="99">
        <f>A49+1</f>
        <v>28</v>
      </c>
      <c r="B51" s="105"/>
      <c r="C51" s="91" t="s">
        <v>88</v>
      </c>
      <c r="D51" s="91"/>
      <c r="E51" s="91"/>
      <c r="F51" s="91"/>
      <c r="G51" s="91"/>
      <c r="H51" s="91" t="s">
        <v>845</v>
      </c>
      <c r="I51" s="91"/>
      <c r="J51" s="101">
        <v>1897885</v>
      </c>
    </row>
    <row r="52" spans="1:10" x14ac:dyDescent="0.2">
      <c r="A52" s="99">
        <f t="shared" si="0"/>
        <v>29</v>
      </c>
      <c r="B52" s="105"/>
      <c r="C52" s="102" t="s">
        <v>89</v>
      </c>
      <c r="D52" s="91"/>
      <c r="E52" s="91"/>
      <c r="F52" s="91"/>
      <c r="G52" s="91"/>
      <c r="H52" s="91" t="s">
        <v>846</v>
      </c>
      <c r="I52" s="91"/>
      <c r="J52" s="101">
        <v>140391327.7527799</v>
      </c>
    </row>
    <row r="53" spans="1:10" x14ac:dyDescent="0.2">
      <c r="A53" s="99">
        <f t="shared" si="0"/>
        <v>30</v>
      </c>
      <c r="B53" s="105"/>
      <c r="C53" s="102" t="s">
        <v>90</v>
      </c>
      <c r="D53" s="91"/>
      <c r="E53" s="91"/>
      <c r="F53" s="91"/>
      <c r="G53" s="91"/>
      <c r="H53" s="91" t="s">
        <v>847</v>
      </c>
      <c r="I53" s="91"/>
      <c r="J53" s="101">
        <v>0</v>
      </c>
    </row>
    <row r="54" spans="1:10" x14ac:dyDescent="0.2">
      <c r="A54" s="99">
        <f t="shared" si="0"/>
        <v>31</v>
      </c>
      <c r="B54" s="105"/>
      <c r="C54" s="102" t="s">
        <v>91</v>
      </c>
      <c r="D54" s="91"/>
      <c r="E54" s="91"/>
      <c r="F54" s="91"/>
      <c r="G54" s="91"/>
      <c r="H54" s="91" t="s">
        <v>848</v>
      </c>
      <c r="I54" s="91"/>
      <c r="J54" s="101">
        <v>39818331.515215471</v>
      </c>
    </row>
    <row r="55" spans="1:10" x14ac:dyDescent="0.2">
      <c r="A55" s="99">
        <f t="shared" si="0"/>
        <v>32</v>
      </c>
      <c r="B55" s="105"/>
      <c r="C55" s="91" t="s">
        <v>92</v>
      </c>
      <c r="D55" s="91"/>
      <c r="E55" s="91"/>
      <c r="F55" s="91"/>
      <c r="G55" s="102"/>
      <c r="H55" s="91" t="s">
        <v>849</v>
      </c>
      <c r="I55" s="91"/>
      <c r="J55" s="107">
        <v>-46024247.133195028</v>
      </c>
    </row>
    <row r="56" spans="1:10" x14ac:dyDescent="0.2">
      <c r="A56" s="99">
        <f t="shared" si="0"/>
        <v>33</v>
      </c>
      <c r="B56" s="105"/>
      <c r="C56" s="91" t="s">
        <v>93</v>
      </c>
      <c r="D56" s="91"/>
      <c r="E56" s="91"/>
      <c r="F56" s="91"/>
      <c r="G56" s="91"/>
      <c r="H56" s="91" t="str">
        <f>"Line "&amp;A34&amp;""</f>
        <v>Line 19</v>
      </c>
      <c r="I56" s="91"/>
      <c r="J56" s="101">
        <f>J34</f>
        <v>332527508.52790344</v>
      </c>
    </row>
    <row r="57" spans="1:10" x14ac:dyDescent="0.2">
      <c r="A57" s="99">
        <f t="shared" si="0"/>
        <v>34</v>
      </c>
      <c r="B57" s="105"/>
      <c r="C57" s="91" t="s">
        <v>94</v>
      </c>
      <c r="D57" s="91"/>
      <c r="E57" s="91"/>
      <c r="F57" s="91"/>
      <c r="G57" s="91"/>
      <c r="H57" s="91" t="str">
        <f>"Line "&amp;A38&amp;""</f>
        <v>Line 20</v>
      </c>
      <c r="I57" s="91"/>
      <c r="J57" s="116">
        <f>J38</f>
        <v>160823377.70013058</v>
      </c>
    </row>
    <row r="58" spans="1:10" x14ac:dyDescent="0.2">
      <c r="A58" s="99">
        <f t="shared" si="0"/>
        <v>35</v>
      </c>
      <c r="B58" s="105"/>
      <c r="C58" s="102" t="s">
        <v>95</v>
      </c>
      <c r="D58" s="91"/>
      <c r="E58" s="91"/>
      <c r="F58" s="91"/>
      <c r="G58" s="91"/>
      <c r="H58" s="91" t="s">
        <v>850</v>
      </c>
      <c r="I58" s="91"/>
      <c r="J58" s="116">
        <v>0</v>
      </c>
    </row>
    <row r="59" spans="1:10" x14ac:dyDescent="0.2">
      <c r="A59" s="99">
        <f t="shared" si="0"/>
        <v>36</v>
      </c>
      <c r="B59" s="105"/>
      <c r="C59" s="48" t="s">
        <v>96</v>
      </c>
      <c r="D59" s="49"/>
      <c r="E59" s="91"/>
      <c r="F59" s="91"/>
      <c r="G59" s="91"/>
      <c r="H59" s="91" t="s">
        <v>851</v>
      </c>
      <c r="I59" s="91"/>
      <c r="J59" s="109">
        <v>0</v>
      </c>
    </row>
    <row r="60" spans="1:10" x14ac:dyDescent="0.2">
      <c r="A60" s="99">
        <f t="shared" si="0"/>
        <v>37</v>
      </c>
      <c r="B60" s="105"/>
      <c r="C60" s="102" t="s">
        <v>97</v>
      </c>
      <c r="D60" s="91"/>
      <c r="E60" s="91"/>
      <c r="F60" s="91"/>
      <c r="G60" s="91"/>
      <c r="H60" s="91" t="str">
        <f>"Sum Line "&amp;A48&amp;" to Line "&amp;A59&amp;""</f>
        <v>Sum Line 26 to Line 36</v>
      </c>
      <c r="I60" s="91"/>
      <c r="J60" s="122">
        <f>SUM(J48:J59)</f>
        <v>746229840.61420882</v>
      </c>
    </row>
    <row r="61" spans="1:10" x14ac:dyDescent="0.2">
      <c r="A61" s="99"/>
      <c r="B61" s="105"/>
      <c r="C61" s="91"/>
      <c r="D61" s="91"/>
      <c r="E61" s="91"/>
      <c r="F61" s="91"/>
      <c r="G61" s="91"/>
      <c r="H61" s="91"/>
      <c r="I61" s="91"/>
      <c r="J61" s="101"/>
    </row>
    <row r="62" spans="1:10" ht="12.75" customHeight="1" x14ac:dyDescent="0.2">
      <c r="A62" s="99">
        <f>A60+1</f>
        <v>38</v>
      </c>
      <c r="B62" s="105"/>
      <c r="C62" s="102" t="s">
        <v>98</v>
      </c>
      <c r="D62" s="91"/>
      <c r="E62" s="91"/>
      <c r="F62" s="91"/>
      <c r="G62" s="91"/>
      <c r="H62" s="91" t="s">
        <v>865</v>
      </c>
      <c r="I62" s="91"/>
      <c r="J62" s="101">
        <v>25794672.536224183</v>
      </c>
    </row>
    <row r="63" spans="1:10" x14ac:dyDescent="0.2">
      <c r="A63" s="99"/>
      <c r="B63" s="105"/>
      <c r="C63" s="102"/>
      <c r="D63" s="91"/>
      <c r="E63" s="91"/>
      <c r="F63" s="91"/>
      <c r="G63" s="91"/>
      <c r="H63" s="91"/>
      <c r="I63" s="91"/>
      <c r="J63" s="101"/>
    </row>
    <row r="64" spans="1:10" x14ac:dyDescent="0.2">
      <c r="A64" s="99">
        <f>A62+1</f>
        <v>39</v>
      </c>
      <c r="B64" s="105"/>
      <c r="C64" s="102" t="s">
        <v>99</v>
      </c>
      <c r="D64" s="91"/>
      <c r="E64" s="91"/>
      <c r="F64" s="91"/>
      <c r="G64" s="91"/>
      <c r="H64" s="91" t="str">
        <f>"Line "&amp;A60&amp;" + Line "&amp;A62&amp;""</f>
        <v>Line 37 + Line 38</v>
      </c>
      <c r="I64" s="91"/>
      <c r="J64" s="107">
        <f>J60+J62</f>
        <v>772024513.15043294</v>
      </c>
    </row>
    <row r="65" spans="1:15" x14ac:dyDescent="0.2">
      <c r="A65" s="99"/>
      <c r="B65" s="105"/>
      <c r="C65" s="102"/>
      <c r="D65" s="91"/>
      <c r="E65" s="91"/>
      <c r="F65" s="91"/>
      <c r="G65" s="91"/>
      <c r="H65" s="91"/>
      <c r="I65" s="91"/>
      <c r="J65" s="101"/>
    </row>
    <row r="66" spans="1:15" x14ac:dyDescent="0.2">
      <c r="A66" s="99"/>
      <c r="B66" s="123" t="s">
        <v>100</v>
      </c>
      <c r="C66" s="102"/>
      <c r="D66" s="91"/>
      <c r="E66" s="91"/>
      <c r="F66" s="91"/>
      <c r="G66" s="91"/>
      <c r="H66" s="91"/>
      <c r="I66" s="91"/>
      <c r="J66" s="101"/>
    </row>
    <row r="67" spans="1:15" ht="13.5" thickBot="1" x14ac:dyDescent="0.25">
      <c r="A67" s="95" t="s">
        <v>42</v>
      </c>
      <c r="B67" s="124"/>
      <c r="G67" s="97" t="s">
        <v>101</v>
      </c>
    </row>
    <row r="68" spans="1:15" x14ac:dyDescent="0.2">
      <c r="A68" s="99">
        <f>A64+1</f>
        <v>40</v>
      </c>
      <c r="B68" s="110"/>
      <c r="C68" s="91"/>
      <c r="D68" s="125" t="s">
        <v>102</v>
      </c>
      <c r="E68" s="107">
        <f>J64</f>
        <v>772024513.15043294</v>
      </c>
      <c r="F68" s="91"/>
      <c r="G68" s="91" t="str">
        <f>"Line "&amp;A64&amp;""</f>
        <v>Line 39</v>
      </c>
      <c r="H68" s="91"/>
      <c r="I68" s="91"/>
      <c r="J68" s="126" t="s">
        <v>103</v>
      </c>
      <c r="L68" s="65"/>
    </row>
    <row r="69" spans="1:15" x14ac:dyDescent="0.2">
      <c r="A69" s="99">
        <f>A68+1</f>
        <v>41</v>
      </c>
      <c r="B69" s="110"/>
      <c r="C69" s="91"/>
      <c r="D69" s="125" t="s">
        <v>104</v>
      </c>
      <c r="E69" s="127">
        <v>9.1427999999999995E-3</v>
      </c>
      <c r="F69" s="91"/>
      <c r="G69" s="91" t="s">
        <v>866</v>
      </c>
      <c r="H69" s="91"/>
      <c r="I69" s="91"/>
      <c r="J69" s="128" t="s">
        <v>161</v>
      </c>
      <c r="L69" s="129"/>
    </row>
    <row r="70" spans="1:15" x14ac:dyDescent="0.2">
      <c r="A70" s="99">
        <f>A69+1</f>
        <v>42</v>
      </c>
      <c r="B70" s="110"/>
      <c r="C70" s="91"/>
      <c r="D70" s="130" t="s">
        <v>105</v>
      </c>
      <c r="E70" s="107">
        <v>7058465.7188317776</v>
      </c>
      <c r="F70" s="91"/>
      <c r="G70" s="91" t="str">
        <f>"Line "&amp;A68&amp;" * Line "&amp;A69&amp;""</f>
        <v>Line 40 * Line 41</v>
      </c>
      <c r="H70" s="91"/>
      <c r="I70" s="91"/>
      <c r="J70" s="131">
        <f>E73</f>
        <v>780668871.62417829</v>
      </c>
      <c r="L70" s="347"/>
      <c r="M70" s="296"/>
      <c r="N70" s="164"/>
      <c r="O70" s="164"/>
    </row>
    <row r="71" spans="1:15" x14ac:dyDescent="0.2">
      <c r="A71" s="99">
        <f>A70+1</f>
        <v>43</v>
      </c>
      <c r="B71" s="110"/>
      <c r="C71" s="91"/>
      <c r="D71" s="125" t="s">
        <v>106</v>
      </c>
      <c r="E71" s="127">
        <v>2.0541999999999999E-3</v>
      </c>
      <c r="F71" s="91"/>
      <c r="G71" s="91" t="s">
        <v>866</v>
      </c>
      <c r="H71" s="91"/>
      <c r="I71" s="91"/>
      <c r="J71" s="132">
        <v>780869270.63552642</v>
      </c>
      <c r="L71" s="347"/>
      <c r="M71" s="296"/>
      <c r="N71" s="164"/>
      <c r="O71" s="164"/>
    </row>
    <row r="72" spans="1:15" ht="13.5" thickBot="1" x14ac:dyDescent="0.25">
      <c r="A72" s="99">
        <f>A71+1</f>
        <v>44</v>
      </c>
      <c r="B72" s="110"/>
      <c r="C72" s="91"/>
      <c r="D72" s="125" t="s">
        <v>107</v>
      </c>
      <c r="E72" s="107">
        <v>1585892.7549136193</v>
      </c>
      <c r="F72" s="91"/>
      <c r="G72" s="91" t="str">
        <f>"Line "&amp;A70&amp;" * Line "&amp;A71&amp;""</f>
        <v>Line 42 * Line 43</v>
      </c>
      <c r="H72" s="91"/>
      <c r="I72" s="91"/>
      <c r="J72" s="133">
        <f>J70-J71</f>
        <v>-200399.01134812832</v>
      </c>
      <c r="L72" s="347"/>
      <c r="M72" s="296"/>
      <c r="N72" s="164"/>
      <c r="O72" s="164"/>
    </row>
    <row r="73" spans="1:15" x14ac:dyDescent="0.2">
      <c r="A73" s="99">
        <f>A72+1</f>
        <v>45</v>
      </c>
      <c r="B73" s="110"/>
      <c r="C73" s="91"/>
      <c r="D73" s="125" t="s">
        <v>108</v>
      </c>
      <c r="E73" s="107">
        <f>E68+E70+E72</f>
        <v>780668871.62417829</v>
      </c>
      <c r="F73" s="91"/>
      <c r="G73" s="91" t="str">
        <f>"L "&amp;A68&amp;" + L "&amp;A70&amp;" + L "&amp;A72&amp;""</f>
        <v>L 40 + L 42 + L 44</v>
      </c>
      <c r="H73" s="91"/>
      <c r="I73" s="91"/>
      <c r="J73" s="91"/>
    </row>
    <row r="74" spans="1:15" x14ac:dyDescent="0.2">
      <c r="A74" s="91"/>
      <c r="B74" s="134" t="s">
        <v>109</v>
      </c>
      <c r="C74" s="91"/>
      <c r="D74" s="130"/>
      <c r="E74" s="101"/>
      <c r="F74" s="91"/>
      <c r="G74" s="91"/>
      <c r="H74" s="50"/>
      <c r="I74" s="91"/>
      <c r="J74" s="91"/>
    </row>
    <row r="75" spans="1:15" x14ac:dyDescent="0.2">
      <c r="A75" s="99"/>
      <c r="B75" s="102" t="s">
        <v>110</v>
      </c>
      <c r="C75" s="123"/>
      <c r="D75" s="130"/>
      <c r="E75" s="101"/>
      <c r="F75" s="91"/>
      <c r="G75" s="91"/>
      <c r="H75" s="91"/>
      <c r="I75" s="91"/>
      <c r="J75" s="91"/>
    </row>
    <row r="76" spans="1:15" x14ac:dyDescent="0.2">
      <c r="A76" s="99"/>
      <c r="B76" s="102" t="s">
        <v>111</v>
      </c>
      <c r="C76" s="123"/>
      <c r="D76" s="130"/>
      <c r="E76" s="101"/>
      <c r="F76" s="91"/>
      <c r="G76" s="91"/>
      <c r="H76" s="91"/>
      <c r="I76" s="91"/>
      <c r="J76" s="91"/>
    </row>
    <row r="77" spans="1:15" x14ac:dyDescent="0.2">
      <c r="A77" s="99"/>
      <c r="B77" s="100" t="s">
        <v>112</v>
      </c>
      <c r="C77" s="102"/>
      <c r="D77" s="130"/>
      <c r="E77" s="101"/>
      <c r="F77" s="91"/>
      <c r="G77" s="91"/>
      <c r="H77" s="91"/>
      <c r="I77" s="91"/>
      <c r="J77" s="91"/>
    </row>
    <row r="78" spans="1:15" x14ac:dyDescent="0.2">
      <c r="A78" s="99"/>
      <c r="B78" s="100" t="s">
        <v>113</v>
      </c>
      <c r="C78" s="91"/>
      <c r="D78" s="130"/>
      <c r="E78" s="101"/>
      <c r="F78" s="91"/>
      <c r="G78" s="91"/>
      <c r="H78" s="91"/>
      <c r="I78" s="91"/>
      <c r="J78" s="91"/>
    </row>
    <row r="79" spans="1:15" x14ac:dyDescent="0.2">
      <c r="A79" s="99"/>
      <c r="B79" s="91"/>
      <c r="C79" s="91"/>
      <c r="D79" s="91"/>
      <c r="E79" s="91"/>
      <c r="F79" s="91"/>
      <c r="G79" s="91"/>
      <c r="H79" s="91"/>
      <c r="I79" s="91"/>
      <c r="J79" s="91"/>
    </row>
    <row r="80" spans="1:15" x14ac:dyDescent="0.2">
      <c r="A80" s="99"/>
      <c r="B80" s="102" t="s">
        <v>114</v>
      </c>
      <c r="C80" s="91"/>
      <c r="D80" s="91"/>
      <c r="E80" s="91"/>
      <c r="F80" s="91"/>
      <c r="G80" s="91"/>
      <c r="H80" s="91"/>
      <c r="I80" s="91"/>
      <c r="J80" s="91"/>
    </row>
    <row r="81" spans="1:12" x14ac:dyDescent="0.2">
      <c r="A81" s="99"/>
      <c r="B81" s="102"/>
      <c r="C81" s="102" t="s">
        <v>115</v>
      </c>
      <c r="D81" s="91"/>
      <c r="E81" s="91"/>
      <c r="F81" s="91"/>
      <c r="G81" s="91"/>
      <c r="H81" s="91"/>
      <c r="I81" s="91"/>
      <c r="J81" s="91"/>
    </row>
    <row r="82" spans="1:12" x14ac:dyDescent="0.2">
      <c r="A82" s="99"/>
      <c r="B82" s="102"/>
      <c r="C82" s="91"/>
      <c r="D82" s="91"/>
      <c r="E82" s="91"/>
      <c r="F82" s="91"/>
      <c r="G82" s="91"/>
      <c r="H82" s="91"/>
      <c r="I82" s="91"/>
      <c r="J82" s="99" t="s">
        <v>116</v>
      </c>
    </row>
    <row r="83" spans="1:12" x14ac:dyDescent="0.2">
      <c r="A83" s="99"/>
      <c r="B83" s="91"/>
      <c r="C83" s="91"/>
      <c r="D83" s="91"/>
      <c r="E83" s="135" t="s">
        <v>117</v>
      </c>
      <c r="F83" s="136" t="s">
        <v>101</v>
      </c>
      <c r="G83" s="135" t="s">
        <v>118</v>
      </c>
      <c r="H83" s="135" t="s">
        <v>119</v>
      </c>
      <c r="I83" s="91"/>
      <c r="J83" s="135" t="s">
        <v>120</v>
      </c>
    </row>
    <row r="84" spans="1:12" x14ac:dyDescent="0.2">
      <c r="B84" s="137" t="s">
        <v>121</v>
      </c>
      <c r="C84" s="102" t="s">
        <v>122</v>
      </c>
      <c r="D84" s="91"/>
      <c r="E84" s="138">
        <v>9.8000000000000004E-2</v>
      </c>
      <c r="F84" s="91" t="s">
        <v>852</v>
      </c>
      <c r="G84" s="139" t="s">
        <v>162</v>
      </c>
      <c r="H84" s="140" t="s">
        <v>163</v>
      </c>
      <c r="I84" s="102"/>
      <c r="J84" s="141">
        <v>365</v>
      </c>
      <c r="K84" s="102"/>
      <c r="L84" s="102"/>
    </row>
    <row r="85" spans="1:12" x14ac:dyDescent="0.2">
      <c r="B85" s="137" t="s">
        <v>123</v>
      </c>
      <c r="C85" s="102" t="s">
        <v>124</v>
      </c>
      <c r="D85" s="91"/>
      <c r="E85" s="142">
        <v>9.8000000000000004E-2</v>
      </c>
      <c r="F85" s="143" t="s">
        <v>125</v>
      </c>
      <c r="G85" s="139" t="s">
        <v>126</v>
      </c>
      <c r="H85" s="140" t="s">
        <v>126</v>
      </c>
      <c r="I85" s="102"/>
      <c r="J85" s="141">
        <v>0</v>
      </c>
      <c r="K85" s="102"/>
      <c r="L85" s="102"/>
    </row>
    <row r="86" spans="1:12" x14ac:dyDescent="0.2">
      <c r="B86" s="137" t="s">
        <v>127</v>
      </c>
      <c r="C86" s="102"/>
      <c r="D86" s="91"/>
      <c r="E86" s="144"/>
      <c r="F86" s="143"/>
      <c r="G86" s="145"/>
      <c r="H86" s="145"/>
      <c r="I86" s="125" t="s">
        <v>128</v>
      </c>
      <c r="J86" s="102">
        <f>SUM(J84:J85)</f>
        <v>365</v>
      </c>
      <c r="K86" s="102"/>
      <c r="L86" s="102"/>
    </row>
    <row r="87" spans="1:12" x14ac:dyDescent="0.2">
      <c r="A87" s="91"/>
      <c r="B87" s="137" t="s">
        <v>129</v>
      </c>
      <c r="C87" s="102" t="s">
        <v>130</v>
      </c>
      <c r="D87" s="91"/>
      <c r="E87" s="138">
        <f>((E84*J84) + (E85* J85)) / J86</f>
        <v>9.8000000000000004E-2</v>
      </c>
      <c r="F87" s="102" t="s">
        <v>131</v>
      </c>
      <c r="G87" s="91"/>
      <c r="H87" s="102"/>
      <c r="I87" s="102"/>
      <c r="J87" s="102"/>
      <c r="K87" s="102"/>
      <c r="L87" s="102"/>
    </row>
    <row r="88" spans="1:12" x14ac:dyDescent="0.2">
      <c r="A88" s="99"/>
      <c r="B88" s="102"/>
      <c r="C88" s="91"/>
      <c r="D88" s="91"/>
      <c r="E88" s="91"/>
      <c r="F88" s="91"/>
      <c r="G88" s="91"/>
      <c r="H88" s="102"/>
      <c r="I88" s="102"/>
      <c r="J88" s="102"/>
      <c r="K88" s="102"/>
      <c r="L88" s="102"/>
    </row>
    <row r="89" spans="1:12" x14ac:dyDescent="0.2">
      <c r="A89" s="99"/>
      <c r="B89" s="102" t="s">
        <v>132</v>
      </c>
      <c r="C89" s="91"/>
      <c r="D89" s="91"/>
      <c r="E89" s="91"/>
      <c r="F89" s="91"/>
      <c r="G89" s="91"/>
      <c r="H89" s="102"/>
      <c r="I89" s="102"/>
      <c r="J89" s="102"/>
      <c r="K89" s="102"/>
      <c r="L89" s="102"/>
    </row>
    <row r="90" spans="1:12" x14ac:dyDescent="0.2">
      <c r="A90" s="99"/>
      <c r="B90" s="102"/>
      <c r="C90" s="91"/>
      <c r="D90" s="91"/>
      <c r="E90" s="136" t="s">
        <v>101</v>
      </c>
      <c r="F90" s="91"/>
      <c r="G90" s="91"/>
      <c r="H90" s="102"/>
      <c r="I90" s="102"/>
      <c r="J90" s="102"/>
      <c r="K90" s="102"/>
      <c r="L90" s="102"/>
    </row>
    <row r="91" spans="1:12" x14ac:dyDescent="0.2">
      <c r="A91" s="91"/>
      <c r="B91" s="137" t="s">
        <v>133</v>
      </c>
      <c r="C91" s="102" t="s">
        <v>134</v>
      </c>
      <c r="D91" s="91"/>
      <c r="E91" s="146" t="s">
        <v>135</v>
      </c>
      <c r="F91" s="146"/>
      <c r="G91" s="146"/>
      <c r="H91" s="141"/>
      <c r="I91" s="141"/>
      <c r="J91" s="141"/>
      <c r="K91" s="102"/>
      <c r="L91" s="102"/>
    </row>
    <row r="92" spans="1:12" x14ac:dyDescent="0.2">
      <c r="B92" s="137" t="s">
        <v>136</v>
      </c>
      <c r="C92" s="102" t="s">
        <v>137</v>
      </c>
      <c r="D92" s="91"/>
      <c r="E92" s="146" t="s">
        <v>135</v>
      </c>
      <c r="F92" s="146"/>
      <c r="G92" s="146"/>
      <c r="H92" s="141"/>
      <c r="I92" s="141"/>
      <c r="J92" s="141"/>
      <c r="K92" s="102"/>
      <c r="L92" s="102"/>
    </row>
    <row r="93" spans="1:12" x14ac:dyDescent="0.2">
      <c r="B93" s="91"/>
      <c r="C93" s="102"/>
      <c r="D93" s="91"/>
      <c r="E93" s="145"/>
      <c r="F93" s="91"/>
      <c r="G93" s="91"/>
      <c r="H93" s="91"/>
      <c r="I93" s="102"/>
      <c r="J93" s="102"/>
      <c r="K93" s="102"/>
      <c r="L93" s="102"/>
    </row>
    <row r="94" spans="1:12" x14ac:dyDescent="0.2">
      <c r="B94" s="91"/>
      <c r="C94" s="91"/>
      <c r="D94" s="91"/>
      <c r="E94" s="135" t="s">
        <v>117</v>
      </c>
      <c r="F94" s="136" t="s">
        <v>101</v>
      </c>
      <c r="G94" s="91"/>
      <c r="H94" s="102"/>
      <c r="I94" s="102"/>
      <c r="J94" s="91"/>
    </row>
    <row r="95" spans="1:12" x14ac:dyDescent="0.2">
      <c r="B95" s="137" t="s">
        <v>138</v>
      </c>
      <c r="C95" s="102" t="s">
        <v>139</v>
      </c>
      <c r="D95" s="102"/>
      <c r="E95" s="115">
        <v>2.3018070580712837E-2</v>
      </c>
      <c r="F95" s="91" t="s">
        <v>853</v>
      </c>
      <c r="G95" s="91"/>
      <c r="H95" s="102"/>
      <c r="I95" s="102"/>
      <c r="J95" s="91"/>
    </row>
    <row r="96" spans="1:12" x14ac:dyDescent="0.2">
      <c r="B96" s="137" t="s">
        <v>140</v>
      </c>
      <c r="C96" s="102" t="s">
        <v>141</v>
      </c>
      <c r="D96" s="91"/>
      <c r="E96" s="115">
        <v>4.7957322732440416E-3</v>
      </c>
      <c r="F96" s="91" t="s">
        <v>854</v>
      </c>
      <c r="G96" s="91"/>
      <c r="H96" s="102"/>
      <c r="I96" s="102"/>
      <c r="J96" s="91"/>
    </row>
    <row r="97" spans="1:10" x14ac:dyDescent="0.2">
      <c r="B97" s="137" t="s">
        <v>142</v>
      </c>
      <c r="C97" s="102" t="s">
        <v>143</v>
      </c>
      <c r="D97" s="91"/>
      <c r="E97" s="207">
        <v>4.673207068030695E-2</v>
      </c>
      <c r="F97" s="91" t="s">
        <v>855</v>
      </c>
      <c r="G97" s="102"/>
      <c r="H97" s="102"/>
      <c r="I97" s="91"/>
      <c r="J97" s="91"/>
    </row>
    <row r="98" spans="1:10" x14ac:dyDescent="0.2">
      <c r="A98" s="91"/>
      <c r="B98" s="99" t="s">
        <v>144</v>
      </c>
      <c r="C98" s="104" t="s">
        <v>73</v>
      </c>
      <c r="D98" s="91"/>
      <c r="E98" s="113">
        <f>SUM(E95:E97)</f>
        <v>7.4545873534263826E-2</v>
      </c>
      <c r="F98" s="101" t="str">
        <f>"Sum of Lines "&amp;B92&amp;" to "&amp;B96&amp;""</f>
        <v>Sum of Lines f to h</v>
      </c>
      <c r="G98" s="147"/>
      <c r="H98" s="91"/>
      <c r="I98" s="91"/>
      <c r="J98" s="148"/>
    </row>
    <row r="99" spans="1:10" x14ac:dyDescent="0.2">
      <c r="A99" s="99"/>
      <c r="B99" s="91"/>
      <c r="C99" s="51"/>
      <c r="D99" s="52"/>
      <c r="E99" s="101"/>
      <c r="F99" s="101"/>
      <c r="G99" s="147"/>
      <c r="H99" s="101"/>
      <c r="I99" s="91"/>
      <c r="J99" s="148"/>
    </row>
    <row r="100" spans="1:10" x14ac:dyDescent="0.2">
      <c r="A100" s="99"/>
      <c r="B100" s="102" t="s">
        <v>145</v>
      </c>
      <c r="C100" s="91"/>
      <c r="D100" s="91"/>
      <c r="E100" s="91"/>
      <c r="F100" s="91"/>
      <c r="G100" s="91"/>
      <c r="H100" s="91"/>
      <c r="I100" s="91"/>
      <c r="J100" s="91"/>
    </row>
    <row r="101" spans="1:10" x14ac:dyDescent="0.2">
      <c r="A101" s="99"/>
      <c r="B101" s="91"/>
      <c r="C101" s="91"/>
      <c r="D101" s="91"/>
      <c r="E101" s="91"/>
      <c r="F101" s="91"/>
      <c r="G101" s="91"/>
      <c r="H101" s="91"/>
      <c r="I101" s="91"/>
      <c r="J101" s="91"/>
    </row>
    <row r="102" spans="1:10" x14ac:dyDescent="0.2">
      <c r="A102" s="99"/>
      <c r="B102" s="91"/>
      <c r="C102" s="91"/>
      <c r="D102" s="91"/>
      <c r="E102" s="135" t="s">
        <v>117</v>
      </c>
      <c r="F102" s="136" t="s">
        <v>101</v>
      </c>
      <c r="G102" s="91"/>
      <c r="H102" s="91"/>
      <c r="I102" s="91"/>
      <c r="J102" s="91"/>
    </row>
    <row r="103" spans="1:10" x14ac:dyDescent="0.2">
      <c r="A103" s="91"/>
      <c r="B103" s="137" t="s">
        <v>146</v>
      </c>
      <c r="C103" s="91"/>
      <c r="D103" s="91"/>
      <c r="E103" s="115">
        <f>E96+E97</f>
        <v>5.1527802953550993E-2</v>
      </c>
      <c r="F103" s="101" t="str">
        <f>"Sum of Lines "&amp;B95&amp;" to "&amp;B96&amp;""</f>
        <v>Sum of Lines g to h</v>
      </c>
      <c r="G103" s="91"/>
      <c r="H103" s="91"/>
      <c r="I103" s="91"/>
      <c r="J103" s="91"/>
    </row>
    <row r="104" spans="1:10" x14ac:dyDescent="0.2">
      <c r="A104" s="99"/>
      <c r="B104" s="91"/>
      <c r="C104" s="91"/>
      <c r="D104" s="91"/>
      <c r="E104" s="115"/>
      <c r="F104" s="101"/>
      <c r="G104" s="91"/>
      <c r="H104" s="91"/>
      <c r="I104" s="91"/>
      <c r="J104" s="91"/>
    </row>
    <row r="105" spans="1:10" x14ac:dyDescent="0.2">
      <c r="A105" s="99"/>
      <c r="B105" s="100" t="s">
        <v>147</v>
      </c>
      <c r="C105" s="91"/>
      <c r="D105" s="91"/>
      <c r="E105" s="147"/>
      <c r="F105" s="147"/>
      <c r="G105" s="147"/>
      <c r="H105" s="101"/>
      <c r="I105" s="91"/>
      <c r="J105" s="91"/>
    </row>
    <row r="106" spans="1:10" x14ac:dyDescent="0.2">
      <c r="A106" s="99"/>
      <c r="B106" s="143" t="s">
        <v>148</v>
      </c>
      <c r="C106" s="91"/>
      <c r="D106" s="91"/>
      <c r="E106" s="91"/>
      <c r="F106" s="91"/>
      <c r="G106" s="91"/>
      <c r="H106" s="91"/>
      <c r="I106" s="91"/>
      <c r="J106" s="91"/>
    </row>
    <row r="107" spans="1:10" x14ac:dyDescent="0.2">
      <c r="A107" s="94"/>
      <c r="B107" s="143" t="s">
        <v>149</v>
      </c>
      <c r="C107" s="91"/>
      <c r="D107" s="99"/>
      <c r="E107" s="99"/>
      <c r="F107" s="99"/>
      <c r="G107" s="99"/>
      <c r="H107" s="99"/>
      <c r="I107" s="91"/>
      <c r="J107" s="91"/>
    </row>
    <row r="108" spans="1:10" x14ac:dyDescent="0.2">
      <c r="A108" s="94"/>
      <c r="B108" s="100" t="s">
        <v>150</v>
      </c>
      <c r="C108" s="91"/>
      <c r="D108" s="99"/>
      <c r="E108" s="99"/>
      <c r="F108" s="99"/>
      <c r="G108" s="99"/>
      <c r="H108" s="99"/>
      <c r="I108" s="91"/>
      <c r="J108" s="91"/>
    </row>
    <row r="109" spans="1:10" x14ac:dyDescent="0.2">
      <c r="A109" s="94"/>
      <c r="B109" s="91" t="s">
        <v>151</v>
      </c>
      <c r="C109" s="53"/>
      <c r="D109" s="53"/>
      <c r="E109" s="135"/>
      <c r="F109" s="135"/>
      <c r="G109" s="135"/>
      <c r="H109" s="135"/>
      <c r="I109" s="91"/>
      <c r="J109" s="91"/>
    </row>
    <row r="110" spans="1:10" x14ac:dyDescent="0.2">
      <c r="A110" s="94"/>
    </row>
    <row r="111" spans="1:10" x14ac:dyDescent="0.2">
      <c r="A111" s="94"/>
    </row>
    <row r="112" spans="1:10" x14ac:dyDescent="0.2">
      <c r="A112" s="94"/>
    </row>
    <row r="113" spans="1:10" x14ac:dyDescent="0.2">
      <c r="A113" s="94"/>
      <c r="C113" s="51"/>
      <c r="E113" s="101"/>
      <c r="F113" s="101"/>
      <c r="H113" s="149"/>
      <c r="J113" s="150"/>
    </row>
    <row r="114" spans="1:10" x14ac:dyDescent="0.2">
      <c r="A114" s="94"/>
      <c r="C114" s="51"/>
      <c r="E114" s="101"/>
      <c r="F114" s="101"/>
      <c r="H114" s="149"/>
      <c r="J114" s="150"/>
    </row>
    <row r="115" spans="1:10" x14ac:dyDescent="0.2">
      <c r="A115" s="95"/>
      <c r="C115" s="51"/>
      <c r="E115" s="101"/>
      <c r="F115" s="101"/>
      <c r="H115" s="149"/>
      <c r="J115" s="150"/>
    </row>
    <row r="116" spans="1:10" x14ac:dyDescent="0.2">
      <c r="A116" s="94"/>
      <c r="D116" s="54"/>
      <c r="E116" s="101"/>
      <c r="F116" s="101"/>
      <c r="G116" s="151"/>
      <c r="H116" s="149"/>
      <c r="J116" s="150"/>
    </row>
    <row r="117" spans="1:10" x14ac:dyDescent="0.2">
      <c r="A117" s="94"/>
      <c r="C117" s="51"/>
      <c r="D117" s="152"/>
      <c r="E117" s="153"/>
      <c r="F117" s="149"/>
      <c r="G117" s="151"/>
      <c r="H117" s="149"/>
      <c r="J117" s="150"/>
    </row>
    <row r="118" spans="1:10" x14ac:dyDescent="0.2">
      <c r="A118" s="94"/>
      <c r="C118" s="51"/>
      <c r="D118" s="152"/>
      <c r="E118" s="149"/>
      <c r="F118" s="149"/>
      <c r="G118" s="151"/>
      <c r="H118" s="149"/>
      <c r="J118" s="150"/>
    </row>
    <row r="119" spans="1:10" x14ac:dyDescent="0.2">
      <c r="A119" s="94"/>
    </row>
    <row r="120" spans="1:10" x14ac:dyDescent="0.2">
      <c r="A120" s="94"/>
      <c r="B120" s="90"/>
    </row>
    <row r="121" spans="1:10" x14ac:dyDescent="0.2">
      <c r="A121" s="94"/>
    </row>
    <row r="122" spans="1:10" x14ac:dyDescent="0.2">
      <c r="A122" s="94"/>
    </row>
    <row r="123" spans="1:10" x14ac:dyDescent="0.2">
      <c r="A123" s="94"/>
      <c r="F123" s="94"/>
    </row>
    <row r="124" spans="1:10" x14ac:dyDescent="0.2">
      <c r="A124" s="94"/>
      <c r="F124" s="94"/>
    </row>
    <row r="125" spans="1:10" x14ac:dyDescent="0.2">
      <c r="A125" s="94"/>
      <c r="D125" s="94"/>
      <c r="E125" s="94"/>
      <c r="F125" s="94"/>
      <c r="H125" s="94"/>
    </row>
    <row r="126" spans="1:10" x14ac:dyDescent="0.2">
      <c r="A126" s="94"/>
      <c r="D126" s="94"/>
      <c r="E126" s="94"/>
      <c r="F126" s="94"/>
      <c r="G126" s="94"/>
      <c r="H126" s="154"/>
    </row>
    <row r="127" spans="1:10" x14ac:dyDescent="0.2">
      <c r="A127" s="95"/>
      <c r="C127" s="55"/>
      <c r="D127" s="55"/>
      <c r="E127" s="98"/>
      <c r="F127" s="155"/>
      <c r="G127" s="98"/>
      <c r="H127" s="154"/>
    </row>
    <row r="128" spans="1:10" x14ac:dyDescent="0.2">
      <c r="A128" s="94"/>
      <c r="C128" s="56"/>
      <c r="D128" s="52"/>
      <c r="E128" s="101"/>
      <c r="F128" s="101"/>
      <c r="G128" s="138"/>
      <c r="H128" s="149"/>
    </row>
    <row r="129" spans="1:8" x14ac:dyDescent="0.2">
      <c r="A129" s="94"/>
      <c r="C129" s="51"/>
      <c r="D129" s="52"/>
      <c r="E129" s="101"/>
      <c r="F129" s="101"/>
      <c r="G129" s="138"/>
      <c r="H129" s="149"/>
    </row>
    <row r="130" spans="1:8" x14ac:dyDescent="0.2">
      <c r="A130" s="94"/>
      <c r="C130" s="51"/>
      <c r="D130" s="52"/>
      <c r="E130" s="101"/>
      <c r="F130" s="101"/>
      <c r="G130" s="138"/>
      <c r="H130" s="149"/>
    </row>
    <row r="131" spans="1:8" x14ac:dyDescent="0.2">
      <c r="A131" s="94"/>
      <c r="C131" s="56"/>
      <c r="D131" s="52"/>
      <c r="E131" s="101"/>
      <c r="F131" s="101"/>
      <c r="G131" s="138"/>
      <c r="H131" s="149"/>
    </row>
    <row r="132" spans="1:8" x14ac:dyDescent="0.2">
      <c r="A132" s="94"/>
      <c r="C132" s="51"/>
      <c r="D132" s="52"/>
      <c r="E132" s="101"/>
      <c r="F132" s="101"/>
      <c r="G132" s="138"/>
      <c r="H132" s="149"/>
    </row>
    <row r="133" spans="1:8" x14ac:dyDescent="0.2">
      <c r="A133" s="94"/>
      <c r="C133" s="51"/>
      <c r="D133" s="52"/>
      <c r="E133" s="101"/>
      <c r="F133" s="101"/>
      <c r="G133" s="138"/>
      <c r="H133" s="149"/>
    </row>
    <row r="134" spans="1:8" x14ac:dyDescent="0.2">
      <c r="A134" s="94"/>
      <c r="C134" s="56"/>
      <c r="D134" s="52"/>
      <c r="E134" s="101"/>
      <c r="F134" s="101"/>
      <c r="G134" s="138"/>
      <c r="H134" s="149"/>
    </row>
    <row r="135" spans="1:8" x14ac:dyDescent="0.2">
      <c r="A135" s="94"/>
      <c r="C135" s="51"/>
      <c r="D135" s="52"/>
      <c r="E135" s="101"/>
      <c r="F135" s="101"/>
      <c r="G135" s="138"/>
      <c r="H135" s="149"/>
    </row>
    <row r="136" spans="1:8" x14ac:dyDescent="0.2">
      <c r="A136" s="94"/>
      <c r="C136" s="51"/>
      <c r="D136" s="52"/>
      <c r="E136" s="101"/>
      <c r="F136" s="101"/>
      <c r="G136" s="138"/>
      <c r="H136" s="149"/>
    </row>
    <row r="137" spans="1:8" x14ac:dyDescent="0.2">
      <c r="A137" s="94"/>
      <c r="C137" s="56"/>
      <c r="D137" s="52"/>
      <c r="E137" s="101"/>
      <c r="F137" s="101"/>
      <c r="G137" s="138"/>
      <c r="H137" s="149"/>
    </row>
    <row r="138" spans="1:8" x14ac:dyDescent="0.2">
      <c r="A138" s="94"/>
      <c r="C138" s="56"/>
      <c r="D138" s="52"/>
      <c r="E138" s="101"/>
      <c r="F138" s="101"/>
      <c r="G138" s="138"/>
      <c r="H138" s="149"/>
    </row>
    <row r="139" spans="1:8" x14ac:dyDescent="0.2">
      <c r="A139" s="94"/>
      <c r="C139" s="51"/>
      <c r="D139" s="52"/>
      <c r="E139" s="101"/>
      <c r="F139" s="101"/>
      <c r="G139" s="138"/>
      <c r="H139" s="153"/>
    </row>
    <row r="140" spans="1:8" x14ac:dyDescent="0.2">
      <c r="A140" s="94"/>
      <c r="E140" s="91"/>
      <c r="F140" s="91"/>
      <c r="G140" s="91"/>
      <c r="H140" s="149"/>
    </row>
    <row r="141" spans="1:8" x14ac:dyDescent="0.2">
      <c r="A141" s="94"/>
      <c r="C141" s="51"/>
      <c r="D141" s="52"/>
      <c r="E141" s="91"/>
      <c r="F141" s="156"/>
      <c r="G141" s="138"/>
      <c r="H141" s="129"/>
    </row>
    <row r="142" spans="1:8" x14ac:dyDescent="0.2">
      <c r="A142" s="94"/>
      <c r="B142" s="90"/>
      <c r="C142" s="51"/>
      <c r="D142" s="52"/>
      <c r="E142" s="91"/>
      <c r="F142" s="156"/>
      <c r="G142" s="138"/>
      <c r="H142" s="129"/>
    </row>
    <row r="143" spans="1:8" x14ac:dyDescent="0.2">
      <c r="A143" s="95"/>
      <c r="B143" s="90"/>
      <c r="C143" s="51"/>
      <c r="D143" s="52"/>
      <c r="E143" s="91"/>
      <c r="F143" s="156"/>
      <c r="G143" s="138"/>
      <c r="H143" s="129"/>
    </row>
    <row r="144" spans="1:8" x14ac:dyDescent="0.2">
      <c r="A144" s="94"/>
      <c r="C144" s="51"/>
      <c r="D144" s="57"/>
      <c r="E144" s="101"/>
      <c r="F144" s="157"/>
      <c r="G144" s="138"/>
      <c r="H144" s="129"/>
    </row>
    <row r="145" spans="1:10" x14ac:dyDescent="0.2">
      <c r="A145" s="94"/>
      <c r="C145" s="51"/>
      <c r="D145" s="158"/>
      <c r="E145" s="101"/>
      <c r="F145" s="157"/>
      <c r="G145" s="138"/>
      <c r="H145" s="129"/>
    </row>
    <row r="146" spans="1:10" x14ac:dyDescent="0.2">
      <c r="A146" s="94"/>
      <c r="C146" s="51"/>
      <c r="D146" s="158"/>
      <c r="E146" s="153"/>
      <c r="F146" s="159"/>
      <c r="G146" s="138"/>
      <c r="H146" s="129"/>
    </row>
    <row r="147" spans="1:10" x14ac:dyDescent="0.2">
      <c r="A147" s="94"/>
      <c r="C147" s="51"/>
      <c r="D147" s="57"/>
      <c r="E147" s="149"/>
      <c r="F147" s="129"/>
      <c r="G147" s="138"/>
      <c r="H147" s="129"/>
    </row>
    <row r="148" spans="1:10" x14ac:dyDescent="0.2">
      <c r="A148" s="94"/>
      <c r="C148" s="51"/>
      <c r="D148" s="52"/>
      <c r="F148" s="129"/>
      <c r="G148" s="138"/>
      <c r="H148" s="129"/>
    </row>
    <row r="149" spans="1:10" x14ac:dyDescent="0.2">
      <c r="A149" s="94"/>
    </row>
    <row r="150" spans="1:10" x14ac:dyDescent="0.2">
      <c r="A150" s="94"/>
    </row>
    <row r="151" spans="1:10" x14ac:dyDescent="0.2">
      <c r="A151" s="94"/>
    </row>
    <row r="152" spans="1:10" x14ac:dyDescent="0.2">
      <c r="A152" s="94"/>
      <c r="B152" s="90"/>
    </row>
    <row r="153" spans="1:10" x14ac:dyDescent="0.2">
      <c r="A153" s="94"/>
      <c r="B153" s="151"/>
    </row>
    <row r="154" spans="1:10" x14ac:dyDescent="0.2">
      <c r="A154" s="94"/>
      <c r="B154" s="151"/>
    </row>
    <row r="155" spans="1:10" x14ac:dyDescent="0.2">
      <c r="A155" s="94"/>
      <c r="B155" s="151"/>
    </row>
    <row r="156" spans="1:10" x14ac:dyDescent="0.2">
      <c r="A156" s="94"/>
    </row>
    <row r="157" spans="1:10" x14ac:dyDescent="0.2">
      <c r="A157" s="94"/>
      <c r="B157" s="90"/>
    </row>
    <row r="158" spans="1:10" x14ac:dyDescent="0.2">
      <c r="A158" s="94"/>
    </row>
    <row r="159" spans="1:10" x14ac:dyDescent="0.2">
      <c r="A159" s="95"/>
      <c r="C159" s="55"/>
      <c r="D159" s="98"/>
      <c r="G159" s="91"/>
      <c r="H159" s="91"/>
      <c r="I159" s="91"/>
      <c r="J159" s="91"/>
    </row>
    <row r="160" spans="1:10" x14ac:dyDescent="0.2">
      <c r="A160" s="94"/>
      <c r="C160" s="56"/>
      <c r="D160" s="160"/>
      <c r="F160" s="161"/>
      <c r="G160" s="91"/>
      <c r="H160" s="91"/>
      <c r="I160" s="91"/>
      <c r="J160" s="91"/>
    </row>
    <row r="161" spans="1:10" x14ac:dyDescent="0.2">
      <c r="A161" s="94"/>
      <c r="C161" s="51"/>
      <c r="D161" s="160"/>
      <c r="F161" s="161"/>
      <c r="G161" s="91"/>
      <c r="H161" s="91"/>
      <c r="I161" s="91"/>
      <c r="J161" s="91"/>
    </row>
    <row r="162" spans="1:10" x14ac:dyDescent="0.2">
      <c r="A162" s="94"/>
      <c r="C162" s="51"/>
      <c r="D162" s="160"/>
      <c r="F162" s="161"/>
      <c r="G162" s="91"/>
      <c r="H162" s="91"/>
      <c r="I162" s="91"/>
      <c r="J162" s="91"/>
    </row>
    <row r="163" spans="1:10" x14ac:dyDescent="0.2">
      <c r="A163" s="94"/>
      <c r="C163" s="56"/>
      <c r="D163" s="160"/>
      <c r="F163" s="161"/>
      <c r="G163" s="91"/>
      <c r="H163" s="91"/>
      <c r="I163" s="91"/>
      <c r="J163" s="91"/>
    </row>
    <row r="164" spans="1:10" x14ac:dyDescent="0.2">
      <c r="A164" s="94"/>
      <c r="C164" s="51"/>
      <c r="D164" s="160"/>
      <c r="F164" s="161"/>
      <c r="G164" s="91"/>
      <c r="H164" s="91"/>
      <c r="I164" s="91"/>
      <c r="J164" s="91"/>
    </row>
    <row r="165" spans="1:10" x14ac:dyDescent="0.2">
      <c r="A165" s="94"/>
      <c r="C165" s="51"/>
      <c r="D165" s="160"/>
      <c r="F165" s="161"/>
      <c r="G165" s="91"/>
      <c r="H165" s="91"/>
      <c r="I165" s="91"/>
      <c r="J165" s="91"/>
    </row>
    <row r="166" spans="1:10" x14ac:dyDescent="0.2">
      <c r="A166" s="94"/>
      <c r="C166" s="56"/>
      <c r="D166" s="160"/>
      <c r="F166" s="161"/>
      <c r="G166" s="91"/>
      <c r="H166" s="91"/>
      <c r="I166" s="91"/>
      <c r="J166" s="91"/>
    </row>
    <row r="167" spans="1:10" x14ac:dyDescent="0.2">
      <c r="A167" s="94"/>
      <c r="C167" s="51"/>
      <c r="D167" s="160"/>
      <c r="F167" s="161"/>
      <c r="G167" s="91"/>
      <c r="H167" s="91"/>
      <c r="I167" s="91"/>
      <c r="J167" s="91"/>
    </row>
    <row r="168" spans="1:10" x14ac:dyDescent="0.2">
      <c r="A168" s="94"/>
      <c r="C168" s="51"/>
      <c r="D168" s="160"/>
      <c r="F168" s="161"/>
      <c r="G168" s="91"/>
      <c r="H168" s="91"/>
      <c r="I168" s="91"/>
      <c r="J168" s="91"/>
    </row>
    <row r="169" spans="1:10" x14ac:dyDescent="0.2">
      <c r="A169" s="94"/>
      <c r="C169" s="56"/>
      <c r="D169" s="160"/>
      <c r="F169" s="161"/>
      <c r="G169" s="91"/>
      <c r="H169" s="91"/>
      <c r="I169" s="91"/>
      <c r="J169" s="91"/>
    </row>
    <row r="170" spans="1:10" x14ac:dyDescent="0.2">
      <c r="A170" s="94"/>
      <c r="C170" s="56"/>
      <c r="D170" s="160"/>
      <c r="F170" s="161"/>
    </row>
    <row r="171" spans="1:10" x14ac:dyDescent="0.2">
      <c r="A171" s="94"/>
      <c r="C171" s="51"/>
      <c r="D171" s="162"/>
      <c r="F171" s="163"/>
    </row>
    <row r="172" spans="1:10" x14ac:dyDescent="0.2">
      <c r="A172" s="94"/>
      <c r="C172" s="54"/>
      <c r="D172" s="160"/>
    </row>
  </sheetData>
  <pageMargins left="0.75" right="0.75" top="1" bottom="1" header="0.5" footer="0.5"/>
  <pageSetup scale="80" orientation="landscape" cellComments="asDisplayed" r:id="rId1"/>
  <headerFooter alignWithMargins="0">
    <oddHeader>&amp;CSchedule 4
True Up TRR
(Revised 2013 True Up TRR)&amp;RTO2020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T245"/>
  <sheetViews>
    <sheetView zoomScaleNormal="100" zoomScalePageLayoutView="80" workbookViewId="0">
      <selection activeCell="A3" sqref="A3"/>
    </sheetView>
  </sheetViews>
  <sheetFormatPr defaultRowHeight="12.75" x14ac:dyDescent="0.2"/>
  <cols>
    <col min="1" max="1" width="6.28515625" style="296" customWidth="1"/>
    <col min="2" max="2" width="8.5703125" style="119" customWidth="1"/>
    <col min="3" max="3" width="9.85546875" style="296" customWidth="1"/>
    <col min="4" max="4" width="51.5703125" style="119" customWidth="1"/>
    <col min="5" max="5" width="16.28515625" style="292" customWidth="1"/>
    <col min="6" max="6" width="16.140625" style="292" customWidth="1"/>
    <col min="7" max="7" width="18.42578125" style="292" bestFit="1" customWidth="1"/>
    <col min="8" max="8" width="15.85546875" style="293" bestFit="1" customWidth="1"/>
    <col min="9" max="9" width="16.85546875" style="293" bestFit="1" customWidth="1"/>
    <col min="10" max="10" width="15.7109375" style="292" customWidth="1"/>
    <col min="11" max="11" width="6.5703125" style="294" customWidth="1"/>
    <col min="12" max="12" width="16.42578125" style="295" customWidth="1"/>
    <col min="13" max="13" width="17.140625" style="263" bestFit="1" customWidth="1"/>
    <col min="14" max="14" width="18.42578125" style="292" bestFit="1" customWidth="1"/>
    <col min="15" max="15" width="8.5703125" style="263" customWidth="1"/>
  </cols>
  <sheetData>
    <row r="1" spans="1:15" x14ac:dyDescent="0.2">
      <c r="A1" s="212"/>
      <c r="B1" s="213" t="s">
        <v>280</v>
      </c>
      <c r="C1" s="214" t="s">
        <v>291</v>
      </c>
      <c r="D1" s="213" t="s">
        <v>301</v>
      </c>
      <c r="E1" s="214" t="s">
        <v>312</v>
      </c>
      <c r="F1" s="213" t="s">
        <v>302</v>
      </c>
      <c r="G1" s="214" t="s">
        <v>322</v>
      </c>
      <c r="H1" s="213" t="s">
        <v>303</v>
      </c>
      <c r="I1" s="214" t="s">
        <v>313</v>
      </c>
      <c r="J1" s="213" t="s">
        <v>304</v>
      </c>
      <c r="K1" s="214" t="s">
        <v>305</v>
      </c>
      <c r="L1" s="213" t="s">
        <v>306</v>
      </c>
      <c r="M1" s="214" t="s">
        <v>323</v>
      </c>
      <c r="N1" s="213" t="s">
        <v>314</v>
      </c>
      <c r="O1" s="214" t="s">
        <v>315</v>
      </c>
    </row>
    <row r="2" spans="1:15" x14ac:dyDescent="0.2">
      <c r="A2" s="215"/>
      <c r="B2" s="216"/>
      <c r="C2" s="216"/>
      <c r="D2" s="216"/>
      <c r="E2" s="217"/>
      <c r="F2" s="217"/>
      <c r="G2" s="504" t="s">
        <v>324</v>
      </c>
      <c r="H2" s="505"/>
      <c r="I2" s="506"/>
      <c r="J2" s="504" t="s">
        <v>325</v>
      </c>
      <c r="K2" s="505"/>
      <c r="L2" s="505"/>
      <c r="M2" s="506"/>
      <c r="N2" s="218" t="s">
        <v>326</v>
      </c>
      <c r="O2" s="215"/>
    </row>
    <row r="3" spans="1:15" ht="25.5" x14ac:dyDescent="0.2">
      <c r="A3" s="219" t="s">
        <v>292</v>
      </c>
      <c r="B3" s="220" t="s">
        <v>327</v>
      </c>
      <c r="C3" s="221" t="s">
        <v>328</v>
      </c>
      <c r="D3" s="220" t="s">
        <v>329</v>
      </c>
      <c r="E3" s="222" t="s">
        <v>330</v>
      </c>
      <c r="F3" s="223" t="s">
        <v>331</v>
      </c>
      <c r="G3" s="223" t="s">
        <v>307</v>
      </c>
      <c r="H3" s="224" t="s">
        <v>332</v>
      </c>
      <c r="I3" s="224" t="s">
        <v>333</v>
      </c>
      <c r="J3" s="222" t="s">
        <v>307</v>
      </c>
      <c r="K3" s="225" t="s">
        <v>334</v>
      </c>
      <c r="L3" s="226" t="s">
        <v>335</v>
      </c>
      <c r="M3" s="227" t="s">
        <v>310</v>
      </c>
      <c r="N3" s="222" t="s">
        <v>307</v>
      </c>
      <c r="O3" s="227" t="s">
        <v>45</v>
      </c>
    </row>
    <row r="4" spans="1:15" x14ac:dyDescent="0.2">
      <c r="A4" s="228" t="s">
        <v>336</v>
      </c>
      <c r="B4" s="229">
        <v>450</v>
      </c>
      <c r="C4" s="229" t="s">
        <v>337</v>
      </c>
      <c r="D4" s="230" t="s">
        <v>338</v>
      </c>
      <c r="E4" s="231">
        <v>6229941</v>
      </c>
      <c r="F4" s="232" t="str">
        <f>$G$2</f>
        <v>Traditional OOR</v>
      </c>
      <c r="G4" s="232">
        <f>IF(F4=$G$2,E4,0)</f>
        <v>6229941</v>
      </c>
      <c r="H4" s="233">
        <v>0</v>
      </c>
      <c r="I4" s="234">
        <f>G4-H4</f>
        <v>6229941</v>
      </c>
      <c r="J4" s="232">
        <f>IF(F4=$J$2,E4,0)</f>
        <v>0</v>
      </c>
      <c r="K4" s="235"/>
      <c r="L4" s="231"/>
      <c r="M4" s="236">
        <f>J4-L4</f>
        <v>0</v>
      </c>
      <c r="N4" s="232">
        <f>IF(F4=$N$2,E4,0)</f>
        <v>0</v>
      </c>
      <c r="O4" s="233">
        <v>1</v>
      </c>
    </row>
    <row r="5" spans="1:15" x14ac:dyDescent="0.2">
      <c r="A5" s="237" t="s">
        <v>339</v>
      </c>
      <c r="B5" s="229">
        <v>450</v>
      </c>
      <c r="C5" s="238" t="s">
        <v>340</v>
      </c>
      <c r="D5" s="230" t="s">
        <v>341</v>
      </c>
      <c r="E5" s="231">
        <v>9890854</v>
      </c>
      <c r="F5" s="232" t="str">
        <f>$G$2</f>
        <v>Traditional OOR</v>
      </c>
      <c r="G5" s="232">
        <f>IF(F5=$G$2,E5,0)</f>
        <v>9890854</v>
      </c>
      <c r="H5" s="233">
        <v>0</v>
      </c>
      <c r="I5" s="234">
        <f>G5-H5</f>
        <v>9890854</v>
      </c>
      <c r="J5" s="232">
        <f>IF(F5=$J$2,E5,0)</f>
        <v>0</v>
      </c>
      <c r="K5" s="235"/>
      <c r="L5" s="231"/>
      <c r="M5" s="236">
        <f>J5-L5</f>
        <v>0</v>
      </c>
      <c r="N5" s="232">
        <f>IF(F5=$N$2,E5,0)</f>
        <v>0</v>
      </c>
      <c r="O5" s="239">
        <v>1</v>
      </c>
    </row>
    <row r="6" spans="1:15" x14ac:dyDescent="0.2">
      <c r="A6" s="237" t="s">
        <v>342</v>
      </c>
      <c r="B6" s="229">
        <v>450</v>
      </c>
      <c r="C6" s="238" t="s">
        <v>343</v>
      </c>
      <c r="D6" s="230" t="s">
        <v>344</v>
      </c>
      <c r="E6" s="240">
        <v>0</v>
      </c>
      <c r="F6" s="232" t="str">
        <f>$G$2</f>
        <v>Traditional OOR</v>
      </c>
      <c r="G6" s="232">
        <f>IF(F6=$G$2,E6,0)</f>
        <v>0</v>
      </c>
      <c r="H6" s="233">
        <v>0</v>
      </c>
      <c r="I6" s="234">
        <f>G6-H6</f>
        <v>0</v>
      </c>
      <c r="J6" s="232">
        <f>IF(F6=$J$2,E6,0)</f>
        <v>0</v>
      </c>
      <c r="K6" s="235"/>
      <c r="L6" s="231"/>
      <c r="M6" s="236">
        <f>J6-L6</f>
        <v>0</v>
      </c>
      <c r="N6" s="232">
        <f>IF(F6=$N$2,E6,0)</f>
        <v>0</v>
      </c>
      <c r="O6" s="239">
        <v>1</v>
      </c>
    </row>
    <row r="7" spans="1:15" x14ac:dyDescent="0.2">
      <c r="A7" s="241"/>
      <c r="B7" s="242"/>
      <c r="C7" s="243"/>
      <c r="D7" s="244"/>
      <c r="E7" s="245"/>
      <c r="F7" s="245"/>
      <c r="G7" s="231"/>
      <c r="H7" s="246"/>
      <c r="I7" s="247"/>
      <c r="J7" s="231"/>
      <c r="K7" s="248"/>
      <c r="L7" s="231"/>
      <c r="M7" s="247"/>
      <c r="N7" s="231"/>
      <c r="O7" s="246"/>
    </row>
    <row r="8" spans="1:15" x14ac:dyDescent="0.2">
      <c r="A8" s="241"/>
      <c r="B8" s="242"/>
      <c r="C8" s="243"/>
      <c r="D8" s="244"/>
      <c r="E8" s="245"/>
      <c r="F8" s="245"/>
      <c r="G8" s="231"/>
      <c r="H8" s="246"/>
      <c r="I8" s="247"/>
      <c r="J8" s="231"/>
      <c r="K8" s="248"/>
      <c r="L8" s="231"/>
      <c r="M8" s="247"/>
      <c r="N8" s="231"/>
      <c r="O8" s="246"/>
    </row>
    <row r="9" spans="1:15" x14ac:dyDescent="0.2">
      <c r="A9" s="237">
        <v>2</v>
      </c>
      <c r="B9" s="507" t="s">
        <v>345</v>
      </c>
      <c r="C9" s="508"/>
      <c r="D9" s="509"/>
      <c r="E9" s="249">
        <f>SUM(E4:E8)</f>
        <v>16120795</v>
      </c>
      <c r="F9" s="250"/>
      <c r="G9" s="249">
        <f>SUM(G4:G8)</f>
        <v>16120795</v>
      </c>
      <c r="H9" s="214">
        <f>SUM(H4:H8)</f>
        <v>0</v>
      </c>
      <c r="I9" s="251">
        <f>SUM(I4:I8)</f>
        <v>16120795</v>
      </c>
      <c r="J9" s="249">
        <f>SUM(J4:J8)</f>
        <v>0</v>
      </c>
      <c r="K9" s="250"/>
      <c r="L9" s="249">
        <f>SUM(L4:L8)</f>
        <v>0</v>
      </c>
      <c r="M9" s="249">
        <f>SUM(M4:M8)</f>
        <v>0</v>
      </c>
      <c r="N9" s="249">
        <f>SUM(N4:N8)</f>
        <v>0</v>
      </c>
      <c r="O9" s="239"/>
    </row>
    <row r="10" spans="1:15" ht="12.75" customHeight="1" x14ac:dyDescent="0.2">
      <c r="A10" s="237">
        <v>3</v>
      </c>
      <c r="B10" s="501" t="s">
        <v>346</v>
      </c>
      <c r="C10" s="502"/>
      <c r="D10" s="503"/>
      <c r="E10" s="252">
        <v>16120795</v>
      </c>
      <c r="F10" s="253"/>
      <c r="G10" s="254"/>
      <c r="H10" s="253"/>
      <c r="I10" s="253"/>
      <c r="J10" s="254"/>
      <c r="K10" s="253"/>
      <c r="L10" s="254"/>
      <c r="M10" s="254"/>
      <c r="N10" s="254"/>
      <c r="O10" s="165"/>
    </row>
    <row r="11" spans="1:15" x14ac:dyDescent="0.2">
      <c r="A11" s="255"/>
      <c r="B11" s="256"/>
      <c r="C11" s="257"/>
      <c r="D11" s="258"/>
      <c r="E11" s="254"/>
      <c r="F11" s="254"/>
      <c r="G11" s="254"/>
      <c r="H11" s="253"/>
      <c r="I11" s="253"/>
      <c r="J11" s="254"/>
      <c r="K11" s="253"/>
      <c r="L11" s="254"/>
      <c r="M11" s="254"/>
      <c r="N11" s="254"/>
      <c r="O11" s="165"/>
    </row>
    <row r="12" spans="1:15" x14ac:dyDescent="0.2">
      <c r="A12" s="237" t="s">
        <v>347</v>
      </c>
      <c r="B12" s="229">
        <v>451</v>
      </c>
      <c r="C12" s="238" t="s">
        <v>348</v>
      </c>
      <c r="D12" s="230" t="s">
        <v>349</v>
      </c>
      <c r="E12" s="231">
        <v>156931</v>
      </c>
      <c r="F12" s="232" t="str">
        <f t="shared" ref="F12:F18" si="0">$G$2</f>
        <v>Traditional OOR</v>
      </c>
      <c r="G12" s="232">
        <f t="shared" ref="G12:G28" si="1">IF(F12=$G$2,E12,0)</f>
        <v>156931</v>
      </c>
      <c r="H12" s="233">
        <v>0</v>
      </c>
      <c r="I12" s="234">
        <f t="shared" ref="I12:I28" si="2">G12-H12</f>
        <v>156931</v>
      </c>
      <c r="J12" s="232">
        <f t="shared" ref="J12:J28" si="3">IF(F12=$J$2,E12,0)</f>
        <v>0</v>
      </c>
      <c r="K12" s="232"/>
      <c r="L12" s="247"/>
      <c r="M12" s="236">
        <f t="shared" ref="M12:M18" si="4">J12-L12</f>
        <v>0</v>
      </c>
      <c r="N12" s="232">
        <f t="shared" ref="N12:N28" si="5">IF(F12=$N$2,E12,0)</f>
        <v>0</v>
      </c>
      <c r="O12" s="239">
        <v>1</v>
      </c>
    </row>
    <row r="13" spans="1:15" x14ac:dyDescent="0.2">
      <c r="A13" s="237" t="s">
        <v>350</v>
      </c>
      <c r="B13" s="229">
        <v>451</v>
      </c>
      <c r="C13" s="238" t="s">
        <v>351</v>
      </c>
      <c r="D13" s="230" t="s">
        <v>352</v>
      </c>
      <c r="E13" s="231">
        <v>669825.12</v>
      </c>
      <c r="F13" s="232" t="str">
        <f t="shared" si="0"/>
        <v>Traditional OOR</v>
      </c>
      <c r="G13" s="232">
        <f t="shared" si="1"/>
        <v>669825.12</v>
      </c>
      <c r="H13" s="233">
        <v>0</v>
      </c>
      <c r="I13" s="234">
        <f t="shared" si="2"/>
        <v>669825.12</v>
      </c>
      <c r="J13" s="232">
        <f t="shared" si="3"/>
        <v>0</v>
      </c>
      <c r="K13" s="232"/>
      <c r="L13" s="247"/>
      <c r="M13" s="236">
        <f t="shared" si="4"/>
        <v>0</v>
      </c>
      <c r="N13" s="232">
        <f t="shared" si="5"/>
        <v>0</v>
      </c>
      <c r="O13" s="239">
        <v>1</v>
      </c>
    </row>
    <row r="14" spans="1:15" x14ac:dyDescent="0.2">
      <c r="A14" s="237" t="s">
        <v>353</v>
      </c>
      <c r="B14" s="229">
        <v>451</v>
      </c>
      <c r="C14" s="238" t="s">
        <v>354</v>
      </c>
      <c r="D14" s="230" t="s">
        <v>355</v>
      </c>
      <c r="E14" s="231">
        <v>897</v>
      </c>
      <c r="F14" s="232" t="str">
        <f t="shared" si="0"/>
        <v>Traditional OOR</v>
      </c>
      <c r="G14" s="232">
        <f t="shared" si="1"/>
        <v>897</v>
      </c>
      <c r="H14" s="233">
        <v>0</v>
      </c>
      <c r="I14" s="234">
        <f t="shared" si="2"/>
        <v>897</v>
      </c>
      <c r="J14" s="232">
        <f t="shared" si="3"/>
        <v>0</v>
      </c>
      <c r="K14" s="232"/>
      <c r="L14" s="247"/>
      <c r="M14" s="236">
        <f t="shared" si="4"/>
        <v>0</v>
      </c>
      <c r="N14" s="232">
        <f t="shared" si="5"/>
        <v>0</v>
      </c>
      <c r="O14" s="239">
        <v>1</v>
      </c>
    </row>
    <row r="15" spans="1:15" x14ac:dyDescent="0.2">
      <c r="A15" s="237" t="s">
        <v>356</v>
      </c>
      <c r="B15" s="229">
        <v>451</v>
      </c>
      <c r="C15" s="238" t="s">
        <v>357</v>
      </c>
      <c r="D15" s="230" t="s">
        <v>358</v>
      </c>
      <c r="E15" s="231">
        <v>1574894.22</v>
      </c>
      <c r="F15" s="232" t="str">
        <f t="shared" si="0"/>
        <v>Traditional OOR</v>
      </c>
      <c r="G15" s="232">
        <f t="shared" si="1"/>
        <v>1574894.22</v>
      </c>
      <c r="H15" s="233">
        <v>0</v>
      </c>
      <c r="I15" s="234">
        <f t="shared" si="2"/>
        <v>1574894.22</v>
      </c>
      <c r="J15" s="232">
        <f t="shared" si="3"/>
        <v>0</v>
      </c>
      <c r="K15" s="232"/>
      <c r="L15" s="247"/>
      <c r="M15" s="236">
        <f t="shared" si="4"/>
        <v>0</v>
      </c>
      <c r="N15" s="232">
        <f t="shared" si="5"/>
        <v>0</v>
      </c>
      <c r="O15" s="239">
        <v>1</v>
      </c>
    </row>
    <row r="16" spans="1:15" x14ac:dyDescent="0.2">
      <c r="A16" s="237" t="s">
        <v>359</v>
      </c>
      <c r="B16" s="229">
        <v>451</v>
      </c>
      <c r="C16" s="238" t="s">
        <v>360</v>
      </c>
      <c r="D16" s="230" t="s">
        <v>361</v>
      </c>
      <c r="E16" s="231">
        <v>1867.03</v>
      </c>
      <c r="F16" s="232" t="str">
        <f t="shared" si="0"/>
        <v>Traditional OOR</v>
      </c>
      <c r="G16" s="232">
        <f t="shared" si="1"/>
        <v>1867.03</v>
      </c>
      <c r="H16" s="233">
        <v>0</v>
      </c>
      <c r="I16" s="234">
        <f t="shared" si="2"/>
        <v>1867.03</v>
      </c>
      <c r="J16" s="232">
        <f t="shared" si="3"/>
        <v>0</v>
      </c>
      <c r="K16" s="232"/>
      <c r="L16" s="247"/>
      <c r="M16" s="236">
        <f t="shared" si="4"/>
        <v>0</v>
      </c>
      <c r="N16" s="232">
        <f t="shared" si="5"/>
        <v>0</v>
      </c>
      <c r="O16" s="239">
        <v>1</v>
      </c>
    </row>
    <row r="17" spans="1:15" x14ac:dyDescent="0.2">
      <c r="A17" s="237" t="s">
        <v>362</v>
      </c>
      <c r="B17" s="229">
        <v>451</v>
      </c>
      <c r="C17" s="238" t="s">
        <v>363</v>
      </c>
      <c r="D17" s="230" t="s">
        <v>364</v>
      </c>
      <c r="E17" s="231">
        <v>476</v>
      </c>
      <c r="F17" s="232" t="str">
        <f t="shared" si="0"/>
        <v>Traditional OOR</v>
      </c>
      <c r="G17" s="232">
        <f t="shared" si="1"/>
        <v>476</v>
      </c>
      <c r="H17" s="233">
        <v>0</v>
      </c>
      <c r="I17" s="234">
        <f t="shared" si="2"/>
        <v>476</v>
      </c>
      <c r="J17" s="232">
        <f t="shared" si="3"/>
        <v>0</v>
      </c>
      <c r="K17" s="232"/>
      <c r="L17" s="247"/>
      <c r="M17" s="236">
        <f t="shared" si="4"/>
        <v>0</v>
      </c>
      <c r="N17" s="232">
        <f t="shared" si="5"/>
        <v>0</v>
      </c>
      <c r="O17" s="239">
        <v>1</v>
      </c>
    </row>
    <row r="18" spans="1:15" x14ac:dyDescent="0.2">
      <c r="A18" s="237" t="s">
        <v>365</v>
      </c>
      <c r="B18" s="229">
        <v>451</v>
      </c>
      <c r="C18" s="238" t="s">
        <v>366</v>
      </c>
      <c r="D18" s="230" t="s">
        <v>367</v>
      </c>
      <c r="E18" s="231">
        <v>4888</v>
      </c>
      <c r="F18" s="232" t="str">
        <f t="shared" si="0"/>
        <v>Traditional OOR</v>
      </c>
      <c r="G18" s="232">
        <f t="shared" si="1"/>
        <v>4888</v>
      </c>
      <c r="H18" s="233">
        <v>0</v>
      </c>
      <c r="I18" s="234">
        <f t="shared" si="2"/>
        <v>4888</v>
      </c>
      <c r="J18" s="232">
        <f t="shared" si="3"/>
        <v>0</v>
      </c>
      <c r="K18" s="232"/>
      <c r="L18" s="247"/>
      <c r="M18" s="236">
        <f t="shared" si="4"/>
        <v>0</v>
      </c>
      <c r="N18" s="232">
        <f t="shared" si="5"/>
        <v>0</v>
      </c>
      <c r="O18" s="239">
        <v>1</v>
      </c>
    </row>
    <row r="19" spans="1:15" x14ac:dyDescent="0.2">
      <c r="A19" s="237" t="s">
        <v>368</v>
      </c>
      <c r="B19" s="229">
        <v>451</v>
      </c>
      <c r="C19" s="238" t="s">
        <v>369</v>
      </c>
      <c r="D19" s="230" t="s">
        <v>370</v>
      </c>
      <c r="E19" s="231">
        <v>46.75</v>
      </c>
      <c r="F19" s="232" t="str">
        <f>$J$2</f>
        <v>GRSM</v>
      </c>
      <c r="G19" s="232">
        <f t="shared" si="1"/>
        <v>0</v>
      </c>
      <c r="H19" s="233">
        <v>0</v>
      </c>
      <c r="I19" s="234">
        <f t="shared" si="2"/>
        <v>0</v>
      </c>
      <c r="J19" s="232">
        <f t="shared" si="3"/>
        <v>46.75</v>
      </c>
      <c r="K19" s="259" t="s">
        <v>316</v>
      </c>
      <c r="L19" s="247">
        <v>19</v>
      </c>
      <c r="M19" s="236">
        <f>J19-L19</f>
        <v>27.75</v>
      </c>
      <c r="N19" s="232">
        <f t="shared" si="5"/>
        <v>0</v>
      </c>
      <c r="O19" s="239">
        <v>2</v>
      </c>
    </row>
    <row r="20" spans="1:15" x14ac:dyDescent="0.2">
      <c r="A20" s="237" t="s">
        <v>371</v>
      </c>
      <c r="B20" s="229">
        <v>451</v>
      </c>
      <c r="C20" s="238" t="s">
        <v>372</v>
      </c>
      <c r="D20" s="230" t="s">
        <v>373</v>
      </c>
      <c r="E20" s="231">
        <v>234640.89</v>
      </c>
      <c r="F20" s="232" t="str">
        <f>$N$2</f>
        <v>Other Ratemaking</v>
      </c>
      <c r="G20" s="232">
        <f t="shared" si="1"/>
        <v>0</v>
      </c>
      <c r="H20" s="233">
        <v>0</v>
      </c>
      <c r="I20" s="234">
        <f t="shared" si="2"/>
        <v>0</v>
      </c>
      <c r="J20" s="232">
        <f t="shared" si="3"/>
        <v>0</v>
      </c>
      <c r="K20" s="232"/>
      <c r="L20" s="247"/>
      <c r="M20" s="236">
        <f>J20-L20</f>
        <v>0</v>
      </c>
      <c r="N20" s="232">
        <f t="shared" si="5"/>
        <v>234640.89</v>
      </c>
      <c r="O20" s="239">
        <v>6</v>
      </c>
    </row>
    <row r="21" spans="1:15" x14ac:dyDescent="0.2">
      <c r="A21" s="228" t="s">
        <v>374</v>
      </c>
      <c r="B21" s="229">
        <v>451</v>
      </c>
      <c r="C21" s="229">
        <v>4182120</v>
      </c>
      <c r="D21" s="260" t="s">
        <v>375</v>
      </c>
      <c r="E21" s="231">
        <v>-7693.59</v>
      </c>
      <c r="F21" s="232" t="s">
        <v>324</v>
      </c>
      <c r="G21" s="232">
        <f t="shared" si="1"/>
        <v>-7693.59</v>
      </c>
      <c r="H21" s="233">
        <v>0</v>
      </c>
      <c r="I21" s="234">
        <f t="shared" si="2"/>
        <v>-7693.59</v>
      </c>
      <c r="J21" s="232">
        <f t="shared" si="3"/>
        <v>0</v>
      </c>
      <c r="K21" s="232"/>
      <c r="L21" s="247"/>
      <c r="M21" s="234">
        <f t="shared" ref="M21:M28" si="6">J21-L21</f>
        <v>0</v>
      </c>
      <c r="N21" s="232">
        <f t="shared" si="5"/>
        <v>0</v>
      </c>
      <c r="O21" s="233">
        <v>1</v>
      </c>
    </row>
    <row r="22" spans="1:15" x14ac:dyDescent="0.2">
      <c r="A22" s="228" t="s">
        <v>376</v>
      </c>
      <c r="B22" s="229">
        <v>451</v>
      </c>
      <c r="C22" s="229">
        <v>4192152</v>
      </c>
      <c r="D22" s="260" t="s">
        <v>377</v>
      </c>
      <c r="E22" s="231">
        <v>15220</v>
      </c>
      <c r="F22" s="232" t="s">
        <v>326</v>
      </c>
      <c r="G22" s="232">
        <f t="shared" si="1"/>
        <v>0</v>
      </c>
      <c r="H22" s="233">
        <v>0</v>
      </c>
      <c r="I22" s="234">
        <f t="shared" si="2"/>
        <v>0</v>
      </c>
      <c r="J22" s="232">
        <f t="shared" si="3"/>
        <v>0</v>
      </c>
      <c r="K22" s="232"/>
      <c r="L22" s="247"/>
      <c r="M22" s="234">
        <f t="shared" si="6"/>
        <v>0</v>
      </c>
      <c r="N22" s="232">
        <f t="shared" si="5"/>
        <v>15220</v>
      </c>
      <c r="O22" s="233">
        <v>1</v>
      </c>
    </row>
    <row r="23" spans="1:15" x14ac:dyDescent="0.2">
      <c r="A23" s="228" t="s">
        <v>378</v>
      </c>
      <c r="B23" s="229">
        <v>451</v>
      </c>
      <c r="C23" s="229">
        <v>4192155</v>
      </c>
      <c r="D23" s="260" t="s">
        <v>379</v>
      </c>
      <c r="E23" s="231">
        <v>315860</v>
      </c>
      <c r="F23" s="232" t="s">
        <v>326</v>
      </c>
      <c r="G23" s="232">
        <f t="shared" si="1"/>
        <v>0</v>
      </c>
      <c r="H23" s="233">
        <v>0</v>
      </c>
      <c r="I23" s="234">
        <f t="shared" si="2"/>
        <v>0</v>
      </c>
      <c r="J23" s="232">
        <f t="shared" si="3"/>
        <v>0</v>
      </c>
      <c r="K23" s="232"/>
      <c r="L23" s="247"/>
      <c r="M23" s="234">
        <f t="shared" si="6"/>
        <v>0</v>
      </c>
      <c r="N23" s="232">
        <f t="shared" si="5"/>
        <v>315860</v>
      </c>
      <c r="O23" s="233">
        <v>1</v>
      </c>
    </row>
    <row r="24" spans="1:15" x14ac:dyDescent="0.2">
      <c r="A24" s="228" t="s">
        <v>380</v>
      </c>
      <c r="B24" s="229">
        <v>451</v>
      </c>
      <c r="C24" s="229">
        <v>4192158</v>
      </c>
      <c r="D24" s="260" t="s">
        <v>381</v>
      </c>
      <c r="E24" s="231">
        <v>313500</v>
      </c>
      <c r="F24" s="232" t="s">
        <v>326</v>
      </c>
      <c r="G24" s="232">
        <f t="shared" si="1"/>
        <v>0</v>
      </c>
      <c r="H24" s="233">
        <v>0</v>
      </c>
      <c r="I24" s="234">
        <f t="shared" si="2"/>
        <v>0</v>
      </c>
      <c r="J24" s="232">
        <f t="shared" si="3"/>
        <v>0</v>
      </c>
      <c r="K24" s="232"/>
      <c r="L24" s="247"/>
      <c r="M24" s="234">
        <f t="shared" si="6"/>
        <v>0</v>
      </c>
      <c r="N24" s="232">
        <f t="shared" si="5"/>
        <v>313500</v>
      </c>
      <c r="O24" s="233">
        <v>1</v>
      </c>
    </row>
    <row r="25" spans="1:15" x14ac:dyDescent="0.2">
      <c r="A25" s="228" t="s">
        <v>382</v>
      </c>
      <c r="B25" s="229">
        <v>451</v>
      </c>
      <c r="C25" s="229">
        <v>4192160</v>
      </c>
      <c r="D25" s="260" t="s">
        <v>383</v>
      </c>
      <c r="E25" s="231">
        <v>1915525</v>
      </c>
      <c r="F25" s="232" t="s">
        <v>326</v>
      </c>
      <c r="G25" s="232">
        <f t="shared" si="1"/>
        <v>0</v>
      </c>
      <c r="H25" s="233">
        <v>0</v>
      </c>
      <c r="I25" s="234">
        <f t="shared" si="2"/>
        <v>0</v>
      </c>
      <c r="J25" s="232">
        <f t="shared" si="3"/>
        <v>0</v>
      </c>
      <c r="K25" s="232"/>
      <c r="L25" s="247"/>
      <c r="M25" s="234">
        <f t="shared" si="6"/>
        <v>0</v>
      </c>
      <c r="N25" s="232">
        <f t="shared" si="5"/>
        <v>1915525</v>
      </c>
      <c r="O25" s="233">
        <v>1</v>
      </c>
    </row>
    <row r="26" spans="1:15" x14ac:dyDescent="0.2">
      <c r="A26" s="228" t="s">
        <v>815</v>
      </c>
      <c r="B26" s="229">
        <v>451</v>
      </c>
      <c r="C26" s="229">
        <v>4192135</v>
      </c>
      <c r="D26" s="348" t="s">
        <v>816</v>
      </c>
      <c r="E26" s="231">
        <v>7322398.2300000004</v>
      </c>
      <c r="F26" s="232" t="s">
        <v>324</v>
      </c>
      <c r="G26" s="232">
        <f t="shared" si="1"/>
        <v>7322398.2300000004</v>
      </c>
      <c r="H26" s="233">
        <v>0</v>
      </c>
      <c r="I26" s="234">
        <f t="shared" si="2"/>
        <v>7322398.2300000004</v>
      </c>
      <c r="J26" s="232">
        <f t="shared" si="3"/>
        <v>0</v>
      </c>
      <c r="K26" s="232"/>
      <c r="L26" s="247"/>
      <c r="M26" s="234">
        <f t="shared" si="6"/>
        <v>0</v>
      </c>
      <c r="N26" s="232">
        <f t="shared" si="5"/>
        <v>0</v>
      </c>
      <c r="O26" s="233">
        <v>1</v>
      </c>
    </row>
    <row r="27" spans="1:15" x14ac:dyDescent="0.2">
      <c r="A27" s="228" t="s">
        <v>817</v>
      </c>
      <c r="B27" s="229">
        <v>451</v>
      </c>
      <c r="C27" s="229">
        <v>4192145</v>
      </c>
      <c r="D27" s="348" t="s">
        <v>818</v>
      </c>
      <c r="E27" s="231">
        <v>3515420.05</v>
      </c>
      <c r="F27" s="232" t="s">
        <v>324</v>
      </c>
      <c r="G27" s="232">
        <f t="shared" si="1"/>
        <v>3515420.05</v>
      </c>
      <c r="H27" s="233">
        <v>0</v>
      </c>
      <c r="I27" s="234">
        <f t="shared" si="2"/>
        <v>3515420.05</v>
      </c>
      <c r="J27" s="232">
        <f t="shared" si="3"/>
        <v>0</v>
      </c>
      <c r="K27" s="232"/>
      <c r="L27" s="247"/>
      <c r="M27" s="234">
        <f t="shared" si="6"/>
        <v>0</v>
      </c>
      <c r="N27" s="232">
        <f t="shared" si="5"/>
        <v>0</v>
      </c>
      <c r="O27" s="233">
        <v>1</v>
      </c>
    </row>
    <row r="28" spans="1:15" x14ac:dyDescent="0.2">
      <c r="A28" s="228" t="s">
        <v>819</v>
      </c>
      <c r="B28" s="229">
        <v>451</v>
      </c>
      <c r="C28" s="229">
        <v>4192150</v>
      </c>
      <c r="D28" s="348" t="s">
        <v>820</v>
      </c>
      <c r="E28" s="231">
        <v>15059</v>
      </c>
      <c r="F28" s="232" t="s">
        <v>324</v>
      </c>
      <c r="G28" s="232">
        <f t="shared" si="1"/>
        <v>15059</v>
      </c>
      <c r="H28" s="233">
        <v>0</v>
      </c>
      <c r="I28" s="234">
        <f t="shared" si="2"/>
        <v>15059</v>
      </c>
      <c r="J28" s="232">
        <f t="shared" si="3"/>
        <v>0</v>
      </c>
      <c r="K28" s="232"/>
      <c r="L28" s="247"/>
      <c r="M28" s="234">
        <f t="shared" si="6"/>
        <v>0</v>
      </c>
      <c r="N28" s="232">
        <f t="shared" si="5"/>
        <v>0</v>
      </c>
      <c r="O28" s="233">
        <v>1</v>
      </c>
    </row>
    <row r="29" spans="1:15" x14ac:dyDescent="0.2">
      <c r="A29" s="241"/>
      <c r="B29" s="242"/>
      <c r="C29" s="242"/>
      <c r="D29" s="261"/>
      <c r="E29" s="231"/>
      <c r="F29" s="231"/>
      <c r="G29" s="231"/>
      <c r="H29" s="246"/>
      <c r="I29" s="247"/>
      <c r="J29" s="231"/>
      <c r="K29" s="231"/>
      <c r="L29" s="247"/>
      <c r="M29" s="247"/>
      <c r="N29" s="231"/>
      <c r="O29" s="246"/>
    </row>
    <row r="30" spans="1:15" x14ac:dyDescent="0.2">
      <c r="A30" s="241"/>
      <c r="B30" s="242"/>
      <c r="C30" s="243"/>
      <c r="D30" s="261"/>
      <c r="E30" s="231"/>
      <c r="F30" s="231"/>
      <c r="G30" s="248"/>
      <c r="H30" s="246"/>
      <c r="I30" s="247"/>
      <c r="J30" s="231"/>
      <c r="K30" s="231"/>
      <c r="L30" s="247"/>
      <c r="M30" s="247"/>
      <c r="N30" s="231"/>
      <c r="O30" s="246"/>
    </row>
    <row r="31" spans="1:15" x14ac:dyDescent="0.2">
      <c r="A31" s="237">
        <v>5</v>
      </c>
      <c r="B31" s="507" t="s">
        <v>384</v>
      </c>
      <c r="C31" s="508"/>
      <c r="D31" s="509"/>
      <c r="E31" s="249">
        <f>SUM(E12:E30)</f>
        <v>16049754.699999999</v>
      </c>
      <c r="F31" s="250"/>
      <c r="G31" s="249">
        <f>SUM(G12:G30)</f>
        <v>13254962.059999999</v>
      </c>
      <c r="H31" s="214">
        <f>SUM(H12:H30)</f>
        <v>0</v>
      </c>
      <c r="I31" s="251">
        <f>SUM(I12:I30)</f>
        <v>13254962.059999999</v>
      </c>
      <c r="J31" s="249">
        <f>SUM(J12:J30)</f>
        <v>46.75</v>
      </c>
      <c r="K31" s="250"/>
      <c r="L31" s="249">
        <f>SUM(L12:L30)</f>
        <v>19</v>
      </c>
      <c r="M31" s="249">
        <f>SUM(M12:M30)</f>
        <v>27.75</v>
      </c>
      <c r="N31" s="249">
        <f>SUM(N12:N30)</f>
        <v>2794745.89</v>
      </c>
      <c r="O31" s="239"/>
    </row>
    <row r="32" spans="1:15" ht="25.5" customHeight="1" x14ac:dyDescent="0.2">
      <c r="A32" s="237">
        <v>6</v>
      </c>
      <c r="B32" s="501" t="s">
        <v>385</v>
      </c>
      <c r="C32" s="502"/>
      <c r="D32" s="503"/>
      <c r="E32" s="252">
        <v>16049755</v>
      </c>
      <c r="F32" s="253"/>
      <c r="G32" s="254"/>
      <c r="H32" s="262"/>
      <c r="I32" s="262"/>
      <c r="J32" s="254"/>
      <c r="K32" s="253"/>
      <c r="L32" s="254"/>
      <c r="M32" s="254"/>
      <c r="N32" s="254"/>
    </row>
    <row r="33" spans="1:15" x14ac:dyDescent="0.2">
      <c r="A33" s="264"/>
      <c r="B33" s="256"/>
      <c r="C33" s="257"/>
      <c r="D33" s="258"/>
      <c r="E33" s="254"/>
      <c r="F33" s="254"/>
      <c r="G33" s="254"/>
      <c r="H33" s="262"/>
      <c r="I33" s="262"/>
      <c r="J33" s="254"/>
      <c r="K33" s="253"/>
      <c r="L33" s="254"/>
      <c r="M33" s="254"/>
      <c r="N33" s="254"/>
    </row>
    <row r="34" spans="1:15" x14ac:dyDescent="0.2">
      <c r="A34" s="237" t="s">
        <v>386</v>
      </c>
      <c r="B34" s="229">
        <v>453</v>
      </c>
      <c r="C34" s="238" t="s">
        <v>387</v>
      </c>
      <c r="D34" s="230" t="s">
        <v>388</v>
      </c>
      <c r="E34" s="231">
        <v>147000</v>
      </c>
      <c r="F34" s="232" t="str">
        <f>$G$2</f>
        <v>Traditional OOR</v>
      </c>
      <c r="G34" s="232">
        <f>IF(F34=$G$2,E34,0)</f>
        <v>147000</v>
      </c>
      <c r="H34" s="233">
        <v>0</v>
      </c>
      <c r="I34" s="234">
        <f>G34-H34</f>
        <v>147000</v>
      </c>
      <c r="J34" s="232">
        <f>IF(F34=$J$2,E34,0)</f>
        <v>0</v>
      </c>
      <c r="K34" s="232"/>
      <c r="L34" s="247"/>
      <c r="M34" s="236">
        <f>J34-L34</f>
        <v>0</v>
      </c>
      <c r="N34" s="232">
        <f>IF(F34=$N$2,E34,0)</f>
        <v>0</v>
      </c>
      <c r="O34" s="239">
        <v>3</v>
      </c>
    </row>
    <row r="35" spans="1:15" x14ac:dyDescent="0.2">
      <c r="A35" s="237" t="s">
        <v>389</v>
      </c>
      <c r="B35" s="229">
        <v>453</v>
      </c>
      <c r="C35" s="238" t="s">
        <v>390</v>
      </c>
      <c r="D35" s="230" t="s">
        <v>391</v>
      </c>
      <c r="E35" s="231">
        <v>0</v>
      </c>
      <c r="F35" s="232" t="str">
        <f>$G$2</f>
        <v>Traditional OOR</v>
      </c>
      <c r="G35" s="232">
        <f>IF(F35=$G$2,E35,0)</f>
        <v>0</v>
      </c>
      <c r="H35" s="233">
        <v>0</v>
      </c>
      <c r="I35" s="234">
        <f>G35-H35</f>
        <v>0</v>
      </c>
      <c r="J35" s="232">
        <f>IF(F35=$J$2,E35,0)</f>
        <v>0</v>
      </c>
      <c r="K35" s="232"/>
      <c r="L35" s="247"/>
      <c r="M35" s="236">
        <f>J35-L35</f>
        <v>0</v>
      </c>
      <c r="N35" s="232">
        <f>IF(F35=$N$2,E35,0)</f>
        <v>0</v>
      </c>
      <c r="O35" s="239">
        <v>3</v>
      </c>
    </row>
    <row r="36" spans="1:15" x14ac:dyDescent="0.2">
      <c r="A36" s="237" t="s">
        <v>392</v>
      </c>
      <c r="B36" s="229">
        <v>453</v>
      </c>
      <c r="C36" s="237" t="s">
        <v>393</v>
      </c>
      <c r="D36" s="230" t="s">
        <v>394</v>
      </c>
      <c r="E36" s="231">
        <v>0</v>
      </c>
      <c r="F36" s="232" t="str">
        <f>$G$2</f>
        <v>Traditional OOR</v>
      </c>
      <c r="G36" s="232">
        <f>IF(F36=$G$2,E36,0)</f>
        <v>0</v>
      </c>
      <c r="H36" s="233">
        <v>0</v>
      </c>
      <c r="I36" s="234">
        <f>G36-H36</f>
        <v>0</v>
      </c>
      <c r="J36" s="232">
        <f>IF(F36=$J$2,E36,0)</f>
        <v>0</v>
      </c>
      <c r="K36" s="232"/>
      <c r="L36" s="247"/>
      <c r="M36" s="236">
        <f>J36-L36</f>
        <v>0</v>
      </c>
      <c r="N36" s="232">
        <f>IF(F36=$N$2,E36,0)</f>
        <v>0</v>
      </c>
      <c r="O36" s="239">
        <v>3</v>
      </c>
    </row>
    <row r="37" spans="1:15" x14ac:dyDescent="0.2">
      <c r="A37" s="241"/>
      <c r="B37" s="242"/>
      <c r="C37" s="243"/>
      <c r="D37" s="244"/>
      <c r="E37" s="231"/>
      <c r="F37" s="231"/>
      <c r="G37" s="248"/>
      <c r="H37" s="246"/>
      <c r="I37" s="247"/>
      <c r="J37" s="231"/>
      <c r="K37" s="231"/>
      <c r="L37" s="247"/>
      <c r="M37" s="247"/>
      <c r="N37" s="231"/>
      <c r="O37" s="246"/>
    </row>
    <row r="38" spans="1:15" x14ac:dyDescent="0.2">
      <c r="A38" s="241"/>
      <c r="B38" s="242"/>
      <c r="C38" s="243"/>
      <c r="D38" s="244"/>
      <c r="E38" s="231"/>
      <c r="F38" s="231"/>
      <c r="G38" s="248"/>
      <c r="H38" s="246"/>
      <c r="I38" s="247"/>
      <c r="J38" s="231"/>
      <c r="K38" s="231"/>
      <c r="L38" s="247"/>
      <c r="M38" s="247"/>
      <c r="N38" s="231"/>
      <c r="O38" s="246"/>
    </row>
    <row r="39" spans="1:15" x14ac:dyDescent="0.2">
      <c r="A39" s="237">
        <v>8</v>
      </c>
      <c r="B39" s="507" t="s">
        <v>395</v>
      </c>
      <c r="C39" s="508"/>
      <c r="D39" s="509"/>
      <c r="E39" s="251">
        <f>SUM(E34:E38)</f>
        <v>147000</v>
      </c>
      <c r="F39" s="250"/>
      <c r="G39" s="251">
        <f>SUM(G34:G38)</f>
        <v>147000</v>
      </c>
      <c r="H39" s="214">
        <f>SUM(H34:H38)</f>
        <v>0</v>
      </c>
      <c r="I39" s="251">
        <f>SUM(I34:I38)</f>
        <v>147000</v>
      </c>
      <c r="J39" s="251">
        <f>SUM(J34:J38)</f>
        <v>0</v>
      </c>
      <c r="K39" s="250"/>
      <c r="L39" s="251">
        <f>SUM(L34:L38)</f>
        <v>0</v>
      </c>
      <c r="M39" s="251">
        <f>SUM(M34:M38)</f>
        <v>0</v>
      </c>
      <c r="N39" s="251">
        <f>SUM(N34:N38)</f>
        <v>0</v>
      </c>
      <c r="O39" s="214"/>
    </row>
    <row r="40" spans="1:15" ht="25.5" customHeight="1" x14ac:dyDescent="0.2">
      <c r="A40" s="237">
        <v>9</v>
      </c>
      <c r="B40" s="510" t="s">
        <v>396</v>
      </c>
      <c r="C40" s="511"/>
      <c r="D40" s="511"/>
      <c r="E40" s="265">
        <v>147000</v>
      </c>
      <c r="F40" s="253"/>
      <c r="G40" s="254"/>
      <c r="H40" s="262"/>
      <c r="I40" s="266"/>
      <c r="J40" s="254"/>
      <c r="K40" s="253"/>
      <c r="L40" s="254"/>
      <c r="M40" s="254"/>
      <c r="N40" s="254"/>
      <c r="O40" s="165"/>
    </row>
    <row r="41" spans="1:15" x14ac:dyDescent="0.2">
      <c r="A41" s="255"/>
      <c r="B41" s="256"/>
      <c r="C41" s="257"/>
      <c r="D41" s="258"/>
      <c r="E41" s="254"/>
      <c r="F41" s="254"/>
      <c r="G41" s="254"/>
      <c r="H41" s="262"/>
      <c r="I41" s="266"/>
      <c r="J41" s="254"/>
      <c r="K41" s="253"/>
      <c r="L41" s="254"/>
      <c r="M41" s="254"/>
      <c r="N41" s="254"/>
      <c r="O41" s="165"/>
    </row>
    <row r="42" spans="1:15" x14ac:dyDescent="0.2">
      <c r="A42" s="237" t="s">
        <v>397</v>
      </c>
      <c r="B42" s="229">
        <v>454</v>
      </c>
      <c r="C42" s="230" t="s">
        <v>398</v>
      </c>
      <c r="D42" s="230" t="s">
        <v>399</v>
      </c>
      <c r="E42" s="231">
        <v>475983.95</v>
      </c>
      <c r="F42" s="232" t="str">
        <f t="shared" ref="F42:F47" si="7">$G$2</f>
        <v>Traditional OOR</v>
      </c>
      <c r="G42" s="232">
        <f>IF(F42=$G$2,E42,0)</f>
        <v>475983.95</v>
      </c>
      <c r="H42" s="234">
        <v>0</v>
      </c>
      <c r="I42" s="234">
        <f t="shared" ref="I42:I52" si="8">G42-H42</f>
        <v>475983.95</v>
      </c>
      <c r="J42" s="232">
        <f t="shared" ref="J42:J67" si="9">IF(F42=$J$2,E42,0)</f>
        <v>0</v>
      </c>
      <c r="K42" s="232"/>
      <c r="L42" s="247"/>
      <c r="M42" s="234">
        <f t="shared" ref="M42:M47" si="10">J42-L42</f>
        <v>0</v>
      </c>
      <c r="N42" s="232">
        <f t="shared" ref="N42:N67" si="11">IF(F42=$N$2,E42,0)</f>
        <v>0</v>
      </c>
      <c r="O42" s="233">
        <v>4</v>
      </c>
    </row>
    <row r="43" spans="1:15" x14ac:dyDescent="0.2">
      <c r="A43" s="237" t="s">
        <v>400</v>
      </c>
      <c r="B43" s="229">
        <v>454</v>
      </c>
      <c r="C43" s="238" t="s">
        <v>401</v>
      </c>
      <c r="D43" s="230" t="s">
        <v>402</v>
      </c>
      <c r="E43" s="231">
        <v>2877822.76</v>
      </c>
      <c r="F43" s="232" t="str">
        <f t="shared" si="7"/>
        <v>Traditional OOR</v>
      </c>
      <c r="G43" s="232">
        <f t="shared" ref="G43:G67" si="12">IF(F43=$G$2,E43,0)</f>
        <v>2877822.76</v>
      </c>
      <c r="H43" s="234">
        <v>0</v>
      </c>
      <c r="I43" s="234">
        <f t="shared" si="8"/>
        <v>2877822.76</v>
      </c>
      <c r="J43" s="232">
        <f t="shared" si="9"/>
        <v>0</v>
      </c>
      <c r="K43" s="232"/>
      <c r="L43" s="247"/>
      <c r="M43" s="236">
        <f t="shared" si="10"/>
        <v>0</v>
      </c>
      <c r="N43" s="232">
        <f t="shared" si="11"/>
        <v>0</v>
      </c>
      <c r="O43" s="239">
        <v>4</v>
      </c>
    </row>
    <row r="44" spans="1:15" x14ac:dyDescent="0.2">
      <c r="A44" s="237" t="s">
        <v>403</v>
      </c>
      <c r="B44" s="229">
        <v>454</v>
      </c>
      <c r="C44" s="238" t="s">
        <v>404</v>
      </c>
      <c r="D44" s="230" t="s">
        <v>405</v>
      </c>
      <c r="E44" s="231">
        <v>623280</v>
      </c>
      <c r="F44" s="232" t="str">
        <f t="shared" si="7"/>
        <v>Traditional OOR</v>
      </c>
      <c r="G44" s="232">
        <f t="shared" si="12"/>
        <v>623280</v>
      </c>
      <c r="H44" s="234">
        <v>0</v>
      </c>
      <c r="I44" s="234">
        <f t="shared" si="8"/>
        <v>623280</v>
      </c>
      <c r="J44" s="232">
        <f t="shared" si="9"/>
        <v>0</v>
      </c>
      <c r="K44" s="232"/>
      <c r="L44" s="247"/>
      <c r="M44" s="236">
        <f t="shared" si="10"/>
        <v>0</v>
      </c>
      <c r="N44" s="232">
        <f t="shared" si="11"/>
        <v>0</v>
      </c>
      <c r="O44" s="239">
        <v>4</v>
      </c>
    </row>
    <row r="45" spans="1:15" x14ac:dyDescent="0.2">
      <c r="A45" s="237" t="s">
        <v>406</v>
      </c>
      <c r="B45" s="229">
        <v>454</v>
      </c>
      <c r="C45" s="238" t="s">
        <v>407</v>
      </c>
      <c r="D45" s="230" t="s">
        <v>408</v>
      </c>
      <c r="E45" s="231">
        <v>0</v>
      </c>
      <c r="F45" s="232" t="str">
        <f t="shared" si="7"/>
        <v>Traditional OOR</v>
      </c>
      <c r="G45" s="232">
        <f t="shared" si="12"/>
        <v>0</v>
      </c>
      <c r="H45" s="234">
        <v>0</v>
      </c>
      <c r="I45" s="234">
        <f t="shared" si="8"/>
        <v>0</v>
      </c>
      <c r="J45" s="232">
        <f t="shared" si="9"/>
        <v>0</v>
      </c>
      <c r="K45" s="232"/>
      <c r="L45" s="247"/>
      <c r="M45" s="236">
        <f t="shared" si="10"/>
        <v>0</v>
      </c>
      <c r="N45" s="232">
        <f t="shared" si="11"/>
        <v>0</v>
      </c>
      <c r="O45" s="239">
        <v>4</v>
      </c>
    </row>
    <row r="46" spans="1:15" x14ac:dyDescent="0.2">
      <c r="A46" s="237" t="s">
        <v>409</v>
      </c>
      <c r="B46" s="229">
        <v>454</v>
      </c>
      <c r="C46" s="238" t="s">
        <v>410</v>
      </c>
      <c r="D46" s="230" t="s">
        <v>411</v>
      </c>
      <c r="E46" s="231">
        <v>0</v>
      </c>
      <c r="F46" s="232" t="str">
        <f t="shared" si="7"/>
        <v>Traditional OOR</v>
      </c>
      <c r="G46" s="232">
        <f t="shared" si="12"/>
        <v>0</v>
      </c>
      <c r="H46" s="234">
        <v>0</v>
      </c>
      <c r="I46" s="234">
        <f t="shared" si="8"/>
        <v>0</v>
      </c>
      <c r="J46" s="232">
        <f t="shared" si="9"/>
        <v>0</v>
      </c>
      <c r="K46" s="232"/>
      <c r="L46" s="247"/>
      <c r="M46" s="236">
        <f t="shared" si="10"/>
        <v>0</v>
      </c>
      <c r="N46" s="232">
        <f t="shared" si="11"/>
        <v>0</v>
      </c>
      <c r="O46" s="239">
        <v>4</v>
      </c>
    </row>
    <row r="47" spans="1:15" x14ac:dyDescent="0.2">
      <c r="A47" s="237" t="s">
        <v>412</v>
      </c>
      <c r="B47" s="229">
        <v>454</v>
      </c>
      <c r="C47" s="267">
        <v>4184120</v>
      </c>
      <c r="D47" s="230" t="s">
        <v>413</v>
      </c>
      <c r="E47" s="231">
        <v>0</v>
      </c>
      <c r="F47" s="232" t="str">
        <f t="shared" si="7"/>
        <v>Traditional OOR</v>
      </c>
      <c r="G47" s="232">
        <f>IF(F47=$G$2,E47,0)</f>
        <v>0</v>
      </c>
      <c r="H47" s="234">
        <v>0</v>
      </c>
      <c r="I47" s="234">
        <f>G47-H47</f>
        <v>0</v>
      </c>
      <c r="J47" s="232">
        <f t="shared" si="9"/>
        <v>0</v>
      </c>
      <c r="K47" s="232"/>
      <c r="L47" s="247"/>
      <c r="M47" s="236">
        <f t="shared" si="10"/>
        <v>0</v>
      </c>
      <c r="N47" s="232">
        <f t="shared" si="11"/>
        <v>0</v>
      </c>
      <c r="O47" s="239">
        <v>4</v>
      </c>
    </row>
    <row r="48" spans="1:15" x14ac:dyDescent="0.2">
      <c r="A48" s="237" t="s">
        <v>414</v>
      </c>
      <c r="B48" s="229">
        <v>454</v>
      </c>
      <c r="C48" s="238" t="s">
        <v>415</v>
      </c>
      <c r="D48" s="230" t="s">
        <v>416</v>
      </c>
      <c r="E48" s="231">
        <v>125992.97</v>
      </c>
      <c r="F48" s="232" t="str">
        <f>$J$2</f>
        <v>GRSM</v>
      </c>
      <c r="G48" s="232">
        <f t="shared" si="12"/>
        <v>0</v>
      </c>
      <c r="H48" s="234">
        <v>0</v>
      </c>
      <c r="I48" s="234">
        <f t="shared" si="8"/>
        <v>0</v>
      </c>
      <c r="J48" s="232">
        <f t="shared" si="9"/>
        <v>125992.97</v>
      </c>
      <c r="K48" s="259" t="s">
        <v>316</v>
      </c>
      <c r="L48" s="268">
        <v>21417.040000000001</v>
      </c>
      <c r="M48" s="236">
        <f>J48-L48</f>
        <v>104575.93</v>
      </c>
      <c r="N48" s="232">
        <f t="shared" si="11"/>
        <v>0</v>
      </c>
      <c r="O48" s="239">
        <v>2</v>
      </c>
    </row>
    <row r="49" spans="1:15" x14ac:dyDescent="0.2">
      <c r="A49" s="237" t="s">
        <v>417</v>
      </c>
      <c r="B49" s="229">
        <v>454</v>
      </c>
      <c r="C49" s="238" t="s">
        <v>418</v>
      </c>
      <c r="D49" s="230" t="s">
        <v>419</v>
      </c>
      <c r="E49" s="231">
        <v>0</v>
      </c>
      <c r="F49" s="232" t="str">
        <f>$J$2</f>
        <v>GRSM</v>
      </c>
      <c r="G49" s="232">
        <f t="shared" si="12"/>
        <v>0</v>
      </c>
      <c r="H49" s="234">
        <v>0</v>
      </c>
      <c r="I49" s="234">
        <f t="shared" si="8"/>
        <v>0</v>
      </c>
      <c r="J49" s="232">
        <f t="shared" si="9"/>
        <v>0</v>
      </c>
      <c r="K49" s="259" t="s">
        <v>316</v>
      </c>
      <c r="L49" s="268">
        <v>0</v>
      </c>
      <c r="M49" s="236">
        <f t="shared" ref="M49:M67" si="13">J49-L49</f>
        <v>0</v>
      </c>
      <c r="N49" s="232">
        <f t="shared" si="11"/>
        <v>0</v>
      </c>
      <c r="O49" s="239">
        <v>2</v>
      </c>
    </row>
    <row r="50" spans="1:15" x14ac:dyDescent="0.2">
      <c r="A50" s="237" t="s">
        <v>420</v>
      </c>
      <c r="B50" s="229">
        <v>454</v>
      </c>
      <c r="C50" s="238" t="s">
        <v>421</v>
      </c>
      <c r="D50" s="230" t="s">
        <v>422</v>
      </c>
      <c r="E50" s="231">
        <v>3813</v>
      </c>
      <c r="F50" s="232" t="str">
        <f>$J$2</f>
        <v>GRSM</v>
      </c>
      <c r="G50" s="232">
        <f t="shared" si="12"/>
        <v>0</v>
      </c>
      <c r="H50" s="234">
        <v>0</v>
      </c>
      <c r="I50" s="234">
        <f t="shared" si="8"/>
        <v>0</v>
      </c>
      <c r="J50" s="232">
        <f t="shared" si="9"/>
        <v>3813</v>
      </c>
      <c r="K50" s="259" t="s">
        <v>316</v>
      </c>
      <c r="L50" s="268">
        <v>13.7</v>
      </c>
      <c r="M50" s="236">
        <f t="shared" si="13"/>
        <v>3799.3</v>
      </c>
      <c r="N50" s="232">
        <f t="shared" si="11"/>
        <v>0</v>
      </c>
      <c r="O50" s="239">
        <v>2</v>
      </c>
    </row>
    <row r="51" spans="1:15" x14ac:dyDescent="0.2">
      <c r="A51" s="237" t="s">
        <v>423</v>
      </c>
      <c r="B51" s="229">
        <v>454</v>
      </c>
      <c r="C51" s="267" t="s">
        <v>424</v>
      </c>
      <c r="D51" s="230" t="s">
        <v>425</v>
      </c>
      <c r="E51" s="231">
        <v>42530.76</v>
      </c>
      <c r="F51" s="232" t="str">
        <f>$J$2</f>
        <v>GRSM</v>
      </c>
      <c r="G51" s="232">
        <f t="shared" si="12"/>
        <v>0</v>
      </c>
      <c r="H51" s="234">
        <v>0</v>
      </c>
      <c r="I51" s="234">
        <f t="shared" si="8"/>
        <v>0</v>
      </c>
      <c r="J51" s="232">
        <f t="shared" si="9"/>
        <v>42530.76</v>
      </c>
      <c r="K51" s="259" t="s">
        <v>316</v>
      </c>
      <c r="L51" s="268">
        <v>8349.94</v>
      </c>
      <c r="M51" s="236">
        <f t="shared" si="13"/>
        <v>34180.82</v>
      </c>
      <c r="N51" s="232">
        <f t="shared" si="11"/>
        <v>0</v>
      </c>
      <c r="O51" s="233">
        <v>2</v>
      </c>
    </row>
    <row r="52" spans="1:15" x14ac:dyDescent="0.2">
      <c r="A52" s="237" t="s">
        <v>426</v>
      </c>
      <c r="B52" s="229">
        <v>454</v>
      </c>
      <c r="C52" s="230" t="s">
        <v>427</v>
      </c>
      <c r="D52" s="230" t="s">
        <v>428</v>
      </c>
      <c r="E52" s="231">
        <v>1777927.13</v>
      </c>
      <c r="F52" s="232" t="str">
        <f>$G$2</f>
        <v>Traditional OOR</v>
      </c>
      <c r="G52" s="232">
        <f t="shared" si="12"/>
        <v>1777927.13</v>
      </c>
      <c r="H52" s="234">
        <v>0</v>
      </c>
      <c r="I52" s="234">
        <f t="shared" si="8"/>
        <v>1777927.13</v>
      </c>
      <c r="J52" s="232">
        <f t="shared" si="9"/>
        <v>0</v>
      </c>
      <c r="K52" s="232"/>
      <c r="L52" s="247"/>
      <c r="M52" s="236">
        <f t="shared" si="13"/>
        <v>0</v>
      </c>
      <c r="N52" s="232">
        <f t="shared" si="11"/>
        <v>0</v>
      </c>
      <c r="O52" s="233">
        <v>4</v>
      </c>
    </row>
    <row r="53" spans="1:15" x14ac:dyDescent="0.2">
      <c r="A53" s="237" t="s">
        <v>429</v>
      </c>
      <c r="B53" s="229">
        <v>454</v>
      </c>
      <c r="C53" s="238" t="s">
        <v>430</v>
      </c>
      <c r="D53" s="230" t="s">
        <v>431</v>
      </c>
      <c r="E53" s="231">
        <v>1491469.82</v>
      </c>
      <c r="F53" s="232" t="str">
        <f>$N$2</f>
        <v>Other Ratemaking</v>
      </c>
      <c r="G53" s="232">
        <f>I53+H53</f>
        <v>64043.714070800001</v>
      </c>
      <c r="H53" s="234">
        <f>E53*$D$237</f>
        <v>64043.714070800001</v>
      </c>
      <c r="I53" s="234">
        <v>0</v>
      </c>
      <c r="J53" s="232">
        <f t="shared" si="9"/>
        <v>0</v>
      </c>
      <c r="K53" s="232"/>
      <c r="L53" s="247"/>
      <c r="M53" s="236">
        <f t="shared" si="13"/>
        <v>0</v>
      </c>
      <c r="N53" s="232">
        <f>IF(F53=$N$2,E53-H53,0)</f>
        <v>1427426.1059292001</v>
      </c>
      <c r="O53" s="239" t="s">
        <v>432</v>
      </c>
    </row>
    <row r="54" spans="1:15" x14ac:dyDescent="0.2">
      <c r="A54" s="237" t="s">
        <v>433</v>
      </c>
      <c r="B54" s="229">
        <v>454</v>
      </c>
      <c r="C54" s="238" t="s">
        <v>434</v>
      </c>
      <c r="D54" s="230" t="s">
        <v>435</v>
      </c>
      <c r="E54" s="231">
        <v>0</v>
      </c>
      <c r="F54" s="232" t="str">
        <f>$G$2</f>
        <v>Traditional OOR</v>
      </c>
      <c r="G54" s="232">
        <f t="shared" si="12"/>
        <v>0</v>
      </c>
      <c r="H54" s="234">
        <f>E54*$D$237</f>
        <v>0</v>
      </c>
      <c r="I54" s="234">
        <f>G54-H54</f>
        <v>0</v>
      </c>
      <c r="J54" s="232">
        <f t="shared" si="9"/>
        <v>0</v>
      </c>
      <c r="K54" s="232"/>
      <c r="L54" s="247"/>
      <c r="M54" s="236">
        <f t="shared" si="13"/>
        <v>0</v>
      </c>
      <c r="N54" s="232">
        <f t="shared" si="11"/>
        <v>0</v>
      </c>
      <c r="O54" s="239">
        <v>7</v>
      </c>
    </row>
    <row r="55" spans="1:15" x14ac:dyDescent="0.2">
      <c r="A55" s="237" t="s">
        <v>436</v>
      </c>
      <c r="B55" s="229">
        <v>454</v>
      </c>
      <c r="C55" s="230" t="s">
        <v>437</v>
      </c>
      <c r="D55" s="230" t="s">
        <v>438</v>
      </c>
      <c r="E55" s="231">
        <v>1106310.3400000001</v>
      </c>
      <c r="F55" s="232" t="str">
        <f>$N$2</f>
        <v>Other Ratemaking</v>
      </c>
      <c r="G55" s="232">
        <f>I55+H55</f>
        <v>47504.965999600005</v>
      </c>
      <c r="H55" s="234">
        <f>E55*$D$237</f>
        <v>47504.965999600005</v>
      </c>
      <c r="I55" s="234">
        <v>0</v>
      </c>
      <c r="J55" s="232">
        <f t="shared" si="9"/>
        <v>0</v>
      </c>
      <c r="K55" s="232"/>
      <c r="L55" s="247"/>
      <c r="M55" s="234">
        <f t="shared" si="13"/>
        <v>0</v>
      </c>
      <c r="N55" s="232">
        <f>IF(F55=$N$2,E55-H55,0)</f>
        <v>1058805.3740004001</v>
      </c>
      <c r="O55" s="233" t="s">
        <v>432</v>
      </c>
    </row>
    <row r="56" spans="1:15" x14ac:dyDescent="0.2">
      <c r="A56" s="237" t="s">
        <v>439</v>
      </c>
      <c r="B56" s="229">
        <v>454</v>
      </c>
      <c r="C56" s="238" t="s">
        <v>440</v>
      </c>
      <c r="D56" s="230" t="s">
        <v>441</v>
      </c>
      <c r="E56" s="231">
        <v>4371.12</v>
      </c>
      <c r="F56" s="232" t="str">
        <f t="shared" ref="F56:F61" si="14">$G$2</f>
        <v>Traditional OOR</v>
      </c>
      <c r="G56" s="232">
        <f t="shared" si="12"/>
        <v>4371.12</v>
      </c>
      <c r="H56" s="234">
        <f>E56*$D$231</f>
        <v>187.6958928</v>
      </c>
      <c r="I56" s="234">
        <f t="shared" ref="I56:I67" si="15">G56-H56</f>
        <v>4183.4241071999995</v>
      </c>
      <c r="J56" s="232">
        <f t="shared" si="9"/>
        <v>0</v>
      </c>
      <c r="K56" s="232"/>
      <c r="L56" s="247"/>
      <c r="M56" s="236">
        <f t="shared" si="13"/>
        <v>0</v>
      </c>
      <c r="N56" s="232">
        <f t="shared" si="11"/>
        <v>0</v>
      </c>
      <c r="O56" s="239">
        <v>7</v>
      </c>
    </row>
    <row r="57" spans="1:15" x14ac:dyDescent="0.2">
      <c r="A57" s="237" t="s">
        <v>442</v>
      </c>
      <c r="B57" s="229">
        <v>454</v>
      </c>
      <c r="C57" s="238" t="s">
        <v>443</v>
      </c>
      <c r="D57" s="230" t="s">
        <v>444</v>
      </c>
      <c r="E57" s="231">
        <v>0</v>
      </c>
      <c r="F57" s="232" t="str">
        <f t="shared" si="14"/>
        <v>Traditional OOR</v>
      </c>
      <c r="G57" s="232">
        <f t="shared" si="12"/>
        <v>0</v>
      </c>
      <c r="H57" s="234">
        <v>0</v>
      </c>
      <c r="I57" s="234">
        <f t="shared" si="15"/>
        <v>0</v>
      </c>
      <c r="J57" s="232">
        <f t="shared" si="9"/>
        <v>0</v>
      </c>
      <c r="K57" s="232"/>
      <c r="L57" s="247"/>
      <c r="M57" s="236">
        <f t="shared" si="13"/>
        <v>0</v>
      </c>
      <c r="N57" s="232">
        <f t="shared" si="11"/>
        <v>0</v>
      </c>
      <c r="O57" s="239">
        <v>1</v>
      </c>
    </row>
    <row r="58" spans="1:15" x14ac:dyDescent="0.2">
      <c r="A58" s="237" t="s">
        <v>445</v>
      </c>
      <c r="B58" s="229">
        <v>454</v>
      </c>
      <c r="C58" s="238" t="s">
        <v>446</v>
      </c>
      <c r="D58" s="230" t="s">
        <v>447</v>
      </c>
      <c r="E58" s="231">
        <v>11431522.15</v>
      </c>
      <c r="F58" s="232" t="str">
        <f t="shared" si="14"/>
        <v>Traditional OOR</v>
      </c>
      <c r="G58" s="232">
        <f t="shared" si="12"/>
        <v>11431522.15</v>
      </c>
      <c r="H58" s="234">
        <v>0</v>
      </c>
      <c r="I58" s="234">
        <f t="shared" si="15"/>
        <v>11431522.15</v>
      </c>
      <c r="J58" s="232">
        <f t="shared" si="9"/>
        <v>0</v>
      </c>
      <c r="K58" s="232"/>
      <c r="L58" s="247"/>
      <c r="M58" s="236">
        <f t="shared" si="13"/>
        <v>0</v>
      </c>
      <c r="N58" s="232">
        <f t="shared" si="11"/>
        <v>0</v>
      </c>
      <c r="O58" s="239">
        <v>4</v>
      </c>
    </row>
    <row r="59" spans="1:15" x14ac:dyDescent="0.2">
      <c r="A59" s="237" t="s">
        <v>448</v>
      </c>
      <c r="B59" s="229">
        <v>454</v>
      </c>
      <c r="C59" s="238" t="s">
        <v>449</v>
      </c>
      <c r="D59" s="230" t="s">
        <v>450</v>
      </c>
      <c r="E59" s="231">
        <v>613140.66</v>
      </c>
      <c r="F59" s="232" t="str">
        <f t="shared" si="14"/>
        <v>Traditional OOR</v>
      </c>
      <c r="G59" s="232">
        <f t="shared" si="12"/>
        <v>613140.66</v>
      </c>
      <c r="H59" s="234">
        <v>0</v>
      </c>
      <c r="I59" s="234">
        <f>G59-H59</f>
        <v>613140.66</v>
      </c>
      <c r="J59" s="232">
        <f t="shared" si="9"/>
        <v>0</v>
      </c>
      <c r="K59" s="232"/>
      <c r="L59" s="247"/>
      <c r="M59" s="236">
        <f t="shared" si="13"/>
        <v>0</v>
      </c>
      <c r="N59" s="232">
        <f t="shared" si="11"/>
        <v>0</v>
      </c>
      <c r="O59" s="239">
        <v>4</v>
      </c>
    </row>
    <row r="60" spans="1:15" ht="13.5" thickBot="1" x14ac:dyDescent="0.25">
      <c r="A60" s="237" t="s">
        <v>451</v>
      </c>
      <c r="B60" s="229">
        <v>454</v>
      </c>
      <c r="C60" s="238" t="s">
        <v>452</v>
      </c>
      <c r="D60" s="230" t="s">
        <v>453</v>
      </c>
      <c r="E60" s="231">
        <v>23617586.989999998</v>
      </c>
      <c r="F60" s="232" t="str">
        <f t="shared" si="14"/>
        <v>Traditional OOR</v>
      </c>
      <c r="G60" s="232">
        <f t="shared" si="12"/>
        <v>23617586.989999998</v>
      </c>
      <c r="H60" s="269">
        <v>0</v>
      </c>
      <c r="I60" s="234">
        <f t="shared" si="15"/>
        <v>23617586.989999998</v>
      </c>
      <c r="J60" s="232">
        <f t="shared" si="9"/>
        <v>0</v>
      </c>
      <c r="K60" s="232"/>
      <c r="L60" s="247"/>
      <c r="M60" s="236">
        <f t="shared" si="13"/>
        <v>0</v>
      </c>
      <c r="N60" s="232">
        <f t="shared" si="11"/>
        <v>0</v>
      </c>
      <c r="O60" s="239">
        <v>4</v>
      </c>
    </row>
    <row r="61" spans="1:15" ht="13.5" thickBot="1" x14ac:dyDescent="0.25">
      <c r="A61" s="237" t="s">
        <v>454</v>
      </c>
      <c r="B61" s="229">
        <v>454</v>
      </c>
      <c r="C61" s="238" t="s">
        <v>455</v>
      </c>
      <c r="D61" s="230" t="s">
        <v>456</v>
      </c>
      <c r="E61" s="231">
        <v>15460832.390000001</v>
      </c>
      <c r="F61" s="232" t="str">
        <f t="shared" si="14"/>
        <v>Traditional OOR</v>
      </c>
      <c r="G61" s="270">
        <f t="shared" si="12"/>
        <v>15460832.390000001</v>
      </c>
      <c r="H61" s="271">
        <v>4243442.67</v>
      </c>
      <c r="I61" s="349">
        <f>G61-H61</f>
        <v>11217389.720000001</v>
      </c>
      <c r="J61" s="232">
        <f t="shared" si="9"/>
        <v>0</v>
      </c>
      <c r="K61" s="232"/>
      <c r="L61" s="247"/>
      <c r="M61" s="236">
        <f t="shared" si="13"/>
        <v>0</v>
      </c>
      <c r="N61" s="232">
        <f t="shared" si="11"/>
        <v>0</v>
      </c>
      <c r="O61" s="239">
        <v>8</v>
      </c>
    </row>
    <row r="62" spans="1:15" x14ac:dyDescent="0.2">
      <c r="A62" s="237" t="s">
        <v>457</v>
      </c>
      <c r="B62" s="229">
        <v>454</v>
      </c>
      <c r="C62" s="230" t="s">
        <v>458</v>
      </c>
      <c r="D62" s="230" t="s">
        <v>459</v>
      </c>
      <c r="E62" s="231">
        <v>17801245.75</v>
      </c>
      <c r="F62" s="232" t="str">
        <f>$J$2</f>
        <v>GRSM</v>
      </c>
      <c r="G62" s="232">
        <f t="shared" si="12"/>
        <v>0</v>
      </c>
      <c r="H62" s="273">
        <v>0</v>
      </c>
      <c r="I62" s="234">
        <f t="shared" si="15"/>
        <v>0</v>
      </c>
      <c r="J62" s="232">
        <f t="shared" si="9"/>
        <v>17801245.75</v>
      </c>
      <c r="K62" s="259" t="s">
        <v>316</v>
      </c>
      <c r="L62" s="268">
        <v>2509870.91</v>
      </c>
      <c r="M62" s="236">
        <f t="shared" si="13"/>
        <v>15291374.84</v>
      </c>
      <c r="N62" s="232">
        <f t="shared" si="11"/>
        <v>0</v>
      </c>
      <c r="O62" s="233">
        <v>2</v>
      </c>
    </row>
    <row r="63" spans="1:15" x14ac:dyDescent="0.2">
      <c r="A63" s="237" t="s">
        <v>460</v>
      </c>
      <c r="B63" s="229">
        <v>454</v>
      </c>
      <c r="C63" s="238" t="s">
        <v>461</v>
      </c>
      <c r="D63" s="230" t="s">
        <v>462</v>
      </c>
      <c r="E63" s="231">
        <v>0</v>
      </c>
      <c r="F63" s="232" t="str">
        <f>$G$2</f>
        <v>Traditional OOR</v>
      </c>
      <c r="G63" s="232">
        <f t="shared" si="12"/>
        <v>0</v>
      </c>
      <c r="H63" s="234">
        <v>0</v>
      </c>
      <c r="I63" s="234">
        <f t="shared" si="15"/>
        <v>0</v>
      </c>
      <c r="J63" s="232">
        <f t="shared" si="9"/>
        <v>0</v>
      </c>
      <c r="K63" s="232"/>
      <c r="L63" s="247"/>
      <c r="M63" s="236">
        <f t="shared" si="13"/>
        <v>0</v>
      </c>
      <c r="N63" s="232">
        <f t="shared" si="11"/>
        <v>0</v>
      </c>
      <c r="O63" s="233">
        <v>4</v>
      </c>
    </row>
    <row r="64" spans="1:15" x14ac:dyDescent="0.2">
      <c r="A64" s="237" t="s">
        <v>463</v>
      </c>
      <c r="B64" s="229">
        <v>454</v>
      </c>
      <c r="C64" s="228" t="s">
        <v>393</v>
      </c>
      <c r="D64" s="230" t="s">
        <v>394</v>
      </c>
      <c r="E64" s="231">
        <v>0</v>
      </c>
      <c r="F64" s="232" t="str">
        <f>$G$2</f>
        <v>Traditional OOR</v>
      </c>
      <c r="G64" s="232">
        <f t="shared" si="12"/>
        <v>0</v>
      </c>
      <c r="H64" s="234">
        <v>0</v>
      </c>
      <c r="I64" s="234">
        <f t="shared" si="15"/>
        <v>0</v>
      </c>
      <c r="J64" s="232">
        <f t="shared" si="9"/>
        <v>0</v>
      </c>
      <c r="K64" s="232"/>
      <c r="L64" s="247"/>
      <c r="M64" s="236">
        <f t="shared" si="13"/>
        <v>0</v>
      </c>
      <c r="N64" s="232">
        <f t="shared" si="11"/>
        <v>0</v>
      </c>
      <c r="O64" s="233">
        <v>1</v>
      </c>
    </row>
    <row r="65" spans="1:15" x14ac:dyDescent="0.2">
      <c r="A65" s="228" t="s">
        <v>464</v>
      </c>
      <c r="B65" s="229">
        <v>454</v>
      </c>
      <c r="C65" s="229">
        <v>4206515</v>
      </c>
      <c r="D65" s="260" t="s">
        <v>465</v>
      </c>
      <c r="E65" s="231">
        <v>654929.81999999995</v>
      </c>
      <c r="F65" s="232" t="s">
        <v>325</v>
      </c>
      <c r="G65" s="232">
        <f t="shared" si="12"/>
        <v>0</v>
      </c>
      <c r="H65" s="234">
        <v>0</v>
      </c>
      <c r="I65" s="234">
        <f t="shared" si="15"/>
        <v>0</v>
      </c>
      <c r="J65" s="232">
        <f t="shared" si="9"/>
        <v>654929.81999999995</v>
      </c>
      <c r="K65" s="232" t="s">
        <v>316</v>
      </c>
      <c r="L65" s="247">
        <v>303499.61</v>
      </c>
      <c r="M65" s="234">
        <f t="shared" si="13"/>
        <v>351430.20999999996</v>
      </c>
      <c r="N65" s="232">
        <f t="shared" si="11"/>
        <v>0</v>
      </c>
      <c r="O65" s="233">
        <v>2</v>
      </c>
    </row>
    <row r="66" spans="1:15" x14ac:dyDescent="0.2">
      <c r="A66" s="228" t="s">
        <v>466</v>
      </c>
      <c r="B66" s="229">
        <v>454</v>
      </c>
      <c r="C66" s="229">
        <v>4184122</v>
      </c>
      <c r="D66" s="260" t="s">
        <v>467</v>
      </c>
      <c r="E66" s="231">
        <v>1440</v>
      </c>
      <c r="F66" s="232" t="s">
        <v>324</v>
      </c>
      <c r="G66" s="232">
        <f t="shared" si="12"/>
        <v>1440</v>
      </c>
      <c r="H66" s="234">
        <v>0</v>
      </c>
      <c r="I66" s="234">
        <f t="shared" si="15"/>
        <v>1440</v>
      </c>
      <c r="J66" s="232">
        <f t="shared" si="9"/>
        <v>0</v>
      </c>
      <c r="K66" s="232"/>
      <c r="L66" s="247"/>
      <c r="M66" s="234">
        <f t="shared" si="13"/>
        <v>0</v>
      </c>
      <c r="N66" s="232">
        <f t="shared" si="11"/>
        <v>0</v>
      </c>
      <c r="O66" s="233">
        <v>4</v>
      </c>
    </row>
    <row r="67" spans="1:15" x14ac:dyDescent="0.2">
      <c r="A67" s="228" t="s">
        <v>468</v>
      </c>
      <c r="B67" s="229">
        <v>454</v>
      </c>
      <c r="C67" s="229">
        <v>4184124</v>
      </c>
      <c r="D67" s="260" t="s">
        <v>469</v>
      </c>
      <c r="E67" s="231">
        <v>53920</v>
      </c>
      <c r="F67" s="232" t="s">
        <v>324</v>
      </c>
      <c r="G67" s="232">
        <f t="shared" si="12"/>
        <v>53920</v>
      </c>
      <c r="H67" s="234">
        <v>0</v>
      </c>
      <c r="I67" s="234">
        <f t="shared" si="15"/>
        <v>53920</v>
      </c>
      <c r="J67" s="232">
        <f t="shared" si="9"/>
        <v>0</v>
      </c>
      <c r="K67" s="232"/>
      <c r="L67" s="247"/>
      <c r="M67" s="234">
        <f t="shared" si="13"/>
        <v>0</v>
      </c>
      <c r="N67" s="232">
        <f t="shared" si="11"/>
        <v>0</v>
      </c>
      <c r="O67" s="233">
        <v>4</v>
      </c>
    </row>
    <row r="68" spans="1:15" x14ac:dyDescent="0.2">
      <c r="A68" s="228"/>
      <c r="B68" s="229"/>
      <c r="C68" s="230"/>
      <c r="D68" s="260"/>
      <c r="E68" s="231"/>
      <c r="F68" s="231"/>
      <c r="G68" s="248"/>
      <c r="H68" s="247"/>
      <c r="I68" s="247"/>
      <c r="J68" s="231"/>
      <c r="K68" s="231"/>
      <c r="L68" s="247"/>
      <c r="M68" s="247"/>
      <c r="N68" s="231"/>
      <c r="O68" s="246"/>
    </row>
    <row r="69" spans="1:15" x14ac:dyDescent="0.2">
      <c r="A69" s="241"/>
      <c r="B69" s="242"/>
      <c r="C69" s="243"/>
      <c r="D69" s="244"/>
      <c r="E69" s="231"/>
      <c r="F69" s="231"/>
      <c r="G69" s="248"/>
      <c r="H69" s="247"/>
      <c r="I69" s="247"/>
      <c r="J69" s="231"/>
      <c r="K69" s="231"/>
      <c r="L69" s="247"/>
      <c r="M69" s="247"/>
      <c r="N69" s="231"/>
      <c r="O69" s="246"/>
    </row>
    <row r="70" spans="1:15" x14ac:dyDescent="0.2">
      <c r="A70" s="237">
        <v>11</v>
      </c>
      <c r="B70" s="507" t="s">
        <v>470</v>
      </c>
      <c r="C70" s="508"/>
      <c r="D70" s="509"/>
      <c r="E70" s="249">
        <f>SUM(E42:E69)</f>
        <v>78164119.609999985</v>
      </c>
      <c r="F70" s="250"/>
      <c r="G70" s="249">
        <f>SUM(G42:G69)</f>
        <v>57049375.830070399</v>
      </c>
      <c r="H70" s="274">
        <f>SUM(H42:H69)</f>
        <v>4355179.0459631998</v>
      </c>
      <c r="I70" s="274">
        <f>SUM(I42:I69)</f>
        <v>52694196.784107193</v>
      </c>
      <c r="J70" s="249">
        <f>SUM(J42:J69)</f>
        <v>18628512.300000001</v>
      </c>
      <c r="K70" s="250"/>
      <c r="L70" s="249">
        <f>SUM(L42:L69)</f>
        <v>2843151.2</v>
      </c>
      <c r="M70" s="249">
        <f>SUM(M42:M69)</f>
        <v>15785361.100000001</v>
      </c>
      <c r="N70" s="249">
        <f>SUM(N42:N69)</f>
        <v>2486231.4799295999</v>
      </c>
      <c r="O70" s="213"/>
    </row>
    <row r="71" spans="1:15" ht="24.75" customHeight="1" x14ac:dyDescent="0.2">
      <c r="A71" s="237">
        <v>12</v>
      </c>
      <c r="B71" s="501" t="s">
        <v>471</v>
      </c>
      <c r="C71" s="502"/>
      <c r="D71" s="503"/>
      <c r="E71" s="252">
        <v>78164120</v>
      </c>
      <c r="F71" s="253"/>
      <c r="G71" s="275"/>
      <c r="H71" s="253"/>
      <c r="I71" s="253"/>
      <c r="J71" s="254"/>
      <c r="K71" s="253"/>
      <c r="L71" s="254"/>
      <c r="M71" s="254"/>
      <c r="N71" s="254"/>
      <c r="O71" s="165"/>
    </row>
    <row r="72" spans="1:15" x14ac:dyDescent="0.2">
      <c r="A72" s="255"/>
      <c r="B72" s="256"/>
      <c r="C72" s="257"/>
      <c r="D72" s="258"/>
      <c r="E72" s="254"/>
      <c r="F72" s="254"/>
      <c r="G72" s="254"/>
      <c r="H72" s="253"/>
      <c r="I72" s="253"/>
      <c r="J72" s="254"/>
      <c r="K72" s="253"/>
      <c r="L72" s="254"/>
      <c r="M72" s="254"/>
      <c r="N72" s="254"/>
      <c r="O72" s="165"/>
    </row>
    <row r="73" spans="1:15" x14ac:dyDescent="0.2">
      <c r="A73" s="237" t="s">
        <v>472</v>
      </c>
      <c r="B73" s="229">
        <v>456</v>
      </c>
      <c r="C73" s="238" t="s">
        <v>473</v>
      </c>
      <c r="D73" s="230" t="s">
        <v>474</v>
      </c>
      <c r="E73" s="231">
        <v>2800953.08</v>
      </c>
      <c r="F73" s="232" t="str">
        <f t="shared" ref="F73:F81" si="16">$G$2</f>
        <v>Traditional OOR</v>
      </c>
      <c r="G73" s="232">
        <f t="shared" ref="G73:G128" si="17">IF(F73=$G$2,E73,0)</f>
        <v>2800953.08</v>
      </c>
      <c r="H73" s="234">
        <v>0</v>
      </c>
      <c r="I73" s="234">
        <f t="shared" ref="I73:I128" si="18">G73-H73</f>
        <v>2800953.08</v>
      </c>
      <c r="J73" s="232">
        <f t="shared" ref="J73:J128" si="19">IF(F73=$J$2,E73,0)</f>
        <v>0</v>
      </c>
      <c r="K73" s="232"/>
      <c r="L73" s="247"/>
      <c r="M73" s="236">
        <f>J73-L73</f>
        <v>0</v>
      </c>
      <c r="N73" s="232">
        <f t="shared" ref="N73:N128" si="20">IF(F73=$N$2,E73,0)</f>
        <v>0</v>
      </c>
      <c r="O73" s="239">
        <v>1</v>
      </c>
    </row>
    <row r="74" spans="1:15" x14ac:dyDescent="0.2">
      <c r="A74" s="237" t="s">
        <v>475</v>
      </c>
      <c r="B74" s="229">
        <v>456</v>
      </c>
      <c r="C74" s="238" t="s">
        <v>476</v>
      </c>
      <c r="D74" s="230" t="s">
        <v>477</v>
      </c>
      <c r="E74" s="231">
        <v>3145721.81</v>
      </c>
      <c r="F74" s="232" t="str">
        <f t="shared" si="16"/>
        <v>Traditional OOR</v>
      </c>
      <c r="G74" s="232">
        <f t="shared" si="17"/>
        <v>3145721.81</v>
      </c>
      <c r="H74" s="234">
        <v>0</v>
      </c>
      <c r="I74" s="234">
        <f t="shared" si="18"/>
        <v>3145721.81</v>
      </c>
      <c r="J74" s="232">
        <f t="shared" si="19"/>
        <v>0</v>
      </c>
      <c r="K74" s="232"/>
      <c r="L74" s="247"/>
      <c r="M74" s="236">
        <f t="shared" ref="M74:M124" si="21">J74-L74</f>
        <v>0</v>
      </c>
      <c r="N74" s="232">
        <f t="shared" si="20"/>
        <v>0</v>
      </c>
      <c r="O74" s="239">
        <v>4</v>
      </c>
    </row>
    <row r="75" spans="1:15" x14ac:dyDescent="0.2">
      <c r="A75" s="237" t="s">
        <v>478</v>
      </c>
      <c r="B75" s="229">
        <v>456</v>
      </c>
      <c r="C75" s="238" t="s">
        <v>479</v>
      </c>
      <c r="D75" s="230" t="s">
        <v>480</v>
      </c>
      <c r="E75" s="231">
        <v>660207.73</v>
      </c>
      <c r="F75" s="232" t="str">
        <f t="shared" si="16"/>
        <v>Traditional OOR</v>
      </c>
      <c r="G75" s="232">
        <f t="shared" si="17"/>
        <v>660207.73</v>
      </c>
      <c r="H75" s="234">
        <v>0</v>
      </c>
      <c r="I75" s="234">
        <f t="shared" si="18"/>
        <v>660207.73</v>
      </c>
      <c r="J75" s="232">
        <f t="shared" si="19"/>
        <v>0</v>
      </c>
      <c r="K75" s="232"/>
      <c r="L75" s="247"/>
      <c r="M75" s="236">
        <f t="shared" si="21"/>
        <v>0</v>
      </c>
      <c r="N75" s="232">
        <f t="shared" si="20"/>
        <v>0</v>
      </c>
      <c r="O75" s="239">
        <v>4</v>
      </c>
    </row>
    <row r="76" spans="1:15" x14ac:dyDescent="0.2">
      <c r="A76" s="237" t="s">
        <v>481</v>
      </c>
      <c r="B76" s="229">
        <v>456</v>
      </c>
      <c r="C76" s="238" t="s">
        <v>482</v>
      </c>
      <c r="D76" s="230" t="s">
        <v>483</v>
      </c>
      <c r="E76" s="231">
        <v>0</v>
      </c>
      <c r="F76" s="232" t="str">
        <f t="shared" si="16"/>
        <v>Traditional OOR</v>
      </c>
      <c r="G76" s="232">
        <f t="shared" si="17"/>
        <v>0</v>
      </c>
      <c r="H76" s="234">
        <v>0</v>
      </c>
      <c r="I76" s="234">
        <f t="shared" si="18"/>
        <v>0</v>
      </c>
      <c r="J76" s="232">
        <f t="shared" si="19"/>
        <v>0</v>
      </c>
      <c r="K76" s="232"/>
      <c r="L76" s="247"/>
      <c r="M76" s="236">
        <f t="shared" si="21"/>
        <v>0</v>
      </c>
      <c r="N76" s="232">
        <f t="shared" si="20"/>
        <v>0</v>
      </c>
      <c r="O76" s="239">
        <v>3</v>
      </c>
    </row>
    <row r="77" spans="1:15" x14ac:dyDescent="0.2">
      <c r="A77" s="228" t="s">
        <v>484</v>
      </c>
      <c r="B77" s="229">
        <v>456</v>
      </c>
      <c r="C77" s="230" t="s">
        <v>485</v>
      </c>
      <c r="D77" s="230" t="s">
        <v>486</v>
      </c>
      <c r="E77" s="231">
        <v>160</v>
      </c>
      <c r="F77" s="232" t="str">
        <f t="shared" si="16"/>
        <v>Traditional OOR</v>
      </c>
      <c r="G77" s="232">
        <f t="shared" si="17"/>
        <v>160</v>
      </c>
      <c r="H77" s="234">
        <v>0</v>
      </c>
      <c r="I77" s="234">
        <f t="shared" si="18"/>
        <v>160</v>
      </c>
      <c r="J77" s="232">
        <f t="shared" si="19"/>
        <v>0</v>
      </c>
      <c r="K77" s="232"/>
      <c r="L77" s="247"/>
      <c r="M77" s="236">
        <f t="shared" si="21"/>
        <v>0</v>
      </c>
      <c r="N77" s="232">
        <f t="shared" si="20"/>
        <v>0</v>
      </c>
      <c r="O77" s="239">
        <v>1</v>
      </c>
    </row>
    <row r="78" spans="1:15" x14ac:dyDescent="0.2">
      <c r="A78" s="228" t="s">
        <v>487</v>
      </c>
      <c r="B78" s="229">
        <v>456</v>
      </c>
      <c r="C78" s="230" t="s">
        <v>488</v>
      </c>
      <c r="D78" s="230" t="s">
        <v>489</v>
      </c>
      <c r="E78" s="231">
        <v>1648221</v>
      </c>
      <c r="F78" s="232" t="str">
        <f t="shared" si="16"/>
        <v>Traditional OOR</v>
      </c>
      <c r="G78" s="232">
        <f t="shared" si="17"/>
        <v>1648221</v>
      </c>
      <c r="H78" s="234">
        <v>0</v>
      </c>
      <c r="I78" s="234">
        <f t="shared" si="18"/>
        <v>1648221</v>
      </c>
      <c r="J78" s="232">
        <f t="shared" si="19"/>
        <v>0</v>
      </c>
      <c r="K78" s="232"/>
      <c r="L78" s="247"/>
      <c r="M78" s="236">
        <f t="shared" si="21"/>
        <v>0</v>
      </c>
      <c r="N78" s="232">
        <f t="shared" si="20"/>
        <v>0</v>
      </c>
      <c r="O78" s="239">
        <v>1</v>
      </c>
    </row>
    <row r="79" spans="1:15" x14ac:dyDescent="0.2">
      <c r="A79" s="228" t="s">
        <v>490</v>
      </c>
      <c r="B79" s="229">
        <v>456</v>
      </c>
      <c r="C79" s="230" t="s">
        <v>491</v>
      </c>
      <c r="D79" s="230" t="s">
        <v>492</v>
      </c>
      <c r="E79" s="231">
        <v>600</v>
      </c>
      <c r="F79" s="232" t="str">
        <f t="shared" si="16"/>
        <v>Traditional OOR</v>
      </c>
      <c r="G79" s="232">
        <f t="shared" si="17"/>
        <v>600</v>
      </c>
      <c r="H79" s="234">
        <v>0</v>
      </c>
      <c r="I79" s="234">
        <f t="shared" si="18"/>
        <v>600</v>
      </c>
      <c r="J79" s="232">
        <f t="shared" si="19"/>
        <v>0</v>
      </c>
      <c r="K79" s="232"/>
      <c r="L79" s="247"/>
      <c r="M79" s="236">
        <f t="shared" si="21"/>
        <v>0</v>
      </c>
      <c r="N79" s="232">
        <f t="shared" si="20"/>
        <v>0</v>
      </c>
      <c r="O79" s="239">
        <v>3</v>
      </c>
    </row>
    <row r="80" spans="1:15" x14ac:dyDescent="0.2">
      <c r="A80" s="228" t="s">
        <v>493</v>
      </c>
      <c r="B80" s="229">
        <v>456</v>
      </c>
      <c r="C80" s="229">
        <v>4186142</v>
      </c>
      <c r="D80" s="230" t="s">
        <v>494</v>
      </c>
      <c r="E80" s="231">
        <v>3427.67</v>
      </c>
      <c r="F80" s="232" t="str">
        <f t="shared" si="16"/>
        <v>Traditional OOR</v>
      </c>
      <c r="G80" s="232">
        <f>IF(F80=$G$2,E80,0)</f>
        <v>3427.67</v>
      </c>
      <c r="H80" s="234">
        <v>0</v>
      </c>
      <c r="I80" s="234">
        <f>G80-H80</f>
        <v>3427.67</v>
      </c>
      <c r="J80" s="232">
        <f t="shared" si="19"/>
        <v>0</v>
      </c>
      <c r="K80" s="232"/>
      <c r="L80" s="247"/>
      <c r="M80" s="236">
        <f t="shared" si="21"/>
        <v>0</v>
      </c>
      <c r="N80" s="232">
        <f t="shared" si="20"/>
        <v>0</v>
      </c>
      <c r="O80" s="239">
        <v>4</v>
      </c>
    </row>
    <row r="81" spans="1:15" x14ac:dyDescent="0.2">
      <c r="A81" s="228" t="s">
        <v>495</v>
      </c>
      <c r="B81" s="229">
        <v>456</v>
      </c>
      <c r="C81" s="230" t="s">
        <v>496</v>
      </c>
      <c r="D81" s="230" t="s">
        <v>497</v>
      </c>
      <c r="E81" s="231">
        <v>0</v>
      </c>
      <c r="F81" s="232" t="str">
        <f t="shared" si="16"/>
        <v>Traditional OOR</v>
      </c>
      <c r="G81" s="232">
        <f t="shared" si="17"/>
        <v>0</v>
      </c>
      <c r="H81" s="234">
        <f>E81*$D$231</f>
        <v>0</v>
      </c>
      <c r="I81" s="234">
        <f t="shared" si="18"/>
        <v>0</v>
      </c>
      <c r="J81" s="232">
        <f t="shared" si="19"/>
        <v>0</v>
      </c>
      <c r="K81" s="232"/>
      <c r="L81" s="247"/>
      <c r="M81" s="236">
        <f t="shared" si="21"/>
        <v>0</v>
      </c>
      <c r="N81" s="232">
        <f t="shared" si="20"/>
        <v>0</v>
      </c>
      <c r="O81" s="239">
        <v>7</v>
      </c>
    </row>
    <row r="82" spans="1:15" x14ac:dyDescent="0.2">
      <c r="A82" s="228" t="s">
        <v>498</v>
      </c>
      <c r="B82" s="229">
        <v>456</v>
      </c>
      <c r="C82" s="230" t="s">
        <v>499</v>
      </c>
      <c r="D82" s="230" t="s">
        <v>500</v>
      </c>
      <c r="E82" s="231">
        <v>216765.11</v>
      </c>
      <c r="F82" s="232" t="str">
        <f>$N$2</f>
        <v>Other Ratemaking</v>
      </c>
      <c r="G82" s="232">
        <f>I82+H82</f>
        <v>9307.8938233999997</v>
      </c>
      <c r="H82" s="234">
        <f>E82*$D$237</f>
        <v>9307.8938233999997</v>
      </c>
      <c r="I82" s="234">
        <v>0</v>
      </c>
      <c r="J82" s="232">
        <f t="shared" si="19"/>
        <v>0</v>
      </c>
      <c r="K82" s="232"/>
      <c r="L82" s="247"/>
      <c r="M82" s="236">
        <f t="shared" si="21"/>
        <v>0</v>
      </c>
      <c r="N82" s="232">
        <f>IF(F82=$N$2,E82-H82,0)</f>
        <v>207457.21617659999</v>
      </c>
      <c r="O82" s="239" t="s">
        <v>432</v>
      </c>
    </row>
    <row r="83" spans="1:15" x14ac:dyDescent="0.2">
      <c r="A83" s="228" t="s">
        <v>501</v>
      </c>
      <c r="B83" s="229">
        <v>456</v>
      </c>
      <c r="C83" s="230" t="s">
        <v>502</v>
      </c>
      <c r="D83" s="230" t="s">
        <v>503</v>
      </c>
      <c r="E83" s="231">
        <v>1446.92</v>
      </c>
      <c r="F83" s="232" t="str">
        <f t="shared" ref="F83:F88" si="22">$G$2</f>
        <v>Traditional OOR</v>
      </c>
      <c r="G83" s="232">
        <f t="shared" si="17"/>
        <v>1446.92</v>
      </c>
      <c r="H83" s="234">
        <v>0</v>
      </c>
      <c r="I83" s="234">
        <f t="shared" si="18"/>
        <v>1446.92</v>
      </c>
      <c r="J83" s="232">
        <f t="shared" si="19"/>
        <v>0</v>
      </c>
      <c r="K83" s="232"/>
      <c r="L83" s="247"/>
      <c r="M83" s="236">
        <f t="shared" si="21"/>
        <v>0</v>
      </c>
      <c r="N83" s="232">
        <f t="shared" si="20"/>
        <v>0</v>
      </c>
      <c r="O83" s="239">
        <v>4</v>
      </c>
    </row>
    <row r="84" spans="1:15" x14ac:dyDescent="0.2">
      <c r="A84" s="228" t="s">
        <v>504</v>
      </c>
      <c r="B84" s="229">
        <v>456</v>
      </c>
      <c r="C84" s="230" t="s">
        <v>505</v>
      </c>
      <c r="D84" s="230" t="s">
        <v>506</v>
      </c>
      <c r="E84" s="231">
        <v>14522</v>
      </c>
      <c r="F84" s="232" t="str">
        <f t="shared" si="22"/>
        <v>Traditional OOR</v>
      </c>
      <c r="G84" s="232">
        <f t="shared" si="17"/>
        <v>14522</v>
      </c>
      <c r="H84" s="234">
        <v>0</v>
      </c>
      <c r="I84" s="234">
        <f t="shared" si="18"/>
        <v>14522</v>
      </c>
      <c r="J84" s="232">
        <f t="shared" si="19"/>
        <v>0</v>
      </c>
      <c r="K84" s="232"/>
      <c r="L84" s="247"/>
      <c r="M84" s="236">
        <f t="shared" si="21"/>
        <v>0</v>
      </c>
      <c r="N84" s="232">
        <f t="shared" si="20"/>
        <v>0</v>
      </c>
      <c r="O84" s="239">
        <v>4</v>
      </c>
    </row>
    <row r="85" spans="1:15" x14ac:dyDescent="0.2">
      <c r="A85" s="228" t="s">
        <v>507</v>
      </c>
      <c r="B85" s="229">
        <v>456</v>
      </c>
      <c r="C85" s="230" t="s">
        <v>508</v>
      </c>
      <c r="D85" s="230" t="s">
        <v>509</v>
      </c>
      <c r="E85" s="231">
        <v>4388</v>
      </c>
      <c r="F85" s="232" t="str">
        <f t="shared" si="22"/>
        <v>Traditional OOR</v>
      </c>
      <c r="G85" s="232">
        <f t="shared" si="17"/>
        <v>4388</v>
      </c>
      <c r="H85" s="234">
        <v>0</v>
      </c>
      <c r="I85" s="234">
        <f t="shared" si="18"/>
        <v>4388</v>
      </c>
      <c r="J85" s="232">
        <f t="shared" si="19"/>
        <v>0</v>
      </c>
      <c r="K85" s="232"/>
      <c r="L85" s="247"/>
      <c r="M85" s="236">
        <f t="shared" si="21"/>
        <v>0</v>
      </c>
      <c r="N85" s="232">
        <f t="shared" si="20"/>
        <v>0</v>
      </c>
      <c r="O85" s="239">
        <v>4</v>
      </c>
    </row>
    <row r="86" spans="1:15" x14ac:dyDescent="0.2">
      <c r="A86" s="228" t="s">
        <v>510</v>
      </c>
      <c r="B86" s="229">
        <v>456</v>
      </c>
      <c r="C86" s="230" t="s">
        <v>511</v>
      </c>
      <c r="D86" s="230" t="s">
        <v>512</v>
      </c>
      <c r="E86" s="231">
        <v>993.08</v>
      </c>
      <c r="F86" s="232" t="str">
        <f t="shared" si="22"/>
        <v>Traditional OOR</v>
      </c>
      <c r="G86" s="232">
        <f t="shared" si="17"/>
        <v>993.08</v>
      </c>
      <c r="H86" s="234">
        <v>0</v>
      </c>
      <c r="I86" s="234">
        <f t="shared" si="18"/>
        <v>993.08</v>
      </c>
      <c r="J86" s="232">
        <f t="shared" si="19"/>
        <v>0</v>
      </c>
      <c r="K86" s="232"/>
      <c r="L86" s="247"/>
      <c r="M86" s="236">
        <f t="shared" si="21"/>
        <v>0</v>
      </c>
      <c r="N86" s="232">
        <f t="shared" si="20"/>
        <v>0</v>
      </c>
      <c r="O86" s="239">
        <v>4</v>
      </c>
    </row>
    <row r="87" spans="1:15" x14ac:dyDescent="0.2">
      <c r="A87" s="228" t="s">
        <v>513</v>
      </c>
      <c r="B87" s="229">
        <v>456</v>
      </c>
      <c r="C87" s="230" t="s">
        <v>514</v>
      </c>
      <c r="D87" s="230" t="s">
        <v>515</v>
      </c>
      <c r="E87" s="231">
        <v>845</v>
      </c>
      <c r="F87" s="232" t="str">
        <f t="shared" si="22"/>
        <v>Traditional OOR</v>
      </c>
      <c r="G87" s="232">
        <f t="shared" si="17"/>
        <v>845</v>
      </c>
      <c r="H87" s="234">
        <v>0</v>
      </c>
      <c r="I87" s="234">
        <f t="shared" si="18"/>
        <v>845</v>
      </c>
      <c r="J87" s="232">
        <f t="shared" si="19"/>
        <v>0</v>
      </c>
      <c r="K87" s="232"/>
      <c r="L87" s="247"/>
      <c r="M87" s="236">
        <f t="shared" si="21"/>
        <v>0</v>
      </c>
      <c r="N87" s="232">
        <f t="shared" si="20"/>
        <v>0</v>
      </c>
      <c r="O87" s="239">
        <v>4</v>
      </c>
    </row>
    <row r="88" spans="1:15" x14ac:dyDescent="0.2">
      <c r="A88" s="228" t="s">
        <v>516</v>
      </c>
      <c r="B88" s="229">
        <v>456</v>
      </c>
      <c r="C88" s="230" t="s">
        <v>517</v>
      </c>
      <c r="D88" s="230" t="s">
        <v>518</v>
      </c>
      <c r="E88" s="231">
        <v>208656</v>
      </c>
      <c r="F88" s="232" t="str">
        <f t="shared" si="22"/>
        <v>Traditional OOR</v>
      </c>
      <c r="G88" s="232">
        <f t="shared" si="17"/>
        <v>208656</v>
      </c>
      <c r="H88" s="234">
        <v>0</v>
      </c>
      <c r="I88" s="234">
        <f t="shared" si="18"/>
        <v>208656</v>
      </c>
      <c r="J88" s="232">
        <f t="shared" si="19"/>
        <v>0</v>
      </c>
      <c r="K88" s="232"/>
      <c r="L88" s="247"/>
      <c r="M88" s="236">
        <f t="shared" si="21"/>
        <v>0</v>
      </c>
      <c r="N88" s="232">
        <f t="shared" si="20"/>
        <v>0</v>
      </c>
      <c r="O88" s="239">
        <v>4</v>
      </c>
    </row>
    <row r="89" spans="1:15" x14ac:dyDescent="0.2">
      <c r="A89" s="228" t="s">
        <v>519</v>
      </c>
      <c r="B89" s="229">
        <v>456</v>
      </c>
      <c r="C89" s="230" t="s">
        <v>520</v>
      </c>
      <c r="D89" s="230" t="s">
        <v>521</v>
      </c>
      <c r="E89" s="231">
        <v>1440961.62</v>
      </c>
      <c r="F89" s="232" t="str">
        <f t="shared" ref="F89:F102" si="23">$J$2</f>
        <v>GRSM</v>
      </c>
      <c r="G89" s="232">
        <f t="shared" si="17"/>
        <v>0</v>
      </c>
      <c r="H89" s="234">
        <v>0</v>
      </c>
      <c r="I89" s="234">
        <f t="shared" si="18"/>
        <v>0</v>
      </c>
      <c r="J89" s="232">
        <f t="shared" si="19"/>
        <v>1440961.62</v>
      </c>
      <c r="K89" s="259" t="s">
        <v>316</v>
      </c>
      <c r="L89" s="268">
        <v>221504.92</v>
      </c>
      <c r="M89" s="236">
        <f t="shared" si="21"/>
        <v>1219456.7000000002</v>
      </c>
      <c r="N89" s="232">
        <f t="shared" si="20"/>
        <v>0</v>
      </c>
      <c r="O89" s="239">
        <v>2</v>
      </c>
    </row>
    <row r="90" spans="1:15" x14ac:dyDescent="0.2">
      <c r="A90" s="228" t="s">
        <v>522</v>
      </c>
      <c r="B90" s="229">
        <v>456</v>
      </c>
      <c r="C90" s="230" t="s">
        <v>523</v>
      </c>
      <c r="D90" s="230" t="s">
        <v>524</v>
      </c>
      <c r="E90" s="231">
        <v>126984.12</v>
      </c>
      <c r="F90" s="232" t="str">
        <f t="shared" si="23"/>
        <v>GRSM</v>
      </c>
      <c r="G90" s="232">
        <f t="shared" si="17"/>
        <v>0</v>
      </c>
      <c r="H90" s="234">
        <v>0</v>
      </c>
      <c r="I90" s="234">
        <f t="shared" si="18"/>
        <v>0</v>
      </c>
      <c r="J90" s="232">
        <f t="shared" si="19"/>
        <v>126984.12</v>
      </c>
      <c r="K90" s="259" t="s">
        <v>316</v>
      </c>
      <c r="L90" s="268">
        <v>13168.18</v>
      </c>
      <c r="M90" s="236">
        <f t="shared" si="21"/>
        <v>113815.94</v>
      </c>
      <c r="N90" s="232">
        <f t="shared" si="20"/>
        <v>0</v>
      </c>
      <c r="O90" s="239">
        <v>2</v>
      </c>
    </row>
    <row r="91" spans="1:15" x14ac:dyDescent="0.2">
      <c r="A91" s="228" t="s">
        <v>525</v>
      </c>
      <c r="B91" s="229">
        <v>456</v>
      </c>
      <c r="C91" s="230" t="s">
        <v>526</v>
      </c>
      <c r="D91" s="230" t="s">
        <v>527</v>
      </c>
      <c r="E91" s="231">
        <v>36345</v>
      </c>
      <c r="F91" s="232" t="str">
        <f t="shared" si="23"/>
        <v>GRSM</v>
      </c>
      <c r="G91" s="232">
        <f t="shared" si="17"/>
        <v>0</v>
      </c>
      <c r="H91" s="234">
        <v>0</v>
      </c>
      <c r="I91" s="234">
        <f t="shared" si="18"/>
        <v>0</v>
      </c>
      <c r="J91" s="232">
        <f t="shared" si="19"/>
        <v>36345</v>
      </c>
      <c r="K91" s="259" t="s">
        <v>316</v>
      </c>
      <c r="L91" s="247">
        <v>6422.74</v>
      </c>
      <c r="M91" s="236">
        <f t="shared" si="21"/>
        <v>29922.260000000002</v>
      </c>
      <c r="N91" s="232">
        <f t="shared" si="20"/>
        <v>0</v>
      </c>
      <c r="O91" s="239">
        <v>2</v>
      </c>
    </row>
    <row r="92" spans="1:15" x14ac:dyDescent="0.2">
      <c r="A92" s="228" t="s">
        <v>528</v>
      </c>
      <c r="B92" s="229">
        <v>456</v>
      </c>
      <c r="C92" s="230" t="s">
        <v>529</v>
      </c>
      <c r="D92" s="230" t="s">
        <v>530</v>
      </c>
      <c r="E92" s="231">
        <v>0</v>
      </c>
      <c r="F92" s="232" t="str">
        <f t="shared" si="23"/>
        <v>GRSM</v>
      </c>
      <c r="G92" s="232">
        <f t="shared" si="17"/>
        <v>0</v>
      </c>
      <c r="H92" s="234">
        <v>0</v>
      </c>
      <c r="I92" s="234">
        <f t="shared" si="18"/>
        <v>0</v>
      </c>
      <c r="J92" s="232">
        <f t="shared" si="19"/>
        <v>0</v>
      </c>
      <c r="K92" s="259" t="s">
        <v>316</v>
      </c>
      <c r="L92" s="247">
        <v>0</v>
      </c>
      <c r="M92" s="236">
        <f t="shared" si="21"/>
        <v>0</v>
      </c>
      <c r="N92" s="232">
        <f t="shared" si="20"/>
        <v>0</v>
      </c>
      <c r="O92" s="233">
        <v>2</v>
      </c>
    </row>
    <row r="93" spans="1:15" x14ac:dyDescent="0.2">
      <c r="A93" s="228" t="s">
        <v>531</v>
      </c>
      <c r="B93" s="229">
        <v>456</v>
      </c>
      <c r="C93" s="230" t="s">
        <v>532</v>
      </c>
      <c r="D93" s="230" t="s">
        <v>533</v>
      </c>
      <c r="E93" s="231">
        <v>2665.56</v>
      </c>
      <c r="F93" s="232" t="str">
        <f t="shared" si="23"/>
        <v>GRSM</v>
      </c>
      <c r="G93" s="232">
        <f t="shared" si="17"/>
        <v>0</v>
      </c>
      <c r="H93" s="234">
        <v>0</v>
      </c>
      <c r="I93" s="234">
        <f t="shared" si="18"/>
        <v>0</v>
      </c>
      <c r="J93" s="232">
        <f t="shared" si="19"/>
        <v>2665.56</v>
      </c>
      <c r="K93" s="259" t="s">
        <v>316</v>
      </c>
      <c r="L93" s="247">
        <v>35.590000000000003</v>
      </c>
      <c r="M93" s="236">
        <f t="shared" si="21"/>
        <v>2629.97</v>
      </c>
      <c r="N93" s="232">
        <f t="shared" si="20"/>
        <v>0</v>
      </c>
      <c r="O93" s="239">
        <v>2</v>
      </c>
    </row>
    <row r="94" spans="1:15" x14ac:dyDescent="0.2">
      <c r="A94" s="228" t="s">
        <v>534</v>
      </c>
      <c r="B94" s="229">
        <v>456</v>
      </c>
      <c r="C94" s="230" t="s">
        <v>535</v>
      </c>
      <c r="D94" s="230" t="s">
        <v>536</v>
      </c>
      <c r="E94" s="231">
        <v>2600</v>
      </c>
      <c r="F94" s="232" t="str">
        <f t="shared" si="23"/>
        <v>GRSM</v>
      </c>
      <c r="G94" s="232">
        <f t="shared" si="17"/>
        <v>0</v>
      </c>
      <c r="H94" s="234">
        <v>0</v>
      </c>
      <c r="I94" s="234">
        <f t="shared" si="18"/>
        <v>0</v>
      </c>
      <c r="J94" s="232">
        <f t="shared" si="19"/>
        <v>2600</v>
      </c>
      <c r="K94" s="259" t="s">
        <v>316</v>
      </c>
      <c r="L94" s="247">
        <v>0</v>
      </c>
      <c r="M94" s="236">
        <f t="shared" si="21"/>
        <v>2600</v>
      </c>
      <c r="N94" s="232">
        <f t="shared" si="20"/>
        <v>0</v>
      </c>
      <c r="O94" s="239">
        <v>2</v>
      </c>
    </row>
    <row r="95" spans="1:15" x14ac:dyDescent="0.2">
      <c r="A95" s="228" t="s">
        <v>537</v>
      </c>
      <c r="B95" s="229">
        <v>456</v>
      </c>
      <c r="C95" s="230" t="s">
        <v>538</v>
      </c>
      <c r="D95" s="230" t="s">
        <v>539</v>
      </c>
      <c r="E95" s="231">
        <v>5590</v>
      </c>
      <c r="F95" s="232" t="str">
        <f t="shared" si="23"/>
        <v>GRSM</v>
      </c>
      <c r="G95" s="232">
        <f t="shared" si="17"/>
        <v>0</v>
      </c>
      <c r="H95" s="234">
        <v>0</v>
      </c>
      <c r="I95" s="234">
        <f t="shared" si="18"/>
        <v>0</v>
      </c>
      <c r="J95" s="232">
        <f t="shared" si="19"/>
        <v>5590</v>
      </c>
      <c r="K95" s="259" t="s">
        <v>316</v>
      </c>
      <c r="L95" s="247">
        <v>2270.31</v>
      </c>
      <c r="M95" s="236">
        <f t="shared" si="21"/>
        <v>3319.69</v>
      </c>
      <c r="N95" s="232">
        <f t="shared" si="20"/>
        <v>0</v>
      </c>
      <c r="O95" s="233">
        <v>2</v>
      </c>
    </row>
    <row r="96" spans="1:15" x14ac:dyDescent="0.2">
      <c r="A96" s="228" t="s">
        <v>540</v>
      </c>
      <c r="B96" s="229">
        <v>456</v>
      </c>
      <c r="C96" s="229">
        <v>4186536</v>
      </c>
      <c r="D96" s="260" t="s">
        <v>541</v>
      </c>
      <c r="E96" s="231">
        <v>0</v>
      </c>
      <c r="F96" s="232" t="str">
        <f t="shared" si="23"/>
        <v>GRSM</v>
      </c>
      <c r="G96" s="232">
        <f t="shared" si="17"/>
        <v>0</v>
      </c>
      <c r="H96" s="234">
        <v>0</v>
      </c>
      <c r="I96" s="234">
        <f t="shared" si="18"/>
        <v>0</v>
      </c>
      <c r="J96" s="232">
        <f t="shared" si="19"/>
        <v>0</v>
      </c>
      <c r="K96" s="259" t="s">
        <v>316</v>
      </c>
      <c r="L96" s="247">
        <v>0</v>
      </c>
      <c r="M96" s="236">
        <f t="shared" si="21"/>
        <v>0</v>
      </c>
      <c r="N96" s="232">
        <f t="shared" si="20"/>
        <v>0</v>
      </c>
      <c r="O96" s="233">
        <v>2</v>
      </c>
    </row>
    <row r="97" spans="1:15" x14ac:dyDescent="0.2">
      <c r="A97" s="228" t="s">
        <v>542</v>
      </c>
      <c r="B97" s="229">
        <v>456</v>
      </c>
      <c r="C97" s="229">
        <v>4186538</v>
      </c>
      <c r="D97" s="260" t="s">
        <v>543</v>
      </c>
      <c r="E97" s="231">
        <v>0</v>
      </c>
      <c r="F97" s="232" t="str">
        <f t="shared" si="23"/>
        <v>GRSM</v>
      </c>
      <c r="G97" s="232">
        <f t="shared" si="17"/>
        <v>0</v>
      </c>
      <c r="H97" s="234">
        <v>0</v>
      </c>
      <c r="I97" s="234">
        <f t="shared" si="18"/>
        <v>0</v>
      </c>
      <c r="J97" s="232">
        <f t="shared" si="19"/>
        <v>0</v>
      </c>
      <c r="K97" s="259" t="s">
        <v>316</v>
      </c>
      <c r="L97" s="247">
        <v>0</v>
      </c>
      <c r="M97" s="236">
        <f t="shared" si="21"/>
        <v>0</v>
      </c>
      <c r="N97" s="232">
        <f t="shared" si="20"/>
        <v>0</v>
      </c>
      <c r="O97" s="233">
        <v>2</v>
      </c>
    </row>
    <row r="98" spans="1:15" x14ac:dyDescent="0.2">
      <c r="A98" s="228" t="s">
        <v>544</v>
      </c>
      <c r="B98" s="229">
        <v>456</v>
      </c>
      <c r="C98" s="230" t="s">
        <v>545</v>
      </c>
      <c r="D98" s="230" t="s">
        <v>546</v>
      </c>
      <c r="E98" s="231">
        <v>0</v>
      </c>
      <c r="F98" s="232" t="str">
        <f t="shared" si="23"/>
        <v>GRSM</v>
      </c>
      <c r="G98" s="232">
        <f t="shared" si="17"/>
        <v>0</v>
      </c>
      <c r="H98" s="234">
        <v>0</v>
      </c>
      <c r="I98" s="234">
        <f t="shared" si="18"/>
        <v>0</v>
      </c>
      <c r="J98" s="232">
        <f t="shared" si="19"/>
        <v>0</v>
      </c>
      <c r="K98" s="259" t="s">
        <v>280</v>
      </c>
      <c r="L98" s="247">
        <v>0</v>
      </c>
      <c r="M98" s="236">
        <f t="shared" si="21"/>
        <v>0</v>
      </c>
      <c r="N98" s="232">
        <f t="shared" si="20"/>
        <v>0</v>
      </c>
      <c r="O98" s="233">
        <v>2</v>
      </c>
    </row>
    <row r="99" spans="1:15" x14ac:dyDescent="0.2">
      <c r="A99" s="228" t="s">
        <v>547</v>
      </c>
      <c r="B99" s="229">
        <v>456</v>
      </c>
      <c r="C99" s="230" t="s">
        <v>548</v>
      </c>
      <c r="D99" s="230" t="s">
        <v>549</v>
      </c>
      <c r="E99" s="231">
        <v>0</v>
      </c>
      <c r="F99" s="232" t="str">
        <f t="shared" si="23"/>
        <v>GRSM</v>
      </c>
      <c r="G99" s="232">
        <f t="shared" si="17"/>
        <v>0</v>
      </c>
      <c r="H99" s="234">
        <v>0</v>
      </c>
      <c r="I99" s="234">
        <f t="shared" si="18"/>
        <v>0</v>
      </c>
      <c r="J99" s="232">
        <f t="shared" si="19"/>
        <v>0</v>
      </c>
      <c r="K99" s="259" t="s">
        <v>280</v>
      </c>
      <c r="L99" s="247">
        <v>0</v>
      </c>
      <c r="M99" s="236">
        <f>J99-L99</f>
        <v>0</v>
      </c>
      <c r="N99" s="232">
        <f t="shared" si="20"/>
        <v>0</v>
      </c>
      <c r="O99" s="233">
        <v>2</v>
      </c>
    </row>
    <row r="100" spans="1:15" x14ac:dyDescent="0.2">
      <c r="A100" s="228" t="s">
        <v>550</v>
      </c>
      <c r="B100" s="229">
        <v>456</v>
      </c>
      <c r="C100" s="230" t="s">
        <v>551</v>
      </c>
      <c r="D100" s="230" t="s">
        <v>552</v>
      </c>
      <c r="E100" s="231">
        <v>0</v>
      </c>
      <c r="F100" s="232" t="str">
        <f t="shared" si="23"/>
        <v>GRSM</v>
      </c>
      <c r="G100" s="232">
        <f t="shared" si="17"/>
        <v>0</v>
      </c>
      <c r="H100" s="234">
        <v>0</v>
      </c>
      <c r="I100" s="234">
        <f t="shared" si="18"/>
        <v>0</v>
      </c>
      <c r="J100" s="232">
        <f t="shared" si="19"/>
        <v>0</v>
      </c>
      <c r="K100" s="259" t="s">
        <v>280</v>
      </c>
      <c r="L100" s="247">
        <v>0</v>
      </c>
      <c r="M100" s="236">
        <f t="shared" si="21"/>
        <v>0</v>
      </c>
      <c r="N100" s="232">
        <f t="shared" si="20"/>
        <v>0</v>
      </c>
      <c r="O100" s="233">
        <v>2</v>
      </c>
    </row>
    <row r="101" spans="1:15" x14ac:dyDescent="0.2">
      <c r="A101" s="228" t="s">
        <v>553</v>
      </c>
      <c r="B101" s="229">
        <v>456</v>
      </c>
      <c r="C101" s="230" t="s">
        <v>554</v>
      </c>
      <c r="D101" s="230" t="s">
        <v>555</v>
      </c>
      <c r="E101" s="231">
        <v>0</v>
      </c>
      <c r="F101" s="232" t="str">
        <f t="shared" si="23"/>
        <v>GRSM</v>
      </c>
      <c r="G101" s="232">
        <f t="shared" si="17"/>
        <v>0</v>
      </c>
      <c r="H101" s="234">
        <v>0</v>
      </c>
      <c r="I101" s="234">
        <f t="shared" si="18"/>
        <v>0</v>
      </c>
      <c r="J101" s="232">
        <f>IF(F101=$J$2,E101,0)</f>
        <v>0</v>
      </c>
      <c r="K101" s="259" t="s">
        <v>280</v>
      </c>
      <c r="L101" s="247">
        <v>0</v>
      </c>
      <c r="M101" s="236">
        <f t="shared" si="21"/>
        <v>0</v>
      </c>
      <c r="N101" s="232">
        <f t="shared" si="20"/>
        <v>0</v>
      </c>
      <c r="O101" s="239">
        <v>2</v>
      </c>
    </row>
    <row r="102" spans="1:15" x14ac:dyDescent="0.2">
      <c r="A102" s="228" t="s">
        <v>556</v>
      </c>
      <c r="B102" s="229">
        <v>456</v>
      </c>
      <c r="C102" s="230" t="s">
        <v>557</v>
      </c>
      <c r="D102" s="230" t="s">
        <v>558</v>
      </c>
      <c r="E102" s="231">
        <v>6789.5</v>
      </c>
      <c r="F102" s="232" t="str">
        <f t="shared" si="23"/>
        <v>GRSM</v>
      </c>
      <c r="G102" s="232">
        <f t="shared" si="17"/>
        <v>0</v>
      </c>
      <c r="H102" s="234">
        <v>0</v>
      </c>
      <c r="I102" s="234">
        <f t="shared" si="18"/>
        <v>0</v>
      </c>
      <c r="J102" s="232">
        <f t="shared" si="19"/>
        <v>6789.5</v>
      </c>
      <c r="K102" s="259" t="s">
        <v>280</v>
      </c>
      <c r="L102" s="268">
        <v>3766.62</v>
      </c>
      <c r="M102" s="234">
        <f t="shared" si="21"/>
        <v>3022.88</v>
      </c>
      <c r="N102" s="232">
        <f t="shared" si="20"/>
        <v>0</v>
      </c>
      <c r="O102" s="233">
        <v>2</v>
      </c>
    </row>
    <row r="103" spans="1:15" x14ac:dyDescent="0.2">
      <c r="A103" s="228" t="s">
        <v>559</v>
      </c>
      <c r="B103" s="229">
        <v>456</v>
      </c>
      <c r="C103" s="230" t="s">
        <v>560</v>
      </c>
      <c r="D103" s="230" t="s">
        <v>561</v>
      </c>
      <c r="E103" s="231">
        <v>56842.15</v>
      </c>
      <c r="F103" s="232" t="str">
        <f>$N$2</f>
        <v>Other Ratemaking</v>
      </c>
      <c r="G103" s="232">
        <f t="shared" si="17"/>
        <v>0</v>
      </c>
      <c r="H103" s="234">
        <v>0</v>
      </c>
      <c r="I103" s="234">
        <f t="shared" si="18"/>
        <v>0</v>
      </c>
      <c r="J103" s="232">
        <f t="shared" si="19"/>
        <v>0</v>
      </c>
      <c r="K103" s="232"/>
      <c r="L103" s="247"/>
      <c r="M103" s="236">
        <f t="shared" si="21"/>
        <v>0</v>
      </c>
      <c r="N103" s="232">
        <f t="shared" si="20"/>
        <v>56842.15</v>
      </c>
      <c r="O103" s="239">
        <v>6</v>
      </c>
    </row>
    <row r="104" spans="1:15" x14ac:dyDescent="0.2">
      <c r="A104" s="228" t="s">
        <v>562</v>
      </c>
      <c r="B104" s="229">
        <v>456</v>
      </c>
      <c r="C104" s="230" t="s">
        <v>563</v>
      </c>
      <c r="D104" s="230" t="s">
        <v>564</v>
      </c>
      <c r="E104" s="231">
        <v>21125116.100000001</v>
      </c>
      <c r="F104" s="232" t="str">
        <f>$G$2</f>
        <v>Traditional OOR</v>
      </c>
      <c r="G104" s="232">
        <f t="shared" si="17"/>
        <v>21125116.100000001</v>
      </c>
      <c r="H104" s="234">
        <v>0</v>
      </c>
      <c r="I104" s="234">
        <f t="shared" si="18"/>
        <v>21125116.100000001</v>
      </c>
      <c r="J104" s="232">
        <f t="shared" si="19"/>
        <v>0</v>
      </c>
      <c r="K104" s="232"/>
      <c r="L104" s="247"/>
      <c r="M104" s="236">
        <f t="shared" si="21"/>
        <v>0</v>
      </c>
      <c r="N104" s="232">
        <f t="shared" si="20"/>
        <v>0</v>
      </c>
      <c r="O104" s="239">
        <v>4</v>
      </c>
    </row>
    <row r="105" spans="1:15" x14ac:dyDescent="0.2">
      <c r="A105" s="228" t="s">
        <v>565</v>
      </c>
      <c r="B105" s="229">
        <v>456</v>
      </c>
      <c r="C105" s="230" t="s">
        <v>566</v>
      </c>
      <c r="D105" s="230" t="s">
        <v>567</v>
      </c>
      <c r="E105" s="231">
        <v>181618857.41999999</v>
      </c>
      <c r="F105" s="232" t="str">
        <f t="shared" ref="F105:F110" si="24">$N$2</f>
        <v>Other Ratemaking</v>
      </c>
      <c r="G105" s="232">
        <f t="shared" si="17"/>
        <v>0</v>
      </c>
      <c r="H105" s="234">
        <v>0</v>
      </c>
      <c r="I105" s="234">
        <f t="shared" si="18"/>
        <v>0</v>
      </c>
      <c r="J105" s="232">
        <f t="shared" si="19"/>
        <v>0</v>
      </c>
      <c r="K105" s="232"/>
      <c r="L105" s="247"/>
      <c r="M105" s="236">
        <f t="shared" si="21"/>
        <v>0</v>
      </c>
      <c r="N105" s="232">
        <f t="shared" si="20"/>
        <v>181618857.41999999</v>
      </c>
      <c r="O105" s="239">
        <v>6</v>
      </c>
    </row>
    <row r="106" spans="1:15" x14ac:dyDescent="0.2">
      <c r="A106" s="228" t="s">
        <v>568</v>
      </c>
      <c r="B106" s="229">
        <v>456</v>
      </c>
      <c r="C106" s="230" t="s">
        <v>569</v>
      </c>
      <c r="D106" s="230" t="s">
        <v>570</v>
      </c>
      <c r="E106" s="231">
        <v>-47397895.759999998</v>
      </c>
      <c r="F106" s="232" t="str">
        <f t="shared" si="24"/>
        <v>Other Ratemaking</v>
      </c>
      <c r="G106" s="232">
        <f t="shared" si="17"/>
        <v>0</v>
      </c>
      <c r="H106" s="234">
        <v>0</v>
      </c>
      <c r="I106" s="234">
        <f t="shared" si="18"/>
        <v>0</v>
      </c>
      <c r="J106" s="232">
        <f t="shared" si="19"/>
        <v>0</v>
      </c>
      <c r="K106" s="232"/>
      <c r="L106" s="247"/>
      <c r="M106" s="236">
        <f t="shared" si="21"/>
        <v>0</v>
      </c>
      <c r="N106" s="232">
        <f t="shared" si="20"/>
        <v>-47397895.759999998</v>
      </c>
      <c r="O106" s="239">
        <v>6</v>
      </c>
    </row>
    <row r="107" spans="1:15" x14ac:dyDescent="0.2">
      <c r="A107" s="228" t="s">
        <v>571</v>
      </c>
      <c r="B107" s="229">
        <v>456</v>
      </c>
      <c r="C107" s="230" t="s">
        <v>572</v>
      </c>
      <c r="D107" s="230" t="s">
        <v>573</v>
      </c>
      <c r="E107" s="231">
        <v>-181650023.80000001</v>
      </c>
      <c r="F107" s="232" t="str">
        <f t="shared" si="24"/>
        <v>Other Ratemaking</v>
      </c>
      <c r="G107" s="232">
        <f t="shared" si="17"/>
        <v>0</v>
      </c>
      <c r="H107" s="234">
        <v>0</v>
      </c>
      <c r="I107" s="234">
        <f t="shared" si="18"/>
        <v>0</v>
      </c>
      <c r="J107" s="232">
        <f t="shared" si="19"/>
        <v>0</v>
      </c>
      <c r="K107" s="232"/>
      <c r="L107" s="247"/>
      <c r="M107" s="236">
        <f t="shared" si="21"/>
        <v>0</v>
      </c>
      <c r="N107" s="232">
        <f t="shared" si="20"/>
        <v>-181650023.80000001</v>
      </c>
      <c r="O107" s="239">
        <v>6</v>
      </c>
    </row>
    <row r="108" spans="1:15" x14ac:dyDescent="0.2">
      <c r="A108" s="228" t="s">
        <v>574</v>
      </c>
      <c r="B108" s="229">
        <v>456</v>
      </c>
      <c r="C108" s="230" t="s">
        <v>575</v>
      </c>
      <c r="D108" s="230" t="s">
        <v>576</v>
      </c>
      <c r="E108" s="231">
        <v>47397895.759999998</v>
      </c>
      <c r="F108" s="232" t="str">
        <f t="shared" si="24"/>
        <v>Other Ratemaking</v>
      </c>
      <c r="G108" s="232">
        <f t="shared" si="17"/>
        <v>0</v>
      </c>
      <c r="H108" s="234">
        <v>0</v>
      </c>
      <c r="I108" s="234">
        <f t="shared" si="18"/>
        <v>0</v>
      </c>
      <c r="J108" s="232">
        <f t="shared" si="19"/>
        <v>0</v>
      </c>
      <c r="K108" s="232"/>
      <c r="L108" s="247"/>
      <c r="M108" s="236">
        <f t="shared" si="21"/>
        <v>0</v>
      </c>
      <c r="N108" s="232">
        <f t="shared" si="20"/>
        <v>47397895.759999998</v>
      </c>
      <c r="O108" s="239">
        <v>6</v>
      </c>
    </row>
    <row r="109" spans="1:15" x14ac:dyDescent="0.2">
      <c r="A109" s="228" t="s">
        <v>577</v>
      </c>
      <c r="B109" s="229">
        <v>456</v>
      </c>
      <c r="C109" s="230" t="s">
        <v>578</v>
      </c>
      <c r="D109" s="230" t="s">
        <v>579</v>
      </c>
      <c r="E109" s="231">
        <v>129920723.05</v>
      </c>
      <c r="F109" s="232" t="str">
        <f t="shared" si="24"/>
        <v>Other Ratemaking</v>
      </c>
      <c r="G109" s="232">
        <f t="shared" si="17"/>
        <v>0</v>
      </c>
      <c r="H109" s="234">
        <v>0</v>
      </c>
      <c r="I109" s="234">
        <f t="shared" si="18"/>
        <v>0</v>
      </c>
      <c r="J109" s="232">
        <f t="shared" si="19"/>
        <v>0</v>
      </c>
      <c r="K109" s="232"/>
      <c r="L109" s="247"/>
      <c r="M109" s="236">
        <f t="shared" si="21"/>
        <v>0</v>
      </c>
      <c r="N109" s="232">
        <f t="shared" si="20"/>
        <v>129920723.05</v>
      </c>
      <c r="O109" s="239">
        <v>6</v>
      </c>
    </row>
    <row r="110" spans="1:15" x14ac:dyDescent="0.2">
      <c r="A110" s="228" t="s">
        <v>580</v>
      </c>
      <c r="B110" s="229">
        <v>456</v>
      </c>
      <c r="C110" s="230" t="s">
        <v>581</v>
      </c>
      <c r="D110" s="230" t="s">
        <v>582</v>
      </c>
      <c r="E110" s="231">
        <v>-129920723.05</v>
      </c>
      <c r="F110" s="232" t="str">
        <f t="shared" si="24"/>
        <v>Other Ratemaking</v>
      </c>
      <c r="G110" s="232">
        <f t="shared" si="17"/>
        <v>0</v>
      </c>
      <c r="H110" s="234">
        <v>0</v>
      </c>
      <c r="I110" s="234">
        <f t="shared" si="18"/>
        <v>0</v>
      </c>
      <c r="J110" s="232">
        <f t="shared" si="19"/>
        <v>0</v>
      </c>
      <c r="K110" s="232"/>
      <c r="L110" s="247"/>
      <c r="M110" s="236">
        <f t="shared" si="21"/>
        <v>0</v>
      </c>
      <c r="N110" s="232">
        <f t="shared" si="20"/>
        <v>-129920723.05</v>
      </c>
      <c r="O110" s="239">
        <v>6</v>
      </c>
    </row>
    <row r="111" spans="1:15" x14ac:dyDescent="0.2">
      <c r="A111" s="228" t="s">
        <v>583</v>
      </c>
      <c r="B111" s="229">
        <v>456</v>
      </c>
      <c r="C111" s="230" t="s">
        <v>584</v>
      </c>
      <c r="D111" s="230" t="s">
        <v>585</v>
      </c>
      <c r="E111" s="231">
        <v>0</v>
      </c>
      <c r="F111" s="232" t="str">
        <f>$J$2</f>
        <v>GRSM</v>
      </c>
      <c r="G111" s="232">
        <f t="shared" si="17"/>
        <v>0</v>
      </c>
      <c r="H111" s="234">
        <v>0</v>
      </c>
      <c r="I111" s="234">
        <f t="shared" si="18"/>
        <v>0</v>
      </c>
      <c r="J111" s="232">
        <f t="shared" si="19"/>
        <v>0</v>
      </c>
      <c r="K111" s="259" t="s">
        <v>280</v>
      </c>
      <c r="L111" s="247">
        <v>0</v>
      </c>
      <c r="M111" s="236">
        <f t="shared" si="21"/>
        <v>0</v>
      </c>
      <c r="N111" s="232">
        <f t="shared" si="20"/>
        <v>0</v>
      </c>
      <c r="O111" s="239">
        <v>2</v>
      </c>
    </row>
    <row r="112" spans="1:15" x14ac:dyDescent="0.2">
      <c r="A112" s="228" t="s">
        <v>586</v>
      </c>
      <c r="B112" s="229">
        <v>456</v>
      </c>
      <c r="C112" s="230" t="s">
        <v>587</v>
      </c>
      <c r="D112" s="230" t="s">
        <v>588</v>
      </c>
      <c r="E112" s="268">
        <v>0</v>
      </c>
      <c r="F112" s="232" t="str">
        <f>$J$2</f>
        <v>GRSM</v>
      </c>
      <c r="G112" s="232">
        <f t="shared" si="17"/>
        <v>0</v>
      </c>
      <c r="H112" s="234">
        <v>0</v>
      </c>
      <c r="I112" s="234">
        <f t="shared" si="18"/>
        <v>0</v>
      </c>
      <c r="J112" s="232">
        <f t="shared" si="19"/>
        <v>0</v>
      </c>
      <c r="K112" s="259" t="s">
        <v>280</v>
      </c>
      <c r="L112" s="268">
        <v>0</v>
      </c>
      <c r="M112" s="236">
        <f t="shared" si="21"/>
        <v>0</v>
      </c>
      <c r="N112" s="232">
        <f t="shared" si="20"/>
        <v>0</v>
      </c>
      <c r="O112" s="239">
        <v>2</v>
      </c>
    </row>
    <row r="113" spans="1:15" x14ac:dyDescent="0.2">
      <c r="A113" s="228" t="s">
        <v>589</v>
      </c>
      <c r="B113" s="229">
        <v>456</v>
      </c>
      <c r="C113" s="230" t="s">
        <v>590</v>
      </c>
      <c r="D113" s="230" t="s">
        <v>591</v>
      </c>
      <c r="E113" s="231">
        <v>0</v>
      </c>
      <c r="F113" s="232" t="str">
        <f>$N$2</f>
        <v>Other Ratemaking</v>
      </c>
      <c r="G113" s="232">
        <f t="shared" si="17"/>
        <v>0</v>
      </c>
      <c r="H113" s="234">
        <v>0</v>
      </c>
      <c r="I113" s="234">
        <f t="shared" si="18"/>
        <v>0</v>
      </c>
      <c r="J113" s="232">
        <f t="shared" si="19"/>
        <v>0</v>
      </c>
      <c r="K113" s="232"/>
      <c r="L113" s="247"/>
      <c r="M113" s="236">
        <f t="shared" si="21"/>
        <v>0</v>
      </c>
      <c r="N113" s="232">
        <f t="shared" si="20"/>
        <v>0</v>
      </c>
      <c r="O113" s="239">
        <v>6</v>
      </c>
    </row>
    <row r="114" spans="1:15" x14ac:dyDescent="0.2">
      <c r="A114" s="228" t="s">
        <v>592</v>
      </c>
      <c r="B114" s="229">
        <v>456</v>
      </c>
      <c r="C114" s="230" t="s">
        <v>593</v>
      </c>
      <c r="D114" s="230" t="s">
        <v>594</v>
      </c>
      <c r="E114" s="231">
        <v>295234.21999999997</v>
      </c>
      <c r="F114" s="232" t="str">
        <f t="shared" ref="F114:F124" si="25">$G$2</f>
        <v>Traditional OOR</v>
      </c>
      <c r="G114" s="232">
        <f t="shared" si="17"/>
        <v>295234.21999999997</v>
      </c>
      <c r="H114" s="234">
        <v>0</v>
      </c>
      <c r="I114" s="234">
        <f t="shared" si="18"/>
        <v>295234.21999999997</v>
      </c>
      <c r="J114" s="232">
        <f t="shared" si="19"/>
        <v>0</v>
      </c>
      <c r="K114" s="232"/>
      <c r="L114" s="247"/>
      <c r="M114" s="236">
        <f t="shared" si="21"/>
        <v>0</v>
      </c>
      <c r="N114" s="232">
        <f t="shared" si="20"/>
        <v>0</v>
      </c>
      <c r="O114" s="239">
        <v>1</v>
      </c>
    </row>
    <row r="115" spans="1:15" x14ac:dyDescent="0.2">
      <c r="A115" s="228" t="s">
        <v>595</v>
      </c>
      <c r="B115" s="229">
        <v>456</v>
      </c>
      <c r="C115" s="230" t="s">
        <v>596</v>
      </c>
      <c r="D115" s="230" t="s">
        <v>597</v>
      </c>
      <c r="E115" s="231">
        <v>0</v>
      </c>
      <c r="F115" s="232" t="str">
        <f t="shared" si="25"/>
        <v>Traditional OOR</v>
      </c>
      <c r="G115" s="232">
        <f t="shared" si="17"/>
        <v>0</v>
      </c>
      <c r="H115" s="234">
        <v>0</v>
      </c>
      <c r="I115" s="234">
        <f t="shared" si="18"/>
        <v>0</v>
      </c>
      <c r="J115" s="232">
        <f t="shared" si="19"/>
        <v>0</v>
      </c>
      <c r="K115" s="232"/>
      <c r="L115" s="247"/>
      <c r="M115" s="236">
        <f t="shared" si="21"/>
        <v>0</v>
      </c>
      <c r="N115" s="232">
        <f t="shared" si="20"/>
        <v>0</v>
      </c>
      <c r="O115" s="239">
        <v>1</v>
      </c>
    </row>
    <row r="116" spans="1:15" x14ac:dyDescent="0.2">
      <c r="A116" s="228" t="s">
        <v>598</v>
      </c>
      <c r="B116" s="229">
        <v>456</v>
      </c>
      <c r="C116" s="230" t="s">
        <v>599</v>
      </c>
      <c r="D116" s="230" t="s">
        <v>600</v>
      </c>
      <c r="E116" s="231">
        <v>3563056.66</v>
      </c>
      <c r="F116" s="232" t="str">
        <f t="shared" si="25"/>
        <v>Traditional OOR</v>
      </c>
      <c r="G116" s="232">
        <f t="shared" si="17"/>
        <v>3563056.66</v>
      </c>
      <c r="H116" s="234">
        <v>0</v>
      </c>
      <c r="I116" s="234">
        <f t="shared" si="18"/>
        <v>3563056.66</v>
      </c>
      <c r="J116" s="232">
        <f t="shared" si="19"/>
        <v>0</v>
      </c>
      <c r="K116" s="232"/>
      <c r="L116" s="247"/>
      <c r="M116" s="236">
        <f t="shared" si="21"/>
        <v>0</v>
      </c>
      <c r="N116" s="232">
        <f t="shared" si="20"/>
        <v>0</v>
      </c>
      <c r="O116" s="239">
        <v>4</v>
      </c>
    </row>
    <row r="117" spans="1:15" x14ac:dyDescent="0.2">
      <c r="A117" s="228" t="s">
        <v>601</v>
      </c>
      <c r="B117" s="229">
        <v>456</v>
      </c>
      <c r="C117" s="230" t="s">
        <v>602</v>
      </c>
      <c r="D117" s="230" t="s">
        <v>603</v>
      </c>
      <c r="E117" s="231">
        <v>153584.62</v>
      </c>
      <c r="F117" s="232" t="str">
        <f t="shared" si="25"/>
        <v>Traditional OOR</v>
      </c>
      <c r="G117" s="232">
        <f t="shared" si="17"/>
        <v>153584.62</v>
      </c>
      <c r="H117" s="234">
        <v>0</v>
      </c>
      <c r="I117" s="234">
        <f t="shared" si="18"/>
        <v>153584.62</v>
      </c>
      <c r="J117" s="232">
        <f t="shared" si="19"/>
        <v>0</v>
      </c>
      <c r="K117" s="232"/>
      <c r="L117" s="247"/>
      <c r="M117" s="236">
        <f t="shared" si="21"/>
        <v>0</v>
      </c>
      <c r="N117" s="232">
        <f t="shared" si="20"/>
        <v>0</v>
      </c>
      <c r="O117" s="239">
        <v>4</v>
      </c>
    </row>
    <row r="118" spans="1:15" x14ac:dyDescent="0.2">
      <c r="A118" s="228" t="s">
        <v>604</v>
      </c>
      <c r="B118" s="229">
        <v>456</v>
      </c>
      <c r="C118" s="230" t="s">
        <v>605</v>
      </c>
      <c r="D118" s="230" t="s">
        <v>606</v>
      </c>
      <c r="E118" s="231">
        <v>-14155.5</v>
      </c>
      <c r="F118" s="232" t="str">
        <f t="shared" si="25"/>
        <v>Traditional OOR</v>
      </c>
      <c r="G118" s="232">
        <f t="shared" si="17"/>
        <v>-14155.5</v>
      </c>
      <c r="H118" s="234">
        <v>0</v>
      </c>
      <c r="I118" s="234">
        <f t="shared" si="18"/>
        <v>-14155.5</v>
      </c>
      <c r="J118" s="232">
        <f t="shared" si="19"/>
        <v>0</v>
      </c>
      <c r="K118" s="232"/>
      <c r="L118" s="247"/>
      <c r="M118" s="236">
        <f t="shared" si="21"/>
        <v>0</v>
      </c>
      <c r="N118" s="232">
        <f t="shared" si="20"/>
        <v>0</v>
      </c>
      <c r="O118" s="239">
        <v>4</v>
      </c>
    </row>
    <row r="119" spans="1:15" x14ac:dyDescent="0.2">
      <c r="A119" s="228" t="s">
        <v>607</v>
      </c>
      <c r="B119" s="229">
        <v>456</v>
      </c>
      <c r="C119" s="230" t="s">
        <v>608</v>
      </c>
      <c r="D119" s="230" t="s">
        <v>609</v>
      </c>
      <c r="E119" s="231">
        <v>0</v>
      </c>
      <c r="F119" s="232" t="str">
        <f t="shared" si="25"/>
        <v>Traditional OOR</v>
      </c>
      <c r="G119" s="232">
        <f t="shared" si="17"/>
        <v>0</v>
      </c>
      <c r="H119" s="234">
        <v>0</v>
      </c>
      <c r="I119" s="234">
        <f t="shared" si="18"/>
        <v>0</v>
      </c>
      <c r="J119" s="232">
        <f t="shared" si="19"/>
        <v>0</v>
      </c>
      <c r="K119" s="232"/>
      <c r="L119" s="247"/>
      <c r="M119" s="236">
        <f t="shared" si="21"/>
        <v>0</v>
      </c>
      <c r="N119" s="232">
        <f t="shared" si="20"/>
        <v>0</v>
      </c>
      <c r="O119" s="239">
        <v>1</v>
      </c>
    </row>
    <row r="120" spans="1:15" ht="13.5" thickBot="1" x14ac:dyDescent="0.25">
      <c r="A120" s="228" t="s">
        <v>610</v>
      </c>
      <c r="B120" s="229">
        <v>456</v>
      </c>
      <c r="C120" s="230" t="s">
        <v>611</v>
      </c>
      <c r="D120" s="230" t="s">
        <v>612</v>
      </c>
      <c r="E120" s="231">
        <v>3056.52</v>
      </c>
      <c r="F120" s="232" t="str">
        <f t="shared" si="25"/>
        <v>Traditional OOR</v>
      </c>
      <c r="G120" s="232">
        <f t="shared" si="17"/>
        <v>3056.52</v>
      </c>
      <c r="H120" s="269">
        <v>0</v>
      </c>
      <c r="I120" s="234">
        <f t="shared" si="18"/>
        <v>3056.52</v>
      </c>
      <c r="J120" s="232">
        <f t="shared" si="19"/>
        <v>0</v>
      </c>
      <c r="K120" s="232"/>
      <c r="L120" s="247"/>
      <c r="M120" s="236">
        <f t="shared" si="21"/>
        <v>0</v>
      </c>
      <c r="N120" s="232">
        <f t="shared" si="20"/>
        <v>0</v>
      </c>
      <c r="O120" s="239">
        <v>4</v>
      </c>
    </row>
    <row r="121" spans="1:15" ht="13.5" thickBot="1" x14ac:dyDescent="0.25">
      <c r="A121" s="228" t="s">
        <v>613</v>
      </c>
      <c r="B121" s="229">
        <v>456</v>
      </c>
      <c r="C121" s="230" t="s">
        <v>614</v>
      </c>
      <c r="D121" s="230" t="s">
        <v>615</v>
      </c>
      <c r="E121" s="231">
        <v>1645132.03</v>
      </c>
      <c r="F121" s="232" t="str">
        <f t="shared" si="25"/>
        <v>Traditional OOR</v>
      </c>
      <c r="G121" s="270">
        <f t="shared" si="17"/>
        <v>1645132.03</v>
      </c>
      <c r="H121" s="271">
        <v>88029</v>
      </c>
      <c r="I121" s="349">
        <f t="shared" si="18"/>
        <v>1557103.03</v>
      </c>
      <c r="J121" s="232">
        <f t="shared" si="19"/>
        <v>0</v>
      </c>
      <c r="K121" s="232"/>
      <c r="L121" s="247"/>
      <c r="M121" s="236">
        <f t="shared" si="21"/>
        <v>0</v>
      </c>
      <c r="N121" s="232">
        <f t="shared" si="20"/>
        <v>0</v>
      </c>
      <c r="O121" s="233">
        <v>8</v>
      </c>
    </row>
    <row r="122" spans="1:15" x14ac:dyDescent="0.2">
      <c r="A122" s="228" t="s">
        <v>616</v>
      </c>
      <c r="B122" s="229">
        <v>456</v>
      </c>
      <c r="C122" s="230" t="s">
        <v>617</v>
      </c>
      <c r="D122" s="230" t="s">
        <v>618</v>
      </c>
      <c r="E122" s="231">
        <v>7802341.7800000003</v>
      </c>
      <c r="F122" s="232" t="str">
        <f t="shared" si="25"/>
        <v>Traditional OOR</v>
      </c>
      <c r="G122" s="232">
        <f t="shared" si="17"/>
        <v>7802341.7800000003</v>
      </c>
      <c r="H122" s="273">
        <v>0</v>
      </c>
      <c r="I122" s="234">
        <f t="shared" si="18"/>
        <v>7802341.7800000003</v>
      </c>
      <c r="J122" s="232">
        <f t="shared" si="19"/>
        <v>0</v>
      </c>
      <c r="K122" s="232"/>
      <c r="L122" s="247"/>
      <c r="M122" s="236">
        <f t="shared" si="21"/>
        <v>0</v>
      </c>
      <c r="N122" s="232">
        <f t="shared" si="20"/>
        <v>0</v>
      </c>
      <c r="O122" s="239">
        <v>4</v>
      </c>
    </row>
    <row r="123" spans="1:15" x14ac:dyDescent="0.2">
      <c r="A123" s="228" t="s">
        <v>619</v>
      </c>
      <c r="B123" s="229">
        <v>456</v>
      </c>
      <c r="C123" s="230" t="s">
        <v>620</v>
      </c>
      <c r="D123" s="230" t="s">
        <v>621</v>
      </c>
      <c r="E123" s="231">
        <v>2272.9499999999998</v>
      </c>
      <c r="F123" s="232" t="str">
        <f t="shared" si="25"/>
        <v>Traditional OOR</v>
      </c>
      <c r="G123" s="232">
        <f t="shared" si="17"/>
        <v>2272.9499999999998</v>
      </c>
      <c r="H123" s="234">
        <v>0</v>
      </c>
      <c r="I123" s="234">
        <f t="shared" si="18"/>
        <v>2272.9499999999998</v>
      </c>
      <c r="J123" s="232">
        <f t="shared" si="19"/>
        <v>0</v>
      </c>
      <c r="K123" s="232"/>
      <c r="L123" s="247"/>
      <c r="M123" s="236">
        <f t="shared" si="21"/>
        <v>0</v>
      </c>
      <c r="N123" s="232">
        <f t="shared" si="20"/>
        <v>0</v>
      </c>
      <c r="O123" s="239">
        <v>4</v>
      </c>
    </row>
    <row r="124" spans="1:15" x14ac:dyDescent="0.2">
      <c r="A124" s="228" t="s">
        <v>622</v>
      </c>
      <c r="B124" s="229">
        <v>456</v>
      </c>
      <c r="C124" s="230" t="s">
        <v>623</v>
      </c>
      <c r="D124" s="230" t="s">
        <v>624</v>
      </c>
      <c r="E124" s="231">
        <v>957.63</v>
      </c>
      <c r="F124" s="232" t="str">
        <f t="shared" si="25"/>
        <v>Traditional OOR</v>
      </c>
      <c r="G124" s="232">
        <f t="shared" si="17"/>
        <v>957.63</v>
      </c>
      <c r="H124" s="234">
        <v>0</v>
      </c>
      <c r="I124" s="234">
        <f t="shared" si="18"/>
        <v>957.63</v>
      </c>
      <c r="J124" s="232">
        <f t="shared" si="19"/>
        <v>0</v>
      </c>
      <c r="K124" s="232"/>
      <c r="L124" s="247"/>
      <c r="M124" s="236">
        <f t="shared" si="21"/>
        <v>0</v>
      </c>
      <c r="N124" s="232">
        <f t="shared" si="20"/>
        <v>0</v>
      </c>
      <c r="O124" s="239">
        <v>6</v>
      </c>
    </row>
    <row r="125" spans="1:15" x14ac:dyDescent="0.2">
      <c r="A125" s="228" t="s">
        <v>625</v>
      </c>
      <c r="B125" s="229">
        <v>456</v>
      </c>
      <c r="C125" s="230" t="s">
        <v>626</v>
      </c>
      <c r="D125" s="230" t="s">
        <v>627</v>
      </c>
      <c r="E125" s="231">
        <v>0</v>
      </c>
      <c r="F125" s="232" t="str">
        <f>$J$2</f>
        <v>GRSM</v>
      </c>
      <c r="G125" s="232">
        <f t="shared" si="17"/>
        <v>0</v>
      </c>
      <c r="H125" s="234">
        <v>0</v>
      </c>
      <c r="I125" s="234">
        <f t="shared" si="18"/>
        <v>0</v>
      </c>
      <c r="J125" s="232">
        <f t="shared" si="19"/>
        <v>0</v>
      </c>
      <c r="K125" s="259" t="s">
        <v>316</v>
      </c>
      <c r="L125" s="247">
        <v>0</v>
      </c>
      <c r="M125" s="236">
        <f>J125-L125</f>
        <v>0</v>
      </c>
      <c r="N125" s="232">
        <f t="shared" si="20"/>
        <v>0</v>
      </c>
      <c r="O125" s="239">
        <v>2</v>
      </c>
    </row>
    <row r="126" spans="1:15" x14ac:dyDescent="0.2">
      <c r="A126" s="228" t="s">
        <v>628</v>
      </c>
      <c r="B126" s="229">
        <v>456</v>
      </c>
      <c r="C126" s="228" t="s">
        <v>393</v>
      </c>
      <c r="D126" s="230" t="s">
        <v>394</v>
      </c>
      <c r="E126" s="231">
        <v>-4105.28</v>
      </c>
      <c r="F126" s="232" t="str">
        <f>$G$2</f>
        <v>Traditional OOR</v>
      </c>
      <c r="G126" s="232">
        <f t="shared" si="17"/>
        <v>-4105.28</v>
      </c>
      <c r="H126" s="234">
        <v>0</v>
      </c>
      <c r="I126" s="234">
        <f t="shared" si="18"/>
        <v>-4105.28</v>
      </c>
      <c r="J126" s="232">
        <f t="shared" si="19"/>
        <v>0</v>
      </c>
      <c r="K126" s="232"/>
      <c r="L126" s="247"/>
      <c r="M126" s="236">
        <f>J126-L126</f>
        <v>0</v>
      </c>
      <c r="N126" s="232">
        <f t="shared" si="20"/>
        <v>0</v>
      </c>
      <c r="O126" s="239">
        <v>1</v>
      </c>
    </row>
    <row r="127" spans="1:15" x14ac:dyDescent="0.2">
      <c r="A127" s="228" t="s">
        <v>629</v>
      </c>
      <c r="B127" s="229">
        <v>456</v>
      </c>
      <c r="C127" s="229">
        <v>4186911</v>
      </c>
      <c r="D127" s="260" t="s">
        <v>630</v>
      </c>
      <c r="E127" s="231">
        <v>2992935.02</v>
      </c>
      <c r="F127" s="232" t="s">
        <v>326</v>
      </c>
      <c r="G127" s="232">
        <f t="shared" si="17"/>
        <v>0</v>
      </c>
      <c r="H127" s="234">
        <v>0</v>
      </c>
      <c r="I127" s="234">
        <f t="shared" si="18"/>
        <v>0</v>
      </c>
      <c r="J127" s="232">
        <f t="shared" si="19"/>
        <v>0</v>
      </c>
      <c r="K127" s="232"/>
      <c r="L127" s="247"/>
      <c r="M127" s="234">
        <f t="shared" ref="M127:M128" si="26">J127-L127</f>
        <v>0</v>
      </c>
      <c r="N127" s="232">
        <f t="shared" si="20"/>
        <v>2992935.02</v>
      </c>
      <c r="O127" s="233">
        <v>6</v>
      </c>
    </row>
    <row r="128" spans="1:15" x14ac:dyDescent="0.2">
      <c r="A128" s="228" t="s">
        <v>631</v>
      </c>
      <c r="B128" s="229">
        <v>456</v>
      </c>
      <c r="C128" s="229">
        <v>4186925</v>
      </c>
      <c r="D128" s="260" t="s">
        <v>632</v>
      </c>
      <c r="E128" s="231">
        <v>274980199.10000002</v>
      </c>
      <c r="F128" s="232" t="s">
        <v>326</v>
      </c>
      <c r="G128" s="232">
        <f t="shared" si="17"/>
        <v>0</v>
      </c>
      <c r="H128" s="234">
        <v>0</v>
      </c>
      <c r="I128" s="234">
        <f t="shared" si="18"/>
        <v>0</v>
      </c>
      <c r="J128" s="232">
        <f t="shared" si="19"/>
        <v>0</v>
      </c>
      <c r="K128" s="232"/>
      <c r="L128" s="247"/>
      <c r="M128" s="234">
        <f t="shared" si="26"/>
        <v>0</v>
      </c>
      <c r="N128" s="232">
        <f t="shared" si="20"/>
        <v>274980199.10000002</v>
      </c>
      <c r="O128" s="233">
        <v>6</v>
      </c>
    </row>
    <row r="129" spans="1:15" x14ac:dyDescent="0.2">
      <c r="A129" s="241"/>
      <c r="B129" s="242"/>
      <c r="C129" s="243"/>
      <c r="D129" s="244"/>
      <c r="E129" s="231"/>
      <c r="F129" s="231"/>
      <c r="G129" s="248"/>
      <c r="H129" s="247"/>
      <c r="I129" s="247"/>
      <c r="J129" s="231"/>
      <c r="K129" s="231"/>
      <c r="L129" s="247"/>
      <c r="M129" s="247"/>
      <c r="N129" s="231"/>
      <c r="O129" s="246"/>
    </row>
    <row r="130" spans="1:15" x14ac:dyDescent="0.2">
      <c r="A130" s="241"/>
      <c r="B130" s="242"/>
      <c r="C130" s="243"/>
      <c r="D130" s="244"/>
      <c r="E130" s="231"/>
      <c r="F130" s="231"/>
      <c r="G130" s="248"/>
      <c r="H130" s="247"/>
      <c r="I130" s="247"/>
      <c r="J130" s="231"/>
      <c r="K130" s="231"/>
      <c r="L130" s="247"/>
      <c r="M130" s="247"/>
      <c r="N130" s="231"/>
      <c r="O130" s="246"/>
    </row>
    <row r="131" spans="1:15" x14ac:dyDescent="0.2">
      <c r="A131" s="237">
        <v>13</v>
      </c>
      <c r="B131" s="507" t="s">
        <v>633</v>
      </c>
      <c r="C131" s="508"/>
      <c r="D131" s="509"/>
      <c r="E131" s="249">
        <f>SUM(E73:E130)</f>
        <v>322900144.82000005</v>
      </c>
      <c r="F131" s="250"/>
      <c r="G131" s="249">
        <f>SUM(G73:G130)</f>
        <v>43071941.913823411</v>
      </c>
      <c r="H131" s="274">
        <f>SUM(H73:H130)</f>
        <v>97336.893823399994</v>
      </c>
      <c r="I131" s="274">
        <f>SUM(I73:I130)</f>
        <v>42974605.020000011</v>
      </c>
      <c r="J131" s="249">
        <f>SUM(J73:J130)</f>
        <v>1621935.8000000003</v>
      </c>
      <c r="K131" s="250"/>
      <c r="L131" s="249">
        <f>SUM(L73:L130)</f>
        <v>247168.36</v>
      </c>
      <c r="M131" s="249">
        <f>SUM(M73:M130)</f>
        <v>1374767.44</v>
      </c>
      <c r="N131" s="249">
        <f>SUM(N73:N130)</f>
        <v>278206267.10617661</v>
      </c>
      <c r="O131" s="213"/>
    </row>
    <row r="132" spans="1:15" ht="25.5" customHeight="1" x14ac:dyDescent="0.2">
      <c r="A132" s="237">
        <v>14</v>
      </c>
      <c r="B132" s="501" t="s">
        <v>634</v>
      </c>
      <c r="C132" s="502"/>
      <c r="D132" s="503"/>
      <c r="E132" s="252">
        <v>322900145</v>
      </c>
      <c r="F132" s="253"/>
      <c r="G132" s="275"/>
      <c r="H132" s="253"/>
      <c r="I132" s="253"/>
      <c r="J132" s="275"/>
      <c r="K132" s="253"/>
      <c r="L132" s="254"/>
      <c r="M132" s="254"/>
      <c r="N132" s="254"/>
      <c r="O132" s="165"/>
    </row>
    <row r="133" spans="1:15" x14ac:dyDescent="0.2">
      <c r="A133" s="255"/>
      <c r="B133" s="256"/>
      <c r="C133" s="257"/>
      <c r="D133" s="258"/>
      <c r="E133" s="254"/>
      <c r="F133" s="254"/>
      <c r="G133" s="254"/>
      <c r="H133" s="253"/>
      <c r="I133" s="253"/>
      <c r="J133" s="254"/>
      <c r="K133" s="253"/>
      <c r="L133" s="254"/>
      <c r="M133" s="254"/>
      <c r="N133" s="254"/>
      <c r="O133" s="165"/>
    </row>
    <row r="134" spans="1:15" x14ac:dyDescent="0.2">
      <c r="A134" s="237" t="s">
        <v>68</v>
      </c>
      <c r="B134" s="229">
        <v>456.1</v>
      </c>
      <c r="C134" s="238" t="s">
        <v>635</v>
      </c>
      <c r="D134" s="230" t="s">
        <v>636</v>
      </c>
      <c r="E134" s="268">
        <v>0</v>
      </c>
      <c r="F134" s="232" t="str">
        <f>$G$2</f>
        <v>Traditional OOR</v>
      </c>
      <c r="G134" s="232">
        <f t="shared" ref="G134:G152" si="27">IF(F134=$G$2,E134,0)</f>
        <v>0</v>
      </c>
      <c r="H134" s="234">
        <f>G134</f>
        <v>0</v>
      </c>
      <c r="I134" s="234">
        <f t="shared" ref="I134:I152" si="28">G134-H134</f>
        <v>0</v>
      </c>
      <c r="J134" s="232">
        <f t="shared" ref="J134:J152" si="29">IF(F134=$J$2,E134,0)</f>
        <v>0</v>
      </c>
      <c r="K134" s="259"/>
      <c r="L134" s="247"/>
      <c r="M134" s="236">
        <f t="shared" ref="M134:M152" si="30">J134-L134</f>
        <v>0</v>
      </c>
      <c r="N134" s="232">
        <f t="shared" ref="N134:N152" si="31">IF(F134=$N$2,E134,0)</f>
        <v>0</v>
      </c>
      <c r="O134" s="239">
        <v>5</v>
      </c>
    </row>
    <row r="135" spans="1:15" x14ac:dyDescent="0.2">
      <c r="A135" s="237" t="s">
        <v>637</v>
      </c>
      <c r="B135" s="229">
        <v>456.1</v>
      </c>
      <c r="C135" s="238" t="s">
        <v>638</v>
      </c>
      <c r="D135" s="230" t="s">
        <v>639</v>
      </c>
      <c r="E135" s="268">
        <v>299738.03999999998</v>
      </c>
      <c r="F135" s="232" t="str">
        <f>$G$2</f>
        <v>Traditional OOR</v>
      </c>
      <c r="G135" s="232">
        <f t="shared" si="27"/>
        <v>299738.03999999998</v>
      </c>
      <c r="H135" s="234">
        <v>0</v>
      </c>
      <c r="I135" s="234">
        <f t="shared" si="28"/>
        <v>299738.03999999998</v>
      </c>
      <c r="J135" s="232">
        <f t="shared" si="29"/>
        <v>0</v>
      </c>
      <c r="K135" s="259"/>
      <c r="L135" s="247"/>
      <c r="M135" s="236">
        <f t="shared" si="30"/>
        <v>0</v>
      </c>
      <c r="N135" s="232">
        <f t="shared" si="31"/>
        <v>0</v>
      </c>
      <c r="O135" s="239">
        <v>4</v>
      </c>
    </row>
    <row r="136" spans="1:15" x14ac:dyDescent="0.2">
      <c r="A136" s="237" t="s">
        <v>640</v>
      </c>
      <c r="B136" s="229">
        <v>456.1</v>
      </c>
      <c r="C136" s="238" t="s">
        <v>641</v>
      </c>
      <c r="D136" s="230" t="s">
        <v>642</v>
      </c>
      <c r="E136" s="268">
        <v>992562.96</v>
      </c>
      <c r="F136" s="232" t="str">
        <f>$G$2</f>
        <v>Traditional OOR</v>
      </c>
      <c r="G136" s="232">
        <f t="shared" si="27"/>
        <v>992562.96</v>
      </c>
      <c r="H136" s="234">
        <v>0</v>
      </c>
      <c r="I136" s="234">
        <f t="shared" si="28"/>
        <v>992562.96</v>
      </c>
      <c r="J136" s="232">
        <f t="shared" si="29"/>
        <v>0</v>
      </c>
      <c r="K136" s="259"/>
      <c r="L136" s="247"/>
      <c r="M136" s="236">
        <f t="shared" si="30"/>
        <v>0</v>
      </c>
      <c r="N136" s="232">
        <f t="shared" si="31"/>
        <v>0</v>
      </c>
      <c r="O136" s="239">
        <v>4</v>
      </c>
    </row>
    <row r="137" spans="1:15" x14ac:dyDescent="0.2">
      <c r="A137" s="237" t="s">
        <v>643</v>
      </c>
      <c r="B137" s="229">
        <v>456.1</v>
      </c>
      <c r="C137" s="238" t="s">
        <v>644</v>
      </c>
      <c r="D137" s="230" t="s">
        <v>645</v>
      </c>
      <c r="E137" s="268">
        <v>231445.96</v>
      </c>
      <c r="F137" s="232" t="str">
        <f>$N$2</f>
        <v>Other Ratemaking</v>
      </c>
      <c r="G137" s="232">
        <f t="shared" si="27"/>
        <v>0</v>
      </c>
      <c r="H137" s="234">
        <v>0</v>
      </c>
      <c r="I137" s="234">
        <f t="shared" si="28"/>
        <v>0</v>
      </c>
      <c r="J137" s="232">
        <f t="shared" si="29"/>
        <v>0</v>
      </c>
      <c r="K137" s="259"/>
      <c r="L137" s="247"/>
      <c r="M137" s="236">
        <f t="shared" si="30"/>
        <v>0</v>
      </c>
      <c r="N137" s="232">
        <f t="shared" si="31"/>
        <v>231445.96</v>
      </c>
      <c r="O137" s="239">
        <v>6</v>
      </c>
    </row>
    <row r="138" spans="1:15" x14ac:dyDescent="0.2">
      <c r="A138" s="237" t="s">
        <v>646</v>
      </c>
      <c r="B138" s="229">
        <v>456.1</v>
      </c>
      <c r="C138" s="238" t="s">
        <v>647</v>
      </c>
      <c r="D138" s="230" t="s">
        <v>648</v>
      </c>
      <c r="E138" s="268">
        <v>39747437.960000001</v>
      </c>
      <c r="F138" s="232" t="str">
        <f>$N$2</f>
        <v>Other Ratemaking</v>
      </c>
      <c r="G138" s="232">
        <f t="shared" si="27"/>
        <v>0</v>
      </c>
      <c r="H138" s="234">
        <v>0</v>
      </c>
      <c r="I138" s="234">
        <f t="shared" si="28"/>
        <v>0</v>
      </c>
      <c r="J138" s="232">
        <f t="shared" si="29"/>
        <v>0</v>
      </c>
      <c r="K138" s="259"/>
      <c r="L138" s="247"/>
      <c r="M138" s="236">
        <f t="shared" si="30"/>
        <v>0</v>
      </c>
      <c r="N138" s="232">
        <f t="shared" si="31"/>
        <v>39747437.960000001</v>
      </c>
      <c r="O138" s="239">
        <v>6</v>
      </c>
    </row>
    <row r="139" spans="1:15" x14ac:dyDescent="0.2">
      <c r="A139" s="237" t="s">
        <v>649</v>
      </c>
      <c r="B139" s="229">
        <v>456.1</v>
      </c>
      <c r="C139" s="238" t="s">
        <v>650</v>
      </c>
      <c r="D139" s="230" t="s">
        <v>651</v>
      </c>
      <c r="E139" s="268">
        <v>0</v>
      </c>
      <c r="F139" s="232" t="str">
        <f>$N$2</f>
        <v>Other Ratemaking</v>
      </c>
      <c r="G139" s="232">
        <f t="shared" si="27"/>
        <v>0</v>
      </c>
      <c r="H139" s="234">
        <v>0</v>
      </c>
      <c r="I139" s="234">
        <f t="shared" si="28"/>
        <v>0</v>
      </c>
      <c r="J139" s="232">
        <f t="shared" si="29"/>
        <v>0</v>
      </c>
      <c r="K139" s="259"/>
      <c r="L139" s="247"/>
      <c r="M139" s="236">
        <f t="shared" si="30"/>
        <v>0</v>
      </c>
      <c r="N139" s="232">
        <f t="shared" si="31"/>
        <v>0</v>
      </c>
      <c r="O139" s="239">
        <v>6</v>
      </c>
    </row>
    <row r="140" spans="1:15" x14ac:dyDescent="0.2">
      <c r="A140" s="237" t="s">
        <v>652</v>
      </c>
      <c r="B140" s="229">
        <v>456.1</v>
      </c>
      <c r="C140" s="238" t="s">
        <v>653</v>
      </c>
      <c r="D140" s="230" t="s">
        <v>654</v>
      </c>
      <c r="E140" s="268">
        <v>32284584.41</v>
      </c>
      <c r="F140" s="232" t="str">
        <f>$G$2</f>
        <v>Traditional OOR</v>
      </c>
      <c r="G140" s="232">
        <f t="shared" si="27"/>
        <v>32284584.41</v>
      </c>
      <c r="H140" s="234">
        <f>G140</f>
        <v>32284584.41</v>
      </c>
      <c r="I140" s="234">
        <f t="shared" si="28"/>
        <v>0</v>
      </c>
      <c r="J140" s="232">
        <f t="shared" si="29"/>
        <v>0</v>
      </c>
      <c r="K140" s="259"/>
      <c r="L140" s="247"/>
      <c r="M140" s="236">
        <f t="shared" si="30"/>
        <v>0</v>
      </c>
      <c r="N140" s="232">
        <f t="shared" si="31"/>
        <v>0</v>
      </c>
      <c r="O140" s="239">
        <v>5</v>
      </c>
    </row>
    <row r="141" spans="1:15" x14ac:dyDescent="0.2">
      <c r="A141" s="237" t="s">
        <v>655</v>
      </c>
      <c r="B141" s="229">
        <v>456.1</v>
      </c>
      <c r="C141" s="238" t="s">
        <v>656</v>
      </c>
      <c r="D141" s="230" t="s">
        <v>657</v>
      </c>
      <c r="E141" s="268">
        <v>5020972.99</v>
      </c>
      <c r="F141" s="232" t="str">
        <f>$G$2</f>
        <v>Traditional OOR</v>
      </c>
      <c r="G141" s="232">
        <f t="shared" si="27"/>
        <v>5020972.99</v>
      </c>
      <c r="H141" s="234">
        <v>0</v>
      </c>
      <c r="I141" s="234">
        <f t="shared" si="28"/>
        <v>5020972.99</v>
      </c>
      <c r="J141" s="232">
        <f t="shared" si="29"/>
        <v>0</v>
      </c>
      <c r="K141" s="259"/>
      <c r="L141" s="247"/>
      <c r="M141" s="236">
        <f t="shared" si="30"/>
        <v>0</v>
      </c>
      <c r="N141" s="232">
        <f t="shared" si="31"/>
        <v>0</v>
      </c>
      <c r="O141" s="239">
        <v>4</v>
      </c>
    </row>
    <row r="142" spans="1:15" x14ac:dyDescent="0.2">
      <c r="A142" s="237" t="s">
        <v>658</v>
      </c>
      <c r="B142" s="229">
        <v>456.1</v>
      </c>
      <c r="C142" s="238" t="s">
        <v>659</v>
      </c>
      <c r="D142" s="230" t="s">
        <v>660</v>
      </c>
      <c r="E142" s="268">
        <v>394622.16</v>
      </c>
      <c r="F142" s="232" t="str">
        <f>$G$2</f>
        <v>Traditional OOR</v>
      </c>
      <c r="G142" s="232">
        <f t="shared" si="27"/>
        <v>394622.16</v>
      </c>
      <c r="H142" s="234">
        <v>0</v>
      </c>
      <c r="I142" s="234">
        <f t="shared" si="28"/>
        <v>394622.16</v>
      </c>
      <c r="J142" s="232">
        <f t="shared" si="29"/>
        <v>0</v>
      </c>
      <c r="K142" s="259"/>
      <c r="L142" s="247"/>
      <c r="M142" s="236">
        <f t="shared" si="30"/>
        <v>0</v>
      </c>
      <c r="N142" s="232">
        <f t="shared" si="31"/>
        <v>0</v>
      </c>
      <c r="O142" s="239">
        <v>4</v>
      </c>
    </row>
    <row r="143" spans="1:15" x14ac:dyDescent="0.2">
      <c r="A143" s="237" t="s">
        <v>661</v>
      </c>
      <c r="B143" s="229">
        <v>456.1</v>
      </c>
      <c r="C143" s="238" t="s">
        <v>662</v>
      </c>
      <c r="D143" s="230" t="s">
        <v>663</v>
      </c>
      <c r="E143" s="268">
        <v>0</v>
      </c>
      <c r="F143" s="232" t="str">
        <f>$N$2</f>
        <v>Other Ratemaking</v>
      </c>
      <c r="G143" s="232">
        <f t="shared" si="27"/>
        <v>0</v>
      </c>
      <c r="H143" s="234">
        <v>0</v>
      </c>
      <c r="I143" s="234">
        <f t="shared" si="28"/>
        <v>0</v>
      </c>
      <c r="J143" s="232">
        <f t="shared" si="29"/>
        <v>0</v>
      </c>
      <c r="K143" s="259"/>
      <c r="L143" s="247"/>
      <c r="M143" s="236">
        <f t="shared" si="30"/>
        <v>0</v>
      </c>
      <c r="N143" s="232">
        <f t="shared" si="31"/>
        <v>0</v>
      </c>
      <c r="O143" s="239">
        <v>6</v>
      </c>
    </row>
    <row r="144" spans="1:15" x14ac:dyDescent="0.2">
      <c r="A144" s="237" t="s">
        <v>664</v>
      </c>
      <c r="B144" s="229">
        <v>456.1</v>
      </c>
      <c r="C144" s="238" t="s">
        <v>665</v>
      </c>
      <c r="D144" s="230" t="s">
        <v>666</v>
      </c>
      <c r="E144" s="268">
        <v>1081985.76</v>
      </c>
      <c r="F144" s="232" t="str">
        <f t="shared" ref="F144:F151" si="32">$G$2</f>
        <v>Traditional OOR</v>
      </c>
      <c r="G144" s="232">
        <f t="shared" si="27"/>
        <v>1081985.76</v>
      </c>
      <c r="H144" s="234">
        <v>0</v>
      </c>
      <c r="I144" s="234">
        <f t="shared" si="28"/>
        <v>1081985.76</v>
      </c>
      <c r="J144" s="232">
        <f t="shared" si="29"/>
        <v>0</v>
      </c>
      <c r="K144" s="259"/>
      <c r="L144" s="247"/>
      <c r="M144" s="236">
        <f t="shared" si="30"/>
        <v>0</v>
      </c>
      <c r="N144" s="232">
        <f t="shared" si="31"/>
        <v>0</v>
      </c>
      <c r="O144" s="239">
        <v>4</v>
      </c>
    </row>
    <row r="145" spans="1:15" x14ac:dyDescent="0.2">
      <c r="A145" s="237" t="s">
        <v>667</v>
      </c>
      <c r="B145" s="229">
        <v>456.1</v>
      </c>
      <c r="C145" s="238" t="s">
        <v>668</v>
      </c>
      <c r="D145" s="230" t="s">
        <v>669</v>
      </c>
      <c r="E145" s="268">
        <v>402147.6</v>
      </c>
      <c r="F145" s="232" t="str">
        <f t="shared" si="32"/>
        <v>Traditional OOR</v>
      </c>
      <c r="G145" s="232">
        <f t="shared" si="27"/>
        <v>402147.6</v>
      </c>
      <c r="H145" s="234">
        <v>0</v>
      </c>
      <c r="I145" s="234">
        <f t="shared" si="28"/>
        <v>402147.6</v>
      </c>
      <c r="J145" s="232">
        <f t="shared" si="29"/>
        <v>0</v>
      </c>
      <c r="K145" s="259"/>
      <c r="L145" s="247"/>
      <c r="M145" s="236">
        <f t="shared" si="30"/>
        <v>0</v>
      </c>
      <c r="N145" s="232">
        <f t="shared" si="31"/>
        <v>0</v>
      </c>
      <c r="O145" s="239">
        <v>4</v>
      </c>
    </row>
    <row r="146" spans="1:15" x14ac:dyDescent="0.2">
      <c r="A146" s="237" t="s">
        <v>670</v>
      </c>
      <c r="B146" s="229">
        <v>456.1</v>
      </c>
      <c r="C146" s="238" t="s">
        <v>671</v>
      </c>
      <c r="D146" s="230" t="s">
        <v>672</v>
      </c>
      <c r="E146" s="268">
        <v>206110.56</v>
      </c>
      <c r="F146" s="232" t="str">
        <f t="shared" si="32"/>
        <v>Traditional OOR</v>
      </c>
      <c r="G146" s="232">
        <f t="shared" si="27"/>
        <v>206110.56</v>
      </c>
      <c r="H146" s="234">
        <v>0</v>
      </c>
      <c r="I146" s="234">
        <f t="shared" si="28"/>
        <v>206110.56</v>
      </c>
      <c r="J146" s="232">
        <f t="shared" si="29"/>
        <v>0</v>
      </c>
      <c r="K146" s="259"/>
      <c r="L146" s="247"/>
      <c r="M146" s="236">
        <f t="shared" si="30"/>
        <v>0</v>
      </c>
      <c r="N146" s="232">
        <f t="shared" si="31"/>
        <v>0</v>
      </c>
      <c r="O146" s="239">
        <v>4</v>
      </c>
    </row>
    <row r="147" spans="1:15" x14ac:dyDescent="0.2">
      <c r="A147" s="237" t="s">
        <v>673</v>
      </c>
      <c r="B147" s="229">
        <v>456.1</v>
      </c>
      <c r="C147" s="238" t="s">
        <v>674</v>
      </c>
      <c r="D147" s="230" t="s">
        <v>675</v>
      </c>
      <c r="E147" s="268">
        <v>551001.72</v>
      </c>
      <c r="F147" s="232" t="str">
        <f t="shared" si="32"/>
        <v>Traditional OOR</v>
      </c>
      <c r="G147" s="232">
        <f t="shared" si="27"/>
        <v>551001.72</v>
      </c>
      <c r="H147" s="234">
        <v>0</v>
      </c>
      <c r="I147" s="234">
        <f t="shared" si="28"/>
        <v>551001.72</v>
      </c>
      <c r="J147" s="232">
        <f t="shared" si="29"/>
        <v>0</v>
      </c>
      <c r="K147" s="259"/>
      <c r="L147" s="247"/>
      <c r="M147" s="236">
        <f t="shared" si="30"/>
        <v>0</v>
      </c>
      <c r="N147" s="232">
        <f t="shared" si="31"/>
        <v>0</v>
      </c>
      <c r="O147" s="239">
        <v>4</v>
      </c>
    </row>
    <row r="148" spans="1:15" x14ac:dyDescent="0.2">
      <c r="A148" s="237" t="s">
        <v>676</v>
      </c>
      <c r="B148" s="229">
        <v>456.1</v>
      </c>
      <c r="C148" s="238" t="s">
        <v>677</v>
      </c>
      <c r="D148" s="230" t="s">
        <v>678</v>
      </c>
      <c r="E148" s="268">
        <v>650488.19999999995</v>
      </c>
      <c r="F148" s="232" t="str">
        <f t="shared" si="32"/>
        <v>Traditional OOR</v>
      </c>
      <c r="G148" s="232">
        <f t="shared" si="27"/>
        <v>650488.19999999995</v>
      </c>
      <c r="H148" s="234">
        <v>0</v>
      </c>
      <c r="I148" s="234">
        <f t="shared" si="28"/>
        <v>650488.19999999995</v>
      </c>
      <c r="J148" s="232">
        <f t="shared" si="29"/>
        <v>0</v>
      </c>
      <c r="K148" s="259"/>
      <c r="L148" s="247"/>
      <c r="M148" s="236">
        <f t="shared" si="30"/>
        <v>0</v>
      </c>
      <c r="N148" s="232">
        <f t="shared" si="31"/>
        <v>0</v>
      </c>
      <c r="O148" s="239">
        <v>4</v>
      </c>
    </row>
    <row r="149" spans="1:15" x14ac:dyDescent="0.2">
      <c r="A149" s="237" t="s">
        <v>679</v>
      </c>
      <c r="B149" s="229">
        <v>456.1</v>
      </c>
      <c r="C149" s="238" t="s">
        <v>680</v>
      </c>
      <c r="D149" s="230" t="s">
        <v>681</v>
      </c>
      <c r="E149" s="268">
        <v>264133.44</v>
      </c>
      <c r="F149" s="232" t="str">
        <f t="shared" si="32"/>
        <v>Traditional OOR</v>
      </c>
      <c r="G149" s="232">
        <f t="shared" si="27"/>
        <v>264133.44</v>
      </c>
      <c r="H149" s="234">
        <v>0</v>
      </c>
      <c r="I149" s="234">
        <f t="shared" si="28"/>
        <v>264133.44</v>
      </c>
      <c r="J149" s="232">
        <f t="shared" si="29"/>
        <v>0</v>
      </c>
      <c r="K149" s="259"/>
      <c r="L149" s="247"/>
      <c r="M149" s="236">
        <f t="shared" si="30"/>
        <v>0</v>
      </c>
      <c r="N149" s="232">
        <f t="shared" si="31"/>
        <v>0</v>
      </c>
      <c r="O149" s="239">
        <v>4</v>
      </c>
    </row>
    <row r="150" spans="1:15" x14ac:dyDescent="0.2">
      <c r="A150" s="237" t="s">
        <v>682</v>
      </c>
      <c r="B150" s="229">
        <v>456.1</v>
      </c>
      <c r="C150" s="238" t="s">
        <v>683</v>
      </c>
      <c r="D150" s="230" t="s">
        <v>684</v>
      </c>
      <c r="E150" s="231">
        <v>0</v>
      </c>
      <c r="F150" s="232" t="str">
        <f t="shared" si="32"/>
        <v>Traditional OOR</v>
      </c>
      <c r="G150" s="232">
        <f t="shared" si="27"/>
        <v>0</v>
      </c>
      <c r="H150" s="234">
        <v>0</v>
      </c>
      <c r="I150" s="234">
        <f t="shared" si="28"/>
        <v>0</v>
      </c>
      <c r="J150" s="232">
        <f t="shared" si="29"/>
        <v>0</v>
      </c>
      <c r="K150" s="232"/>
      <c r="L150" s="247"/>
      <c r="M150" s="236">
        <f t="shared" si="30"/>
        <v>0</v>
      </c>
      <c r="N150" s="232">
        <f t="shared" si="31"/>
        <v>0</v>
      </c>
      <c r="O150" s="239">
        <v>4</v>
      </c>
    </row>
    <row r="151" spans="1:15" x14ac:dyDescent="0.2">
      <c r="A151" s="237" t="s">
        <v>685</v>
      </c>
      <c r="B151" s="229">
        <v>456.1</v>
      </c>
      <c r="C151" s="238" t="s">
        <v>686</v>
      </c>
      <c r="D151" s="230" t="s">
        <v>687</v>
      </c>
      <c r="E151" s="268">
        <v>42492.12</v>
      </c>
      <c r="F151" s="232" t="str">
        <f t="shared" si="32"/>
        <v>Traditional OOR</v>
      </c>
      <c r="G151" s="232">
        <f t="shared" si="27"/>
        <v>42492.12</v>
      </c>
      <c r="H151" s="234">
        <v>0</v>
      </c>
      <c r="I151" s="234">
        <f t="shared" si="28"/>
        <v>42492.12</v>
      </c>
      <c r="J151" s="232">
        <f t="shared" si="29"/>
        <v>0</v>
      </c>
      <c r="K151" s="259"/>
      <c r="L151" s="247"/>
      <c r="M151" s="236">
        <f t="shared" si="30"/>
        <v>0</v>
      </c>
      <c r="N151" s="232">
        <f t="shared" si="31"/>
        <v>0</v>
      </c>
      <c r="O151" s="239">
        <v>4</v>
      </c>
    </row>
    <row r="152" spans="1:15" x14ac:dyDescent="0.2">
      <c r="A152" s="237" t="s">
        <v>688</v>
      </c>
      <c r="B152" s="229">
        <v>456.1</v>
      </c>
      <c r="C152" s="238" t="s">
        <v>689</v>
      </c>
      <c r="D152" s="230" t="s">
        <v>690</v>
      </c>
      <c r="E152" s="268">
        <v>77078.759999999995</v>
      </c>
      <c r="F152" s="232" t="str">
        <f>$N$2</f>
        <v>Other Ratemaking</v>
      </c>
      <c r="G152" s="232">
        <f t="shared" si="27"/>
        <v>0</v>
      </c>
      <c r="H152" s="234">
        <v>0</v>
      </c>
      <c r="I152" s="234">
        <f t="shared" si="28"/>
        <v>0</v>
      </c>
      <c r="J152" s="232">
        <f t="shared" si="29"/>
        <v>0</v>
      </c>
      <c r="K152" s="259"/>
      <c r="L152" s="247"/>
      <c r="M152" s="236">
        <f t="shared" si="30"/>
        <v>0</v>
      </c>
      <c r="N152" s="232">
        <f t="shared" si="31"/>
        <v>77078.759999999995</v>
      </c>
      <c r="O152" s="239">
        <v>6</v>
      </c>
    </row>
    <row r="153" spans="1:15" x14ac:dyDescent="0.2">
      <c r="A153" s="241"/>
      <c r="B153" s="242"/>
      <c r="C153" s="243"/>
      <c r="D153" s="244"/>
      <c r="E153" s="268"/>
      <c r="F153" s="268"/>
      <c r="G153" s="248"/>
      <c r="H153" s="247"/>
      <c r="I153" s="247"/>
      <c r="J153" s="231"/>
      <c r="K153" s="268"/>
      <c r="L153" s="247"/>
      <c r="M153" s="247"/>
      <c r="N153" s="231"/>
      <c r="O153" s="246"/>
    </row>
    <row r="154" spans="1:15" x14ac:dyDescent="0.2">
      <c r="A154" s="241"/>
      <c r="B154" s="242"/>
      <c r="C154" s="243"/>
      <c r="D154" s="244"/>
      <c r="E154" s="268"/>
      <c r="F154" s="268"/>
      <c r="G154" s="248"/>
      <c r="H154" s="247"/>
      <c r="I154" s="247"/>
      <c r="J154" s="231"/>
      <c r="K154" s="268"/>
      <c r="L154" s="247"/>
      <c r="M154" s="247"/>
      <c r="N154" s="231"/>
      <c r="O154" s="246"/>
    </row>
    <row r="155" spans="1:15" x14ac:dyDescent="0.2">
      <c r="A155" s="237">
        <v>16</v>
      </c>
      <c r="B155" s="507" t="s">
        <v>691</v>
      </c>
      <c r="C155" s="508"/>
      <c r="D155" s="509"/>
      <c r="E155" s="249">
        <f>SUM(E134:E154)</f>
        <v>82246802.640000001</v>
      </c>
      <c r="F155" s="250"/>
      <c r="G155" s="249">
        <f>SUM(G134:G154)</f>
        <v>42190839.959999993</v>
      </c>
      <c r="H155" s="251">
        <f>SUM(H134:H154)</f>
        <v>32284584.41</v>
      </c>
      <c r="I155" s="251">
        <f>SUM(I134:I154)</f>
        <v>9906255.5499999989</v>
      </c>
      <c r="J155" s="249">
        <f>SUM(J134:J154)</f>
        <v>0</v>
      </c>
      <c r="K155" s="250"/>
      <c r="L155" s="249">
        <f>SUM(L134:L154)</f>
        <v>0</v>
      </c>
      <c r="M155" s="249">
        <f>SUM(M134:M154)</f>
        <v>0</v>
      </c>
      <c r="N155" s="249">
        <f>SUM(N134:N154)</f>
        <v>40055962.68</v>
      </c>
      <c r="O155" s="213"/>
    </row>
    <row r="156" spans="1:15" ht="25.5" customHeight="1" x14ac:dyDescent="0.2">
      <c r="A156" s="237">
        <v>17</v>
      </c>
      <c r="B156" s="501" t="s">
        <v>692</v>
      </c>
      <c r="C156" s="502"/>
      <c r="D156" s="503"/>
      <c r="E156" s="252">
        <v>82246803</v>
      </c>
      <c r="F156" s="253"/>
      <c r="G156" s="276"/>
      <c r="H156" s="277"/>
      <c r="I156" s="277"/>
      <c r="J156" s="278"/>
      <c r="K156" s="277"/>
      <c r="L156" s="278"/>
      <c r="M156" s="278"/>
      <c r="N156" s="278"/>
      <c r="O156" s="165"/>
    </row>
    <row r="157" spans="1:15" x14ac:dyDescent="0.2">
      <c r="A157" s="255"/>
      <c r="B157" s="256"/>
      <c r="C157" s="257"/>
      <c r="D157" s="258"/>
      <c r="E157" s="278"/>
      <c r="F157" s="278"/>
      <c r="G157" s="278"/>
      <c r="H157" s="277"/>
      <c r="I157" s="277"/>
      <c r="J157" s="278"/>
      <c r="K157" s="277"/>
      <c r="L157" s="278"/>
      <c r="M157" s="278"/>
      <c r="N157" s="278"/>
      <c r="O157" s="165"/>
    </row>
    <row r="158" spans="1:15" x14ac:dyDescent="0.2">
      <c r="A158" s="241" t="s">
        <v>693</v>
      </c>
      <c r="B158" s="279"/>
      <c r="C158" s="280"/>
      <c r="D158" s="280"/>
      <c r="E158" s="281"/>
      <c r="F158" s="281"/>
      <c r="G158" s="281"/>
      <c r="H158" s="281"/>
      <c r="I158" s="281"/>
      <c r="J158" s="281"/>
      <c r="K158" s="281"/>
      <c r="L158" s="281"/>
      <c r="M158" s="281"/>
      <c r="N158" s="281"/>
      <c r="O158" s="246"/>
    </row>
    <row r="159" spans="1:15" x14ac:dyDescent="0.2">
      <c r="A159" s="241"/>
      <c r="B159" s="282"/>
      <c r="C159" s="280"/>
      <c r="D159" s="280"/>
      <c r="E159" s="281"/>
      <c r="F159" s="281"/>
      <c r="G159" s="281"/>
      <c r="H159" s="281"/>
      <c r="I159" s="281"/>
      <c r="J159" s="281"/>
      <c r="K159" s="281"/>
      <c r="L159" s="281"/>
      <c r="M159" s="281"/>
      <c r="N159" s="281"/>
      <c r="O159" s="246"/>
    </row>
    <row r="160" spans="1:15" x14ac:dyDescent="0.2">
      <c r="A160" s="228">
        <v>19</v>
      </c>
      <c r="B160" s="507" t="s">
        <v>694</v>
      </c>
      <c r="C160" s="508"/>
      <c r="D160" s="509"/>
      <c r="E160" s="249">
        <f>SUM(E158:E159)</f>
        <v>0</v>
      </c>
      <c r="F160" s="283"/>
      <c r="G160" s="249">
        <f>SUM(G158:G159)</f>
        <v>0</v>
      </c>
      <c r="H160" s="249">
        <f t="shared" ref="H160:N160" si="33">SUM(H158:H159)</f>
        <v>0</v>
      </c>
      <c r="I160" s="249">
        <f t="shared" si="33"/>
        <v>0</v>
      </c>
      <c r="J160" s="249">
        <f t="shared" si="33"/>
        <v>0</v>
      </c>
      <c r="K160" s="250"/>
      <c r="L160" s="249">
        <f t="shared" si="33"/>
        <v>0</v>
      </c>
      <c r="M160" s="249">
        <f t="shared" si="33"/>
        <v>0</v>
      </c>
      <c r="N160" s="249">
        <f t="shared" si="33"/>
        <v>0</v>
      </c>
      <c r="O160" s="249"/>
    </row>
    <row r="161" spans="1:15" ht="26.25" customHeight="1" x14ac:dyDescent="0.2">
      <c r="A161" s="228">
        <v>20</v>
      </c>
      <c r="B161" s="514" t="s">
        <v>695</v>
      </c>
      <c r="C161" s="515"/>
      <c r="D161" s="516"/>
      <c r="E161" s="252">
        <v>0</v>
      </c>
      <c r="F161" s="278"/>
      <c r="G161" s="254"/>
      <c r="H161" s="253"/>
      <c r="I161" s="253"/>
      <c r="J161" s="254"/>
      <c r="K161" s="253"/>
      <c r="L161" s="254"/>
      <c r="M161" s="254"/>
      <c r="N161" s="254"/>
      <c r="O161" s="284"/>
    </row>
    <row r="162" spans="1:15" x14ac:dyDescent="0.2">
      <c r="A162" s="255"/>
      <c r="B162" s="256"/>
      <c r="C162" s="257"/>
      <c r="D162" s="258"/>
      <c r="E162" s="278"/>
      <c r="F162" s="278"/>
      <c r="G162" s="254"/>
      <c r="H162" s="253"/>
      <c r="I162" s="253"/>
      <c r="J162" s="254"/>
      <c r="K162" s="253"/>
      <c r="L162" s="254"/>
      <c r="M162" s="254"/>
      <c r="N162" s="254"/>
      <c r="O162" s="284"/>
    </row>
    <row r="163" spans="1:15" x14ac:dyDescent="0.2">
      <c r="A163" s="241" t="s">
        <v>696</v>
      </c>
      <c r="B163" s="279"/>
      <c r="C163" s="280"/>
      <c r="D163" s="280"/>
      <c r="E163" s="281"/>
      <c r="F163" s="281"/>
      <c r="G163" s="252"/>
      <c r="H163" s="252"/>
      <c r="I163" s="252"/>
      <c r="J163" s="252"/>
      <c r="K163" s="252"/>
      <c r="L163" s="252"/>
      <c r="M163" s="252"/>
      <c r="N163" s="252"/>
      <c r="O163" s="247"/>
    </row>
    <row r="164" spans="1:15" x14ac:dyDescent="0.2">
      <c r="A164" s="241"/>
      <c r="B164" s="282"/>
      <c r="C164" s="280"/>
      <c r="D164" s="280"/>
      <c r="E164" s="281"/>
      <c r="F164" s="281"/>
      <c r="G164" s="252"/>
      <c r="H164" s="252"/>
      <c r="I164" s="252"/>
      <c r="J164" s="252"/>
      <c r="K164" s="252"/>
      <c r="L164" s="252"/>
      <c r="M164" s="252"/>
      <c r="N164" s="252"/>
      <c r="O164" s="247"/>
    </row>
    <row r="165" spans="1:15" x14ac:dyDescent="0.2">
      <c r="A165" s="228">
        <v>22</v>
      </c>
      <c r="B165" s="507" t="s">
        <v>697</v>
      </c>
      <c r="C165" s="508"/>
      <c r="D165" s="509"/>
      <c r="E165" s="249">
        <f>SUM(E163:E164)</f>
        <v>0</v>
      </c>
      <c r="F165" s="283"/>
      <c r="G165" s="249">
        <f>SUM(G163:G164)</f>
        <v>0</v>
      </c>
      <c r="H165" s="249">
        <f>SUM(H163:H164)</f>
        <v>0</v>
      </c>
      <c r="I165" s="249">
        <f>SUM(I163:I164)</f>
        <v>0</v>
      </c>
      <c r="J165" s="249">
        <f>SUM(J163:J164)</f>
        <v>0</v>
      </c>
      <c r="K165" s="250"/>
      <c r="L165" s="249">
        <f>SUM(L163:L164)</f>
        <v>0</v>
      </c>
      <c r="M165" s="249">
        <f>SUM(M163:M164)</f>
        <v>0</v>
      </c>
      <c r="N165" s="249">
        <f>SUM(N163:N164)</f>
        <v>0</v>
      </c>
      <c r="O165" s="249"/>
    </row>
    <row r="166" spans="1:15" ht="26.25" customHeight="1" x14ac:dyDescent="0.2">
      <c r="A166" s="228">
        <v>23</v>
      </c>
      <c r="B166" s="514" t="s">
        <v>698</v>
      </c>
      <c r="C166" s="515"/>
      <c r="D166" s="516"/>
      <c r="E166" s="252">
        <v>0</v>
      </c>
      <c r="F166" s="278"/>
      <c r="G166" s="278"/>
      <c r="H166" s="277"/>
      <c r="I166" s="277"/>
      <c r="J166" s="278"/>
      <c r="K166" s="277"/>
      <c r="L166" s="278"/>
      <c r="M166" s="278"/>
      <c r="N166" s="278"/>
      <c r="O166" s="165"/>
    </row>
    <row r="167" spans="1:15" x14ac:dyDescent="0.2">
      <c r="A167" s="255"/>
      <c r="B167" s="256"/>
      <c r="C167" s="257"/>
      <c r="D167" s="258"/>
      <c r="E167" s="278"/>
      <c r="F167" s="278"/>
      <c r="G167" s="278"/>
      <c r="H167" s="277"/>
      <c r="I167" s="277"/>
      <c r="J167" s="278"/>
      <c r="K167" s="277"/>
      <c r="L167" s="278"/>
      <c r="M167" s="278"/>
      <c r="N167" s="278"/>
      <c r="O167" s="165"/>
    </row>
    <row r="168" spans="1:15" x14ac:dyDescent="0.2">
      <c r="A168" s="255"/>
      <c r="B168" s="256" t="s">
        <v>699</v>
      </c>
      <c r="C168" s="257"/>
      <c r="D168" s="258"/>
      <c r="E168" s="278"/>
      <c r="F168" s="278"/>
      <c r="G168" s="278"/>
      <c r="H168" s="277"/>
      <c r="I168" s="277"/>
      <c r="J168" s="278"/>
      <c r="K168" s="277"/>
      <c r="L168" s="278"/>
      <c r="M168" s="278"/>
      <c r="N168" s="278"/>
      <c r="O168" s="165"/>
    </row>
    <row r="169" spans="1:15" x14ac:dyDescent="0.2">
      <c r="A169" s="237" t="s">
        <v>700</v>
      </c>
      <c r="B169" s="285">
        <v>417</v>
      </c>
      <c r="C169" s="286">
        <v>4863135</v>
      </c>
      <c r="D169" s="287" t="s">
        <v>701</v>
      </c>
      <c r="E169" s="268">
        <v>0</v>
      </c>
      <c r="F169" s="232" t="str">
        <f t="shared" ref="F169:F183" si="34">$J$2</f>
        <v>GRSM</v>
      </c>
      <c r="G169" s="232">
        <f t="shared" ref="G169:G183" si="35">IF(F169=$G$2,E169,0)</f>
        <v>0</v>
      </c>
      <c r="H169" s="234">
        <v>0</v>
      </c>
      <c r="I169" s="234">
        <f t="shared" ref="I169:I183" si="36">G169-H169</f>
        <v>0</v>
      </c>
      <c r="J169" s="232">
        <f t="shared" ref="J169:J183" si="37">IF(F169=$J$2,E169,0)</f>
        <v>0</v>
      </c>
      <c r="K169" s="233" t="s">
        <v>316</v>
      </c>
      <c r="L169" s="231">
        <v>0</v>
      </c>
      <c r="M169" s="288">
        <f t="shared" ref="M169:M183" si="38">J169-L169</f>
        <v>0</v>
      </c>
      <c r="N169" s="232">
        <f t="shared" ref="N169:N183" si="39">IF(F169=$N$2,E169,0)</f>
        <v>0</v>
      </c>
      <c r="O169" s="239">
        <v>2</v>
      </c>
    </row>
    <row r="170" spans="1:15" x14ac:dyDescent="0.2">
      <c r="A170" s="237" t="s">
        <v>702</v>
      </c>
      <c r="B170" s="285">
        <v>417</v>
      </c>
      <c r="C170" s="286">
        <v>4863130</v>
      </c>
      <c r="D170" s="287" t="s">
        <v>703</v>
      </c>
      <c r="E170" s="268">
        <v>723135.4</v>
      </c>
      <c r="F170" s="232" t="str">
        <f t="shared" si="34"/>
        <v>GRSM</v>
      </c>
      <c r="G170" s="232">
        <f t="shared" si="35"/>
        <v>0</v>
      </c>
      <c r="H170" s="234">
        <v>0</v>
      </c>
      <c r="I170" s="234">
        <f t="shared" si="36"/>
        <v>0</v>
      </c>
      <c r="J170" s="232">
        <f t="shared" si="37"/>
        <v>723135.4</v>
      </c>
      <c r="K170" s="233" t="s">
        <v>316</v>
      </c>
      <c r="L170" s="231">
        <v>125619.1</v>
      </c>
      <c r="M170" s="288">
        <f t="shared" si="38"/>
        <v>597516.30000000005</v>
      </c>
      <c r="N170" s="232">
        <f t="shared" si="39"/>
        <v>0</v>
      </c>
      <c r="O170" s="239">
        <v>2</v>
      </c>
    </row>
    <row r="171" spans="1:15" x14ac:dyDescent="0.2">
      <c r="A171" s="237" t="s">
        <v>704</v>
      </c>
      <c r="B171" s="285">
        <v>417</v>
      </c>
      <c r="C171" s="286">
        <v>4862110</v>
      </c>
      <c r="D171" s="287" t="s">
        <v>705</v>
      </c>
      <c r="E171" s="268">
        <v>5888976.6600000001</v>
      </c>
      <c r="F171" s="232" t="str">
        <f t="shared" si="34"/>
        <v>GRSM</v>
      </c>
      <c r="G171" s="232">
        <f t="shared" si="35"/>
        <v>0</v>
      </c>
      <c r="H171" s="234">
        <v>0</v>
      </c>
      <c r="I171" s="234">
        <f t="shared" si="36"/>
        <v>0</v>
      </c>
      <c r="J171" s="232">
        <f t="shared" si="37"/>
        <v>5888976.6600000001</v>
      </c>
      <c r="K171" s="233" t="s">
        <v>280</v>
      </c>
      <c r="L171" s="231">
        <v>1042735.4</v>
      </c>
      <c r="M171" s="288">
        <f t="shared" si="38"/>
        <v>4846241.26</v>
      </c>
      <c r="N171" s="232">
        <f t="shared" si="39"/>
        <v>0</v>
      </c>
      <c r="O171" s="239">
        <v>2</v>
      </c>
    </row>
    <row r="172" spans="1:15" x14ac:dyDescent="0.2">
      <c r="A172" s="237" t="s">
        <v>706</v>
      </c>
      <c r="B172" s="285">
        <v>417</v>
      </c>
      <c r="C172" s="286">
        <v>4862115</v>
      </c>
      <c r="D172" s="287" t="s">
        <v>707</v>
      </c>
      <c r="E172" s="268">
        <v>3328620</v>
      </c>
      <c r="F172" s="232" t="str">
        <f t="shared" si="34"/>
        <v>GRSM</v>
      </c>
      <c r="G172" s="232">
        <f t="shared" si="35"/>
        <v>0</v>
      </c>
      <c r="H172" s="234">
        <v>0</v>
      </c>
      <c r="I172" s="234">
        <f t="shared" si="36"/>
        <v>0</v>
      </c>
      <c r="J172" s="232">
        <f t="shared" si="37"/>
        <v>3328620</v>
      </c>
      <c r="K172" s="233" t="s">
        <v>280</v>
      </c>
      <c r="L172" s="231">
        <v>577710.9</v>
      </c>
      <c r="M172" s="288">
        <f t="shared" si="38"/>
        <v>2750909.1</v>
      </c>
      <c r="N172" s="232">
        <f t="shared" si="39"/>
        <v>0</v>
      </c>
      <c r="O172" s="239">
        <v>2</v>
      </c>
    </row>
    <row r="173" spans="1:15" x14ac:dyDescent="0.2">
      <c r="A173" s="237" t="s">
        <v>708</v>
      </c>
      <c r="B173" s="285">
        <v>417</v>
      </c>
      <c r="C173" s="286">
        <v>4862120</v>
      </c>
      <c r="D173" s="287" t="s">
        <v>709</v>
      </c>
      <c r="E173" s="268">
        <v>290712.5</v>
      </c>
      <c r="F173" s="232" t="str">
        <f t="shared" si="34"/>
        <v>GRSM</v>
      </c>
      <c r="G173" s="232">
        <f t="shared" si="35"/>
        <v>0</v>
      </c>
      <c r="H173" s="234">
        <v>0</v>
      </c>
      <c r="I173" s="234">
        <f t="shared" si="36"/>
        <v>0</v>
      </c>
      <c r="J173" s="232">
        <f t="shared" si="37"/>
        <v>290712.5</v>
      </c>
      <c r="K173" s="233" t="s">
        <v>280</v>
      </c>
      <c r="L173" s="231">
        <v>47730.1</v>
      </c>
      <c r="M173" s="288">
        <f t="shared" si="38"/>
        <v>242982.39999999999</v>
      </c>
      <c r="N173" s="232">
        <f t="shared" si="39"/>
        <v>0</v>
      </c>
      <c r="O173" s="239">
        <v>2</v>
      </c>
    </row>
    <row r="174" spans="1:15" x14ac:dyDescent="0.2">
      <c r="A174" s="237" t="s">
        <v>710</v>
      </c>
      <c r="B174" s="285">
        <v>417</v>
      </c>
      <c r="C174" s="286">
        <v>4862135</v>
      </c>
      <c r="D174" s="287" t="s">
        <v>711</v>
      </c>
      <c r="E174" s="268">
        <v>27127588.469999999</v>
      </c>
      <c r="F174" s="232" t="str">
        <f t="shared" si="34"/>
        <v>GRSM</v>
      </c>
      <c r="G174" s="232">
        <f t="shared" si="35"/>
        <v>0</v>
      </c>
      <c r="H174" s="234">
        <v>0</v>
      </c>
      <c r="I174" s="234">
        <f t="shared" si="36"/>
        <v>0</v>
      </c>
      <c r="J174" s="232">
        <f t="shared" si="37"/>
        <v>27127588.469999999</v>
      </c>
      <c r="K174" s="233" t="s">
        <v>280</v>
      </c>
      <c r="L174" s="231">
        <v>4786591</v>
      </c>
      <c r="M174" s="288">
        <f t="shared" si="38"/>
        <v>22340997.469999999</v>
      </c>
      <c r="N174" s="232">
        <f t="shared" si="39"/>
        <v>0</v>
      </c>
      <c r="O174" s="239">
        <v>2</v>
      </c>
    </row>
    <row r="175" spans="1:15" x14ac:dyDescent="0.2">
      <c r="A175" s="237" t="s">
        <v>712</v>
      </c>
      <c r="B175" s="285">
        <v>417</v>
      </c>
      <c r="C175" s="286">
        <v>4864110</v>
      </c>
      <c r="D175" s="287" t="s">
        <v>713</v>
      </c>
      <c r="E175" s="268">
        <v>0</v>
      </c>
      <c r="F175" s="232" t="str">
        <f t="shared" si="34"/>
        <v>GRSM</v>
      </c>
      <c r="G175" s="232">
        <f t="shared" si="35"/>
        <v>0</v>
      </c>
      <c r="H175" s="234">
        <v>0</v>
      </c>
      <c r="I175" s="234">
        <f t="shared" si="36"/>
        <v>0</v>
      </c>
      <c r="J175" s="232">
        <f t="shared" si="37"/>
        <v>0</v>
      </c>
      <c r="K175" s="233" t="s">
        <v>280</v>
      </c>
      <c r="L175" s="231">
        <v>0</v>
      </c>
      <c r="M175" s="288">
        <f t="shared" si="38"/>
        <v>0</v>
      </c>
      <c r="N175" s="232">
        <f t="shared" si="39"/>
        <v>0</v>
      </c>
      <c r="O175" s="239">
        <v>2</v>
      </c>
    </row>
    <row r="176" spans="1:15" x14ac:dyDescent="0.2">
      <c r="A176" s="237" t="s">
        <v>714</v>
      </c>
      <c r="B176" s="285">
        <v>417</v>
      </c>
      <c r="C176" s="286">
        <v>4864115</v>
      </c>
      <c r="D176" s="287" t="s">
        <v>715</v>
      </c>
      <c r="E176" s="268">
        <v>404183.75</v>
      </c>
      <c r="F176" s="232" t="str">
        <f t="shared" si="34"/>
        <v>GRSM</v>
      </c>
      <c r="G176" s="232">
        <f t="shared" si="35"/>
        <v>0</v>
      </c>
      <c r="H176" s="234">
        <v>0</v>
      </c>
      <c r="I176" s="234">
        <f t="shared" si="36"/>
        <v>0</v>
      </c>
      <c r="J176" s="232">
        <f t="shared" si="37"/>
        <v>404183.75</v>
      </c>
      <c r="K176" s="233" t="s">
        <v>280</v>
      </c>
      <c r="L176" s="231">
        <v>66803</v>
      </c>
      <c r="M176" s="288">
        <f t="shared" si="38"/>
        <v>337380.75</v>
      </c>
      <c r="N176" s="232">
        <f t="shared" si="39"/>
        <v>0</v>
      </c>
      <c r="O176" s="239">
        <v>2</v>
      </c>
    </row>
    <row r="177" spans="1:15" x14ac:dyDescent="0.2">
      <c r="A177" s="237" t="s">
        <v>716</v>
      </c>
      <c r="B177" s="285">
        <v>417</v>
      </c>
      <c r="C177" s="286">
        <v>4862125</v>
      </c>
      <c r="D177" s="287" t="s">
        <v>717</v>
      </c>
      <c r="E177" s="268">
        <v>13224826.68</v>
      </c>
      <c r="F177" s="232" t="str">
        <f t="shared" si="34"/>
        <v>GRSM</v>
      </c>
      <c r="G177" s="232">
        <f t="shared" si="35"/>
        <v>0</v>
      </c>
      <c r="H177" s="234">
        <v>0</v>
      </c>
      <c r="I177" s="234">
        <f t="shared" si="36"/>
        <v>0</v>
      </c>
      <c r="J177" s="232">
        <f t="shared" si="37"/>
        <v>13224826.68</v>
      </c>
      <c r="K177" s="233" t="s">
        <v>280</v>
      </c>
      <c r="L177" s="231">
        <v>2296523.7999999998</v>
      </c>
      <c r="M177" s="288">
        <f t="shared" si="38"/>
        <v>10928302.879999999</v>
      </c>
      <c r="N177" s="232">
        <f t="shared" si="39"/>
        <v>0</v>
      </c>
      <c r="O177" s="239">
        <v>2</v>
      </c>
    </row>
    <row r="178" spans="1:15" x14ac:dyDescent="0.2">
      <c r="A178" s="237" t="s">
        <v>718</v>
      </c>
      <c r="B178" s="285">
        <v>417</v>
      </c>
      <c r="C178" s="286">
        <v>4862130</v>
      </c>
      <c r="D178" s="287" t="s">
        <v>719</v>
      </c>
      <c r="E178" s="268">
        <v>3493945.16</v>
      </c>
      <c r="F178" s="232" t="str">
        <f t="shared" si="34"/>
        <v>GRSM</v>
      </c>
      <c r="G178" s="232">
        <f t="shared" si="35"/>
        <v>0</v>
      </c>
      <c r="H178" s="234">
        <v>0</v>
      </c>
      <c r="I178" s="234">
        <f t="shared" si="36"/>
        <v>0</v>
      </c>
      <c r="J178" s="232">
        <f t="shared" si="37"/>
        <v>3493945.16</v>
      </c>
      <c r="K178" s="233" t="s">
        <v>280</v>
      </c>
      <c r="L178" s="231">
        <v>599824.80000000005</v>
      </c>
      <c r="M178" s="288">
        <f t="shared" si="38"/>
        <v>2894120.3600000003</v>
      </c>
      <c r="N178" s="232">
        <f t="shared" si="39"/>
        <v>0</v>
      </c>
      <c r="O178" s="239">
        <v>2</v>
      </c>
    </row>
    <row r="179" spans="1:15" x14ac:dyDescent="0.2">
      <c r="A179" s="237" t="s">
        <v>720</v>
      </c>
      <c r="B179" s="285">
        <v>417</v>
      </c>
      <c r="C179" s="286">
        <v>4863120</v>
      </c>
      <c r="D179" s="287" t="s">
        <v>721</v>
      </c>
      <c r="E179" s="268">
        <v>385762.16</v>
      </c>
      <c r="F179" s="232" t="str">
        <f t="shared" si="34"/>
        <v>GRSM</v>
      </c>
      <c r="G179" s="232">
        <f t="shared" si="35"/>
        <v>0</v>
      </c>
      <c r="H179" s="234">
        <v>0</v>
      </c>
      <c r="I179" s="234">
        <f t="shared" si="36"/>
        <v>0</v>
      </c>
      <c r="J179" s="232">
        <f t="shared" si="37"/>
        <v>385762.16</v>
      </c>
      <c r="K179" s="233" t="s">
        <v>316</v>
      </c>
      <c r="L179" s="231">
        <v>55834.7</v>
      </c>
      <c r="M179" s="288">
        <f t="shared" si="38"/>
        <v>329927.45999999996</v>
      </c>
      <c r="N179" s="232">
        <f t="shared" si="39"/>
        <v>0</v>
      </c>
      <c r="O179" s="239">
        <v>2</v>
      </c>
    </row>
    <row r="180" spans="1:15" x14ac:dyDescent="0.2">
      <c r="A180" s="237" t="s">
        <v>722</v>
      </c>
      <c r="B180" s="285">
        <v>417</v>
      </c>
      <c r="C180" s="286">
        <v>4863110</v>
      </c>
      <c r="D180" s="287" t="s">
        <v>723</v>
      </c>
      <c r="E180" s="268">
        <v>3097841.92</v>
      </c>
      <c r="F180" s="232" t="str">
        <f t="shared" si="34"/>
        <v>GRSM</v>
      </c>
      <c r="G180" s="232">
        <f t="shared" si="35"/>
        <v>0</v>
      </c>
      <c r="H180" s="234">
        <v>0</v>
      </c>
      <c r="I180" s="234">
        <f t="shared" si="36"/>
        <v>0</v>
      </c>
      <c r="J180" s="232">
        <f t="shared" si="37"/>
        <v>3097841.92</v>
      </c>
      <c r="K180" s="233" t="s">
        <v>316</v>
      </c>
      <c r="L180" s="231">
        <v>498668.6</v>
      </c>
      <c r="M180" s="288">
        <f t="shared" si="38"/>
        <v>2599173.3199999998</v>
      </c>
      <c r="N180" s="232">
        <f t="shared" si="39"/>
        <v>0</v>
      </c>
      <c r="O180" s="239">
        <v>2</v>
      </c>
    </row>
    <row r="181" spans="1:15" x14ac:dyDescent="0.2">
      <c r="A181" s="237" t="s">
        <v>724</v>
      </c>
      <c r="B181" s="285">
        <v>417</v>
      </c>
      <c r="C181" s="286">
        <v>4863115</v>
      </c>
      <c r="D181" s="287" t="s">
        <v>725</v>
      </c>
      <c r="E181" s="268">
        <v>354551.06</v>
      </c>
      <c r="F181" s="232" t="str">
        <f t="shared" si="34"/>
        <v>GRSM</v>
      </c>
      <c r="G181" s="232">
        <f t="shared" si="35"/>
        <v>0</v>
      </c>
      <c r="H181" s="234">
        <v>0</v>
      </c>
      <c r="I181" s="234">
        <f t="shared" si="36"/>
        <v>0</v>
      </c>
      <c r="J181" s="232">
        <f t="shared" si="37"/>
        <v>354551.06</v>
      </c>
      <c r="K181" s="233" t="s">
        <v>316</v>
      </c>
      <c r="L181" s="231">
        <v>27918.2</v>
      </c>
      <c r="M181" s="288">
        <f t="shared" si="38"/>
        <v>326632.86</v>
      </c>
      <c r="N181" s="232">
        <f t="shared" si="39"/>
        <v>0</v>
      </c>
      <c r="O181" s="239">
        <v>2</v>
      </c>
    </row>
    <row r="182" spans="1:15" x14ac:dyDescent="0.2">
      <c r="A182" s="237" t="s">
        <v>726</v>
      </c>
      <c r="B182" s="285">
        <v>417</v>
      </c>
      <c r="C182" s="286">
        <v>4863125</v>
      </c>
      <c r="D182" s="287" t="s">
        <v>727</v>
      </c>
      <c r="E182" s="268">
        <v>1165664.6299999999</v>
      </c>
      <c r="F182" s="232" t="str">
        <f t="shared" si="34"/>
        <v>GRSM</v>
      </c>
      <c r="G182" s="232">
        <f t="shared" si="35"/>
        <v>0</v>
      </c>
      <c r="H182" s="234">
        <v>0</v>
      </c>
      <c r="I182" s="234">
        <f t="shared" si="36"/>
        <v>0</v>
      </c>
      <c r="J182" s="232">
        <f t="shared" si="37"/>
        <v>1165664.6299999999</v>
      </c>
      <c r="K182" s="233" t="s">
        <v>316</v>
      </c>
      <c r="L182" s="231">
        <v>227120.7</v>
      </c>
      <c r="M182" s="288">
        <f t="shared" si="38"/>
        <v>938543.92999999993</v>
      </c>
      <c r="N182" s="232">
        <f t="shared" si="39"/>
        <v>0</v>
      </c>
      <c r="O182" s="239">
        <v>2</v>
      </c>
    </row>
    <row r="183" spans="1:15" x14ac:dyDescent="0.2">
      <c r="A183" s="237" t="s">
        <v>728</v>
      </c>
      <c r="B183" s="285">
        <v>417</v>
      </c>
      <c r="C183" s="286">
        <v>4864120</v>
      </c>
      <c r="D183" s="287" t="s">
        <v>729</v>
      </c>
      <c r="E183" s="268">
        <v>9250.6299999999992</v>
      </c>
      <c r="F183" s="232" t="str">
        <f t="shared" si="34"/>
        <v>GRSM</v>
      </c>
      <c r="G183" s="232">
        <f t="shared" si="35"/>
        <v>0</v>
      </c>
      <c r="H183" s="234">
        <v>0</v>
      </c>
      <c r="I183" s="234">
        <f t="shared" si="36"/>
        <v>0</v>
      </c>
      <c r="J183" s="232">
        <f t="shared" si="37"/>
        <v>9250.6299999999992</v>
      </c>
      <c r="K183" s="233" t="s">
        <v>280</v>
      </c>
      <c r="L183" s="231">
        <v>2663.9</v>
      </c>
      <c r="M183" s="288">
        <f t="shared" si="38"/>
        <v>6586.73</v>
      </c>
      <c r="N183" s="232">
        <f t="shared" si="39"/>
        <v>0</v>
      </c>
      <c r="O183" s="239">
        <v>2</v>
      </c>
    </row>
    <row r="184" spans="1:15" x14ac:dyDescent="0.2">
      <c r="A184" s="241"/>
      <c r="B184" s="279"/>
      <c r="C184" s="289"/>
      <c r="D184" s="244"/>
      <c r="E184" s="290"/>
      <c r="F184" s="290"/>
      <c r="G184" s="248"/>
      <c r="H184" s="247"/>
      <c r="I184" s="247"/>
      <c r="J184" s="231"/>
      <c r="K184" s="246"/>
      <c r="L184" s="231"/>
      <c r="M184" s="231"/>
      <c r="N184" s="231"/>
      <c r="O184" s="246"/>
    </row>
    <row r="185" spans="1:15" x14ac:dyDescent="0.2">
      <c r="A185" s="241"/>
      <c r="B185" s="279"/>
      <c r="C185" s="289"/>
      <c r="D185" s="244"/>
      <c r="E185" s="290"/>
      <c r="F185" s="290"/>
      <c r="G185" s="248"/>
      <c r="H185" s="247"/>
      <c r="I185" s="247"/>
      <c r="J185" s="231"/>
      <c r="K185" s="246"/>
      <c r="L185" s="231"/>
      <c r="M185" s="231"/>
      <c r="N185" s="231"/>
      <c r="O185" s="246"/>
    </row>
    <row r="186" spans="1:15" x14ac:dyDescent="0.2">
      <c r="A186" s="237">
        <v>25</v>
      </c>
      <c r="B186" s="517" t="s">
        <v>730</v>
      </c>
      <c r="C186" s="508"/>
      <c r="D186" s="509"/>
      <c r="E186" s="249">
        <f>SUM(E169:E185)</f>
        <v>59495059.020000011</v>
      </c>
      <c r="F186" s="250"/>
      <c r="G186" s="249">
        <f>SUM(G169:G185)</f>
        <v>0</v>
      </c>
      <c r="H186" s="251">
        <f>SUM(H169:H185)</f>
        <v>0</v>
      </c>
      <c r="I186" s="251">
        <f>SUM(I169:I185)</f>
        <v>0</v>
      </c>
      <c r="J186" s="249">
        <f>SUM(J169:J185)</f>
        <v>59495059.020000011</v>
      </c>
      <c r="K186" s="250"/>
      <c r="L186" s="249">
        <f>SUM(L169:L185)</f>
        <v>10355744.199999999</v>
      </c>
      <c r="M186" s="249">
        <f>SUM(M169:M185)</f>
        <v>49139314.819999993</v>
      </c>
      <c r="N186" s="249">
        <f>SUM(N169:N185)</f>
        <v>0</v>
      </c>
      <c r="O186" s="213"/>
    </row>
    <row r="187" spans="1:15" x14ac:dyDescent="0.2">
      <c r="A187" s="237">
        <v>26</v>
      </c>
      <c r="B187" s="517" t="s">
        <v>731</v>
      </c>
      <c r="C187" s="508"/>
      <c r="D187" s="509"/>
      <c r="E187" s="252">
        <v>6213359</v>
      </c>
      <c r="F187" s="254"/>
      <c r="G187" s="278"/>
      <c r="H187" s="277"/>
      <c r="I187" s="277"/>
      <c r="J187" s="278"/>
      <c r="K187" s="277"/>
      <c r="L187" s="278"/>
      <c r="M187" s="278"/>
      <c r="N187" s="278"/>
      <c r="O187" s="165"/>
    </row>
    <row r="188" spans="1:15" ht="25.5" customHeight="1" x14ac:dyDescent="0.2">
      <c r="A188" s="237">
        <v>27</v>
      </c>
      <c r="B188" s="501" t="s">
        <v>732</v>
      </c>
      <c r="C188" s="502"/>
      <c r="D188" s="503"/>
      <c r="E188" s="252">
        <v>65708418</v>
      </c>
      <c r="F188" s="291" t="s">
        <v>308</v>
      </c>
    </row>
    <row r="189" spans="1:15" x14ac:dyDescent="0.2">
      <c r="A189" s="263"/>
    </row>
    <row r="190" spans="1:15" x14ac:dyDescent="0.2">
      <c r="B190" s="297" t="s">
        <v>733</v>
      </c>
    </row>
    <row r="191" spans="1:15" x14ac:dyDescent="0.2">
      <c r="A191" s="233" t="s">
        <v>734</v>
      </c>
      <c r="B191" s="512">
        <v>418.1</v>
      </c>
      <c r="C191" s="513"/>
      <c r="D191" s="287" t="s">
        <v>735</v>
      </c>
      <c r="E191" s="268">
        <v>12224293</v>
      </c>
      <c r="F191" s="232" t="str">
        <f>$J$2</f>
        <v>GRSM</v>
      </c>
      <c r="G191" s="232">
        <f t="shared" ref="G191:G196" si="40">IF(F191=$G$2,E191,0)</f>
        <v>0</v>
      </c>
      <c r="H191" s="233">
        <v>0</v>
      </c>
      <c r="I191" s="234">
        <f t="shared" ref="I191:I196" si="41">G191-H191</f>
        <v>0</v>
      </c>
      <c r="J191" s="232">
        <f>IF(F191=$J$2,E191,0)</f>
        <v>12224293</v>
      </c>
      <c r="K191" s="298" t="s">
        <v>280</v>
      </c>
      <c r="L191" s="231">
        <v>3196501.77</v>
      </c>
      <c r="M191" s="236">
        <f t="shared" ref="M191:M196" si="42">J191-L191</f>
        <v>9027791.2300000004</v>
      </c>
      <c r="N191" s="232">
        <f t="shared" ref="N191:N196" si="43">IF(F191=$N$2,E191,0)</f>
        <v>0</v>
      </c>
      <c r="O191" s="239" t="s">
        <v>736</v>
      </c>
    </row>
    <row r="192" spans="1:15" x14ac:dyDescent="0.2">
      <c r="A192" s="233" t="s">
        <v>737</v>
      </c>
      <c r="B192" s="512">
        <v>418.1</v>
      </c>
      <c r="C192" s="513"/>
      <c r="D192" s="287" t="s">
        <v>738</v>
      </c>
      <c r="E192" s="268">
        <v>170083</v>
      </c>
      <c r="F192" s="232" t="str">
        <f>$J$2</f>
        <v>GRSM</v>
      </c>
      <c r="G192" s="232">
        <f t="shared" si="40"/>
        <v>0</v>
      </c>
      <c r="H192" s="233">
        <v>0</v>
      </c>
      <c r="I192" s="234">
        <f t="shared" si="41"/>
        <v>0</v>
      </c>
      <c r="J192" s="232">
        <f>IF(F192=$J$2,E192,0)</f>
        <v>170083</v>
      </c>
      <c r="K192" s="298" t="s">
        <v>316</v>
      </c>
      <c r="L192" s="231">
        <v>28804.51</v>
      </c>
      <c r="M192" s="236">
        <f t="shared" si="42"/>
        <v>141278.49</v>
      </c>
      <c r="N192" s="232">
        <f t="shared" si="43"/>
        <v>0</v>
      </c>
      <c r="O192" s="239" t="s">
        <v>736</v>
      </c>
    </row>
    <row r="193" spans="1:15" x14ac:dyDescent="0.2">
      <c r="A193" s="233" t="s">
        <v>739</v>
      </c>
      <c r="B193" s="512">
        <v>418.1</v>
      </c>
      <c r="C193" s="513"/>
      <c r="D193" s="287" t="s">
        <v>740</v>
      </c>
      <c r="E193" s="268">
        <v>0</v>
      </c>
      <c r="F193" s="232" t="s">
        <v>325</v>
      </c>
      <c r="G193" s="232">
        <f t="shared" si="40"/>
        <v>0</v>
      </c>
      <c r="H193" s="233">
        <v>0</v>
      </c>
      <c r="I193" s="234">
        <f t="shared" si="41"/>
        <v>0</v>
      </c>
      <c r="J193" s="232">
        <f>IF(F193=$J$2,E193,0)</f>
        <v>0</v>
      </c>
      <c r="K193" s="298" t="s">
        <v>316</v>
      </c>
      <c r="L193" s="231">
        <v>0</v>
      </c>
      <c r="M193" s="236">
        <f t="shared" si="42"/>
        <v>0</v>
      </c>
      <c r="N193" s="232">
        <f t="shared" si="43"/>
        <v>0</v>
      </c>
      <c r="O193" s="239" t="s">
        <v>741</v>
      </c>
    </row>
    <row r="194" spans="1:15" x14ac:dyDescent="0.2">
      <c r="A194" s="233" t="s">
        <v>742</v>
      </c>
      <c r="B194" s="512">
        <v>418.1</v>
      </c>
      <c r="C194" s="513"/>
      <c r="D194" s="287" t="s">
        <v>743</v>
      </c>
      <c r="E194" s="268">
        <v>-4375</v>
      </c>
      <c r="F194" s="232" t="str">
        <f>$G$2</f>
        <v>Traditional OOR</v>
      </c>
      <c r="G194" s="232">
        <f t="shared" si="40"/>
        <v>-4375</v>
      </c>
      <c r="H194" s="234">
        <v>0</v>
      </c>
      <c r="I194" s="234">
        <f t="shared" si="41"/>
        <v>-4375</v>
      </c>
      <c r="J194" s="232">
        <f>IF(F194=$J$2,E194,0)</f>
        <v>0</v>
      </c>
      <c r="K194" s="298"/>
      <c r="L194" s="231"/>
      <c r="M194" s="234">
        <f t="shared" si="42"/>
        <v>0</v>
      </c>
      <c r="N194" s="232">
        <f t="shared" si="43"/>
        <v>0</v>
      </c>
      <c r="O194" s="233">
        <v>13</v>
      </c>
    </row>
    <row r="195" spans="1:15" x14ac:dyDescent="0.2">
      <c r="A195" s="233" t="s">
        <v>744</v>
      </c>
      <c r="B195" s="512">
        <v>418.1</v>
      </c>
      <c r="C195" s="513"/>
      <c r="D195" s="287" t="s">
        <v>745</v>
      </c>
      <c r="E195" s="268">
        <v>-4455</v>
      </c>
      <c r="F195" s="232" t="str">
        <f>$G$2</f>
        <v>Traditional OOR</v>
      </c>
      <c r="G195" s="232">
        <f t="shared" si="40"/>
        <v>-4455</v>
      </c>
      <c r="H195" s="234">
        <v>0</v>
      </c>
      <c r="I195" s="234">
        <f t="shared" si="41"/>
        <v>-4455</v>
      </c>
      <c r="J195" s="232">
        <f>IF(F195=$J$2,E195,0)</f>
        <v>0</v>
      </c>
      <c r="K195" s="298"/>
      <c r="L195" s="231"/>
      <c r="M195" s="234">
        <f t="shared" si="42"/>
        <v>0</v>
      </c>
      <c r="N195" s="232">
        <f t="shared" si="43"/>
        <v>0</v>
      </c>
      <c r="O195" s="233">
        <v>14</v>
      </c>
    </row>
    <row r="196" spans="1:15" x14ac:dyDescent="0.2">
      <c r="A196" s="233" t="s">
        <v>746</v>
      </c>
      <c r="B196" s="299">
        <v>418.1</v>
      </c>
      <c r="C196" s="300"/>
      <c r="D196" s="287" t="s">
        <v>747</v>
      </c>
      <c r="E196" s="268">
        <v>-734534</v>
      </c>
      <c r="F196" s="232" t="str">
        <f>$G$2</f>
        <v>Traditional OOR</v>
      </c>
      <c r="G196" s="232">
        <f t="shared" si="40"/>
        <v>-734534</v>
      </c>
      <c r="H196" s="234">
        <f>E196*$D$237</f>
        <v>-31540.88996</v>
      </c>
      <c r="I196" s="234">
        <f t="shared" si="41"/>
        <v>-702993.11003999994</v>
      </c>
      <c r="J196" s="232">
        <v>0</v>
      </c>
      <c r="K196" s="298"/>
      <c r="L196" s="231">
        <v>0</v>
      </c>
      <c r="M196" s="234">
        <f t="shared" si="42"/>
        <v>0</v>
      </c>
      <c r="N196" s="232">
        <f t="shared" si="43"/>
        <v>0</v>
      </c>
      <c r="O196" s="233" t="s">
        <v>748</v>
      </c>
    </row>
    <row r="197" spans="1:15" x14ac:dyDescent="0.2">
      <c r="A197" s="246"/>
      <c r="B197" s="301"/>
      <c r="C197" s="302"/>
      <c r="D197" s="303"/>
      <c r="E197" s="268"/>
      <c r="F197" s="231"/>
      <c r="G197" s="248"/>
      <c r="H197" s="246"/>
      <c r="I197" s="247"/>
      <c r="J197" s="231"/>
      <c r="K197" s="304"/>
      <c r="L197" s="231"/>
      <c r="M197" s="305"/>
      <c r="N197" s="231"/>
      <c r="O197" s="246"/>
    </row>
    <row r="198" spans="1:15" x14ac:dyDescent="0.2">
      <c r="A198" s="246"/>
      <c r="B198" s="301"/>
      <c r="C198" s="302"/>
      <c r="D198" s="303"/>
      <c r="E198" s="268"/>
      <c r="F198" s="231"/>
      <c r="G198" s="248"/>
      <c r="H198" s="246"/>
      <c r="I198" s="247"/>
      <c r="J198" s="231"/>
      <c r="K198" s="304"/>
      <c r="L198" s="231"/>
      <c r="M198" s="305"/>
      <c r="N198" s="231"/>
      <c r="O198" s="246"/>
    </row>
    <row r="199" spans="1:15" x14ac:dyDescent="0.2">
      <c r="A199" s="239">
        <v>29</v>
      </c>
      <c r="B199" s="517" t="s">
        <v>749</v>
      </c>
      <c r="C199" s="508"/>
      <c r="D199" s="509"/>
      <c r="E199" s="306">
        <f>SUM(E191:E198)</f>
        <v>11651012</v>
      </c>
      <c r="F199" s="307"/>
      <c r="G199" s="308">
        <f>SUM(G191:G198)</f>
        <v>-743364</v>
      </c>
      <c r="H199" s="308">
        <f>SUM(H191:H198)</f>
        <v>-31540.88996</v>
      </c>
      <c r="I199" s="308">
        <f>SUM(I191:I198)</f>
        <v>-711823.11003999994</v>
      </c>
      <c r="J199" s="306">
        <f>SUM(J191:J198)</f>
        <v>12394376</v>
      </c>
      <c r="K199" s="309"/>
      <c r="L199" s="306">
        <f>SUM(L191:L198)</f>
        <v>3225306.28</v>
      </c>
      <c r="M199" s="306">
        <f>SUM(M191:M198)</f>
        <v>9169069.7200000007</v>
      </c>
      <c r="N199" s="306">
        <f>SUM(N191:N198)</f>
        <v>0</v>
      </c>
      <c r="O199" s="213"/>
    </row>
    <row r="200" spans="1:15" x14ac:dyDescent="0.2">
      <c r="A200" s="239">
        <v>30</v>
      </c>
      <c r="B200" s="517" t="s">
        <v>750</v>
      </c>
      <c r="C200" s="521"/>
      <c r="D200" s="522"/>
      <c r="E200" s="310" t="s">
        <v>821</v>
      </c>
      <c r="F200" s="311"/>
      <c r="G200" s="311"/>
      <c r="H200" s="311"/>
      <c r="I200" s="311"/>
      <c r="J200" s="312"/>
      <c r="K200" s="311"/>
      <c r="L200" s="312"/>
      <c r="M200" s="312"/>
      <c r="N200" s="312"/>
      <c r="O200" s="165"/>
    </row>
    <row r="201" spans="1:15" ht="25.5" customHeight="1" x14ac:dyDescent="0.2">
      <c r="A201" s="239">
        <v>31</v>
      </c>
      <c r="B201" s="523" t="s">
        <v>751</v>
      </c>
      <c r="C201" s="511"/>
      <c r="D201" s="511"/>
      <c r="E201" s="310">
        <v>401183</v>
      </c>
      <c r="F201" s="311"/>
      <c r="G201" s="311"/>
      <c r="H201" s="311"/>
      <c r="I201" s="311"/>
      <c r="J201" s="312"/>
      <c r="K201" s="311"/>
      <c r="L201" s="312"/>
      <c r="M201" s="312"/>
      <c r="N201" s="312"/>
      <c r="O201" s="165"/>
    </row>
    <row r="202" spans="1:15" x14ac:dyDescent="0.2">
      <c r="A202" s="263"/>
    </row>
    <row r="203" spans="1:15" x14ac:dyDescent="0.2">
      <c r="A203" s="239">
        <v>32</v>
      </c>
      <c r="B203" s="313"/>
      <c r="C203" s="314"/>
      <c r="D203" s="315" t="s">
        <v>752</v>
      </c>
      <c r="E203" s="316">
        <f>E9+E31+E39+E70+E131+E155+E160+E165+E186+E199</f>
        <v>586774687.79000008</v>
      </c>
      <c r="F203" s="317"/>
      <c r="G203" s="316">
        <f>G9+G31+G39+G70+G131+G155+G160+G165+G186+G199</f>
        <v>171091550.76389378</v>
      </c>
      <c r="H203" s="318">
        <f>H9+H31+H39+H70+H131+H155+H160+H165+H186+H199</f>
        <v>36705559.459826604</v>
      </c>
      <c r="I203" s="318">
        <f>I9+I31+I39+I70+I131+I155+I160+I165+I186+I199</f>
        <v>134385991.30406719</v>
      </c>
      <c r="J203" s="316">
        <f>J9+J31+J39+J70+J131+J155+J160+J165+J186+J199</f>
        <v>92139929.870000005</v>
      </c>
      <c r="K203" s="317"/>
      <c r="L203" s="316">
        <f>L9+L31+L39+L70+L131+L155+L160+L165+L186+L199</f>
        <v>16671389.039999999</v>
      </c>
      <c r="M203" s="316">
        <f>M9+M31+M39+M70+M131+M155+M160+M165+M186+M199</f>
        <v>75468540.829999998</v>
      </c>
      <c r="N203" s="316">
        <f>N9+N31+N39+N70+N131+N155+N160+N165+N186+N199</f>
        <v>323543207.15610623</v>
      </c>
      <c r="O203" s="213"/>
    </row>
    <row r="204" spans="1:15" x14ac:dyDescent="0.2">
      <c r="A204" s="319"/>
      <c r="B204" s="320"/>
      <c r="C204" s="319"/>
      <c r="E204" s="263"/>
      <c r="F204" s="263"/>
      <c r="G204" s="321"/>
      <c r="J204" s="322"/>
      <c r="K204" s="323"/>
      <c r="N204" s="321"/>
    </row>
    <row r="205" spans="1:15" x14ac:dyDescent="0.2">
      <c r="A205" s="319"/>
      <c r="B205" s="320"/>
      <c r="C205" s="319"/>
      <c r="E205" s="263"/>
      <c r="F205" s="263" t="s">
        <v>40</v>
      </c>
      <c r="J205" s="322"/>
      <c r="K205" s="323"/>
      <c r="N205" s="321"/>
    </row>
    <row r="206" spans="1:15" x14ac:dyDescent="0.2">
      <c r="A206" s="239">
        <v>33</v>
      </c>
      <c r="B206" s="324"/>
      <c r="C206" s="324"/>
      <c r="D206" s="325" t="s">
        <v>753</v>
      </c>
      <c r="E206" s="259">
        <f>L203</f>
        <v>16671389.039999999</v>
      </c>
      <c r="F206" s="326" t="s">
        <v>754</v>
      </c>
      <c r="G206" s="321"/>
      <c r="N206" s="321"/>
    </row>
    <row r="207" spans="1:15" x14ac:dyDescent="0.2">
      <c r="A207" s="233">
        <v>34</v>
      </c>
      <c r="B207" s="324"/>
      <c r="C207" s="324"/>
      <c r="D207" s="325" t="s">
        <v>755</v>
      </c>
      <c r="E207" s="259">
        <f>E206*(5.425/16.671)</f>
        <v>5425126.5996041028</v>
      </c>
      <c r="F207" s="327" t="s">
        <v>756</v>
      </c>
      <c r="G207" s="323"/>
      <c r="N207" s="321"/>
    </row>
    <row r="208" spans="1:15" x14ac:dyDescent="0.2">
      <c r="A208" s="233">
        <v>35</v>
      </c>
      <c r="B208" s="324"/>
      <c r="C208" s="324"/>
      <c r="D208" s="328"/>
      <c r="E208" s="235"/>
      <c r="F208" s="329"/>
      <c r="G208" s="323"/>
      <c r="N208" s="321"/>
    </row>
    <row r="209" spans="1:254" x14ac:dyDescent="0.2">
      <c r="A209" s="233">
        <v>36</v>
      </c>
      <c r="B209" s="324"/>
      <c r="C209" s="324"/>
      <c r="D209" s="325" t="s">
        <v>757</v>
      </c>
      <c r="E209" s="259">
        <f>SUMIF(K4:K192,"=A",M4:M192)</f>
        <v>53378335.059999987</v>
      </c>
      <c r="F209" s="327" t="s">
        <v>758</v>
      </c>
      <c r="G209" s="323"/>
      <c r="N209" s="321"/>
    </row>
    <row r="210" spans="1:254" x14ac:dyDescent="0.2">
      <c r="A210" s="233">
        <v>37</v>
      </c>
      <c r="B210" s="216"/>
      <c r="C210" s="216"/>
      <c r="D210" s="325" t="s">
        <v>759</v>
      </c>
      <c r="E210" s="259">
        <f>0.1*E209</f>
        <v>5337833.5059999991</v>
      </c>
      <c r="F210" s="194" t="str">
        <f>"= Line "&amp;A209&amp;"D * 10%"</f>
        <v>= Line 36D * 10%</v>
      </c>
      <c r="G210" s="119"/>
      <c r="H210" s="330"/>
      <c r="I210" s="331"/>
    </row>
    <row r="211" spans="1:254" x14ac:dyDescent="0.2">
      <c r="A211" s="233">
        <v>38</v>
      </c>
      <c r="B211" s="216"/>
      <c r="C211" s="216"/>
      <c r="D211" s="325" t="s">
        <v>760</v>
      </c>
      <c r="E211" s="259">
        <f>SUMIF(K4:K195,"=P",M4:M195)</f>
        <v>22090205.770000003</v>
      </c>
      <c r="F211" s="332" t="s">
        <v>761</v>
      </c>
      <c r="G211" s="119"/>
      <c r="H211" s="263"/>
      <c r="I211" s="331"/>
    </row>
    <row r="212" spans="1:254" x14ac:dyDescent="0.2">
      <c r="A212" s="233">
        <v>39</v>
      </c>
      <c r="B212" s="216"/>
      <c r="C212" s="216"/>
      <c r="D212" s="325" t="s">
        <v>762</v>
      </c>
      <c r="E212" s="259">
        <f>0.3*E211</f>
        <v>6627061.7310000006</v>
      </c>
      <c r="F212" s="194" t="str">
        <f>"= Line "&amp;A211&amp;"D * 30%"</f>
        <v>= Line 38D * 30%</v>
      </c>
      <c r="G212" s="119"/>
      <c r="H212" s="330"/>
      <c r="I212" s="331"/>
    </row>
    <row r="213" spans="1:254" x14ac:dyDescent="0.2">
      <c r="A213" s="233">
        <v>40</v>
      </c>
      <c r="B213" s="216"/>
      <c r="C213" s="216"/>
      <c r="D213" s="325" t="s">
        <v>763</v>
      </c>
      <c r="E213" s="259">
        <f>E210+E212</f>
        <v>11964895.237</v>
      </c>
      <c r="F213" s="194" t="str">
        <f>"= Line "&amp;A210&amp;"D + Line "&amp;A212&amp;"D"</f>
        <v>= Line 37D + Line 39D</v>
      </c>
      <c r="G213" s="294"/>
    </row>
    <row r="214" spans="1:254" x14ac:dyDescent="0.2">
      <c r="A214" s="233">
        <v>41</v>
      </c>
      <c r="B214" s="216"/>
      <c r="C214" s="216"/>
      <c r="D214" s="325" t="s">
        <v>764</v>
      </c>
      <c r="E214" s="333">
        <f>5.425/16.671</f>
        <v>0.32541539199808051</v>
      </c>
      <c r="F214" s="327" t="s">
        <v>765</v>
      </c>
      <c r="G214" s="294"/>
    </row>
    <row r="215" spans="1:254" x14ac:dyDescent="0.2">
      <c r="A215" s="233">
        <v>42</v>
      </c>
      <c r="B215" s="216"/>
      <c r="C215" s="216"/>
      <c r="D215" s="325" t="s">
        <v>766</v>
      </c>
      <c r="E215" s="259">
        <f>E213*E214</f>
        <v>3893561.0737643214</v>
      </c>
      <c r="F215" s="194" t="str">
        <f>"= Line "&amp;A213&amp;"D * Line "&amp;A214&amp;"D"</f>
        <v>= Line 40D * Line 41D</v>
      </c>
      <c r="G215" s="294"/>
    </row>
    <row r="216" spans="1:254" ht="12.75" customHeight="1" x14ac:dyDescent="0.2">
      <c r="A216" s="233">
        <v>43</v>
      </c>
      <c r="B216" s="216"/>
      <c r="C216" s="216"/>
      <c r="D216" s="334" t="s">
        <v>767</v>
      </c>
      <c r="E216" s="308">
        <f>E215+E207</f>
        <v>9318687.6733684242</v>
      </c>
      <c r="F216" s="194" t="str">
        <f>"= Line "&amp;A207&amp;"D + Line "&amp;A215&amp;"D"</f>
        <v>= Line 34D + Line 42D</v>
      </c>
      <c r="G216" s="294"/>
    </row>
    <row r="217" spans="1:254" x14ac:dyDescent="0.2">
      <c r="A217" s="119"/>
      <c r="D217" s="294"/>
      <c r="E217" s="335"/>
      <c r="F217" s="327"/>
      <c r="G217" s="294"/>
    </row>
    <row r="218" spans="1:254" x14ac:dyDescent="0.2">
      <c r="A218" s="119"/>
      <c r="D218" s="336"/>
      <c r="E218" s="337" t="s">
        <v>34</v>
      </c>
      <c r="F218" s="337" t="s">
        <v>40</v>
      </c>
      <c r="G218" s="338"/>
      <c r="I218" s="296"/>
      <c r="J218" s="119"/>
      <c r="K218" s="296"/>
      <c r="L218" s="336"/>
      <c r="M218" s="337"/>
      <c r="N218" s="337"/>
      <c r="O218" s="338"/>
      <c r="P218" s="293"/>
      <c r="Q218" s="296"/>
      <c r="R218" s="336"/>
      <c r="S218" s="337"/>
      <c r="T218" s="337"/>
      <c r="U218" s="338"/>
      <c r="V218" s="293"/>
      <c r="W218" s="296"/>
      <c r="X218" s="119"/>
      <c r="Y218" s="296"/>
      <c r="Z218" s="336"/>
      <c r="AA218" s="337"/>
      <c r="AB218" s="337"/>
      <c r="AC218" s="338"/>
      <c r="AD218" s="293"/>
      <c r="AE218" s="296"/>
      <c r="AF218" s="119"/>
      <c r="AG218" s="296"/>
      <c r="AH218" s="336"/>
      <c r="AI218" s="337"/>
      <c r="AJ218" s="337"/>
      <c r="AK218" s="338"/>
      <c r="AL218" s="293"/>
      <c r="AM218" s="296"/>
      <c r="AN218" s="119"/>
      <c r="AO218" s="296"/>
      <c r="AP218" s="336"/>
      <c r="AQ218" s="337"/>
      <c r="AR218" s="337"/>
      <c r="AS218" s="338"/>
      <c r="AT218" s="293"/>
      <c r="AU218" s="296"/>
      <c r="AV218" s="119"/>
      <c r="AW218" s="296"/>
      <c r="AX218" s="336"/>
      <c r="AY218" s="337"/>
      <c r="AZ218" s="337"/>
      <c r="BA218" s="338"/>
      <c r="BB218" s="293"/>
      <c r="BC218" s="296"/>
      <c r="BD218" s="119"/>
      <c r="BE218" s="296"/>
      <c r="BF218" s="336"/>
      <c r="BG218" s="337"/>
      <c r="BH218" s="337"/>
      <c r="BI218" s="338"/>
      <c r="BJ218" s="293"/>
      <c r="BK218" s="296"/>
      <c r="BL218" s="119"/>
      <c r="BM218" s="296"/>
      <c r="BN218" s="336"/>
      <c r="BO218" s="337"/>
      <c r="BP218" s="337"/>
      <c r="BQ218" s="338"/>
      <c r="BR218" s="293"/>
      <c r="BS218" s="296"/>
      <c r="BT218" s="119"/>
      <c r="BU218" s="296"/>
      <c r="BV218" s="336"/>
      <c r="BW218" s="337"/>
      <c r="BX218" s="337"/>
      <c r="BY218" s="338"/>
      <c r="BZ218" s="293"/>
      <c r="CA218" s="296"/>
      <c r="CB218" s="119"/>
      <c r="CC218" s="296"/>
      <c r="CD218" s="336"/>
      <c r="CE218" s="337"/>
      <c r="CF218" s="337"/>
      <c r="CG218" s="338"/>
      <c r="CH218" s="293"/>
      <c r="CI218" s="296"/>
      <c r="CJ218" s="119"/>
      <c r="CK218" s="296"/>
      <c r="CL218" s="336"/>
      <c r="CM218" s="337"/>
      <c r="CN218" s="337"/>
      <c r="CO218" s="338"/>
      <c r="CP218" s="293"/>
      <c r="CQ218" s="296"/>
      <c r="CR218" s="119"/>
      <c r="CS218" s="296"/>
      <c r="CT218" s="336"/>
      <c r="CU218" s="337"/>
      <c r="CV218" s="337"/>
      <c r="CW218" s="338"/>
      <c r="CX218" s="293"/>
      <c r="CY218" s="296"/>
      <c r="CZ218" s="119"/>
      <c r="DA218" s="296"/>
      <c r="DB218" s="336"/>
      <c r="DC218" s="337"/>
      <c r="DD218" s="337"/>
      <c r="DE218" s="338"/>
      <c r="DF218" s="293"/>
      <c r="DG218" s="296"/>
      <c r="DH218" s="119"/>
      <c r="DI218" s="296"/>
      <c r="DJ218" s="336"/>
      <c r="DK218" s="337"/>
      <c r="DL218" s="337"/>
      <c r="DM218" s="338"/>
      <c r="DN218" s="293"/>
      <c r="DO218" s="296"/>
      <c r="DP218" s="119"/>
      <c r="DQ218" s="296"/>
      <c r="DR218" s="336"/>
      <c r="DS218" s="337"/>
      <c r="DT218" s="337"/>
      <c r="DU218" s="338"/>
      <c r="DV218" s="293"/>
      <c r="DW218" s="296"/>
      <c r="DX218" s="119"/>
      <c r="DY218" s="296"/>
      <c r="DZ218" s="336"/>
      <c r="EA218" s="337"/>
      <c r="EB218" s="337"/>
      <c r="EC218" s="338"/>
      <c r="ED218" s="293"/>
      <c r="EE218" s="296"/>
      <c r="EF218" s="119"/>
      <c r="EG218" s="296"/>
      <c r="EH218" s="336"/>
      <c r="EI218" s="337"/>
      <c r="EJ218" s="337"/>
      <c r="EK218" s="338"/>
      <c r="EL218" s="293"/>
      <c r="EM218" s="296"/>
      <c r="EN218" s="119"/>
      <c r="EO218" s="296"/>
      <c r="EP218" s="336"/>
      <c r="EQ218" s="337"/>
      <c r="ER218" s="337"/>
      <c r="ES218" s="338"/>
      <c r="ET218" s="293"/>
      <c r="EU218" s="296"/>
      <c r="EV218" s="119"/>
      <c r="EW218" s="296"/>
      <c r="EX218" s="336"/>
      <c r="EY218" s="337"/>
      <c r="EZ218" s="337"/>
      <c r="FA218" s="338"/>
      <c r="FB218" s="293"/>
      <c r="FC218" s="296"/>
      <c r="FD218" s="119"/>
      <c r="FE218" s="296"/>
      <c r="FF218" s="336"/>
      <c r="FG218" s="337"/>
      <c r="FH218" s="337"/>
      <c r="FI218" s="338"/>
      <c r="FJ218" s="293"/>
      <c r="FK218" s="296"/>
      <c r="FL218" s="119"/>
      <c r="FM218" s="296"/>
      <c r="FN218" s="336"/>
      <c r="FO218" s="337"/>
      <c r="FP218" s="337"/>
      <c r="FQ218" s="338"/>
      <c r="FR218" s="293"/>
      <c r="FS218" s="296"/>
      <c r="FT218" s="119"/>
      <c r="FU218" s="296"/>
      <c r="FV218" s="336"/>
      <c r="FW218" s="337"/>
      <c r="FX218" s="337"/>
      <c r="FY218" s="338"/>
      <c r="FZ218" s="293"/>
      <c r="GA218" s="296"/>
      <c r="GB218" s="119"/>
      <c r="GC218" s="296"/>
      <c r="GD218" s="336"/>
      <c r="GE218" s="337"/>
      <c r="GF218" s="337"/>
      <c r="GG218" s="338"/>
      <c r="GH218" s="293"/>
      <c r="GI218" s="296"/>
      <c r="GJ218" s="119"/>
      <c r="GK218" s="296"/>
      <c r="GL218" s="336"/>
      <c r="GM218" s="337"/>
      <c r="GN218" s="337"/>
      <c r="GO218" s="338"/>
      <c r="GP218" s="293"/>
      <c r="GQ218" s="296"/>
      <c r="GR218" s="119"/>
      <c r="GS218" s="296"/>
      <c r="GT218" s="336"/>
      <c r="GU218" s="337"/>
      <c r="GV218" s="337"/>
      <c r="GW218" s="338"/>
      <c r="GX218" s="293"/>
      <c r="GY218" s="296"/>
      <c r="GZ218" s="119"/>
      <c r="HA218" s="296"/>
      <c r="HB218" s="336"/>
      <c r="HC218" s="337"/>
      <c r="HD218" s="337"/>
      <c r="HE218" s="338"/>
      <c r="HF218" s="293"/>
      <c r="HG218" s="296"/>
      <c r="HH218" s="119"/>
      <c r="HI218" s="296"/>
      <c r="HJ218" s="336"/>
      <c r="HK218" s="337"/>
      <c r="HL218" s="337"/>
      <c r="HM218" s="338"/>
      <c r="HN218" s="293"/>
      <c r="HO218" s="296"/>
      <c r="HP218" s="119"/>
      <c r="HQ218" s="296"/>
      <c r="HR218" s="336"/>
      <c r="HS218" s="337"/>
      <c r="HT218" s="337"/>
      <c r="HU218" s="338"/>
      <c r="HV218" s="293"/>
      <c r="HW218" s="296"/>
      <c r="HX218" s="119"/>
      <c r="HY218" s="296"/>
      <c r="HZ218" s="336"/>
      <c r="IA218" s="337"/>
      <c r="IB218" s="337"/>
      <c r="IC218" s="338"/>
      <c r="ID218" s="293"/>
      <c r="IE218" s="296"/>
      <c r="IF218" s="119"/>
      <c r="IG218" s="296"/>
      <c r="IH218" s="336"/>
      <c r="II218" s="337"/>
      <c r="IJ218" s="337"/>
      <c r="IK218" s="338"/>
      <c r="IL218" s="293"/>
      <c r="IM218" s="296"/>
      <c r="IN218" s="119"/>
      <c r="IO218" s="296"/>
      <c r="IP218" s="336"/>
      <c r="IQ218" s="337"/>
      <c r="IR218" s="337"/>
      <c r="IS218" s="338"/>
      <c r="IT218" s="293"/>
    </row>
    <row r="219" spans="1:254" x14ac:dyDescent="0.2">
      <c r="A219" s="233">
        <v>44</v>
      </c>
      <c r="B219" s="297" t="s">
        <v>768</v>
      </c>
      <c r="D219" s="336"/>
      <c r="E219" s="339">
        <f>H203+E216</f>
        <v>46024247.133195028</v>
      </c>
      <c r="F219" s="340" t="s">
        <v>769</v>
      </c>
      <c r="G219" s="338"/>
      <c r="J219" s="297"/>
      <c r="K219" s="296"/>
      <c r="L219" s="336"/>
      <c r="M219" s="341"/>
      <c r="N219" s="340"/>
      <c r="O219" s="338"/>
      <c r="P219" s="293"/>
      <c r="Q219" s="296"/>
      <c r="R219" s="336"/>
      <c r="S219" s="341"/>
      <c r="T219" s="340"/>
      <c r="U219" s="338"/>
      <c r="V219" s="293"/>
      <c r="W219" s="263"/>
      <c r="X219" s="297"/>
      <c r="Y219" s="296"/>
      <c r="Z219" s="336"/>
      <c r="AA219" s="341"/>
      <c r="AB219" s="340"/>
      <c r="AC219" s="338"/>
      <c r="AD219" s="293"/>
      <c r="AE219" s="263"/>
      <c r="AF219" s="297"/>
      <c r="AG219" s="296"/>
      <c r="AH219" s="336"/>
      <c r="AI219" s="341"/>
      <c r="AJ219" s="340"/>
      <c r="AK219" s="338"/>
      <c r="AL219" s="293"/>
      <c r="AM219" s="239"/>
      <c r="AN219" s="297"/>
      <c r="AO219" s="296"/>
      <c r="AP219" s="336"/>
      <c r="AQ219" s="341"/>
      <c r="AR219" s="340"/>
      <c r="AS219" s="338"/>
      <c r="AT219" s="293"/>
      <c r="AU219" s="239"/>
      <c r="AV219" s="297"/>
      <c r="AW219" s="296"/>
      <c r="AX219" s="336"/>
      <c r="AY219" s="341"/>
      <c r="AZ219" s="340"/>
      <c r="BA219" s="338"/>
      <c r="BB219" s="293"/>
      <c r="BC219" s="239"/>
      <c r="BD219" s="297"/>
      <c r="BE219" s="296"/>
      <c r="BF219" s="336"/>
      <c r="BG219" s="341"/>
      <c r="BH219" s="340"/>
      <c r="BI219" s="338"/>
      <c r="BJ219" s="293"/>
      <c r="BK219" s="239"/>
      <c r="BL219" s="297"/>
      <c r="BM219" s="296"/>
      <c r="BN219" s="336"/>
      <c r="BO219" s="341"/>
      <c r="BP219" s="340"/>
      <c r="BQ219" s="338"/>
      <c r="BR219" s="293"/>
      <c r="BS219" s="239"/>
      <c r="BT219" s="297"/>
      <c r="BU219" s="296"/>
      <c r="BV219" s="336"/>
      <c r="BW219" s="341"/>
      <c r="BX219" s="340"/>
      <c r="BY219" s="338"/>
      <c r="BZ219" s="293"/>
      <c r="CA219" s="239"/>
      <c r="CB219" s="297"/>
      <c r="CC219" s="296"/>
      <c r="CD219" s="336"/>
      <c r="CE219" s="341"/>
      <c r="CF219" s="340"/>
      <c r="CG219" s="338"/>
      <c r="CH219" s="293"/>
      <c r="CI219" s="239"/>
      <c r="CJ219" s="297"/>
      <c r="CK219" s="296"/>
      <c r="CL219" s="336"/>
      <c r="CM219" s="341"/>
      <c r="CN219" s="340"/>
      <c r="CO219" s="338"/>
      <c r="CP219" s="293"/>
      <c r="CQ219" s="239"/>
      <c r="CR219" s="297"/>
      <c r="CS219" s="296"/>
      <c r="CT219" s="336"/>
      <c r="CU219" s="341"/>
      <c r="CV219" s="340"/>
      <c r="CW219" s="338"/>
      <c r="CX219" s="293"/>
      <c r="CY219" s="239"/>
      <c r="CZ219" s="297"/>
      <c r="DA219" s="296"/>
      <c r="DB219" s="336"/>
      <c r="DC219" s="341"/>
      <c r="DD219" s="340"/>
      <c r="DE219" s="338"/>
      <c r="DF219" s="293"/>
      <c r="DG219" s="239"/>
      <c r="DH219" s="297"/>
      <c r="DI219" s="296"/>
      <c r="DJ219" s="336"/>
      <c r="DK219" s="341"/>
      <c r="DL219" s="340"/>
      <c r="DM219" s="338"/>
      <c r="DN219" s="293"/>
      <c r="DO219" s="239"/>
      <c r="DP219" s="297"/>
      <c r="DQ219" s="296"/>
      <c r="DR219" s="336"/>
      <c r="DS219" s="341"/>
      <c r="DT219" s="340"/>
      <c r="DU219" s="338"/>
      <c r="DV219" s="293"/>
      <c r="DW219" s="239"/>
      <c r="DX219" s="297"/>
      <c r="DY219" s="296"/>
      <c r="DZ219" s="336"/>
      <c r="EA219" s="341"/>
      <c r="EB219" s="340"/>
      <c r="EC219" s="338"/>
      <c r="ED219" s="293"/>
      <c r="EE219" s="239"/>
      <c r="EF219" s="297"/>
      <c r="EG219" s="296"/>
      <c r="EH219" s="336"/>
      <c r="EI219" s="341"/>
      <c r="EJ219" s="340"/>
      <c r="EK219" s="338"/>
      <c r="EL219" s="293"/>
      <c r="EM219" s="239"/>
      <c r="EN219" s="297"/>
      <c r="EO219" s="296"/>
      <c r="EP219" s="336"/>
      <c r="EQ219" s="341"/>
      <c r="ER219" s="340"/>
      <c r="ES219" s="338"/>
      <c r="ET219" s="293"/>
      <c r="EU219" s="239"/>
      <c r="EV219" s="297"/>
      <c r="EW219" s="296"/>
      <c r="EX219" s="336"/>
      <c r="EY219" s="341"/>
      <c r="EZ219" s="340"/>
      <c r="FA219" s="338"/>
      <c r="FB219" s="293"/>
      <c r="FC219" s="239"/>
      <c r="FD219" s="297"/>
      <c r="FE219" s="296"/>
      <c r="FF219" s="336"/>
      <c r="FG219" s="341"/>
      <c r="FH219" s="340"/>
      <c r="FI219" s="338"/>
      <c r="FJ219" s="293"/>
      <c r="FK219" s="239"/>
      <c r="FL219" s="297"/>
      <c r="FM219" s="296"/>
      <c r="FN219" s="336"/>
      <c r="FO219" s="341"/>
      <c r="FP219" s="340"/>
      <c r="FQ219" s="338"/>
      <c r="FR219" s="293"/>
      <c r="FS219" s="239"/>
      <c r="FT219" s="297"/>
      <c r="FU219" s="296"/>
      <c r="FV219" s="336"/>
      <c r="FW219" s="341"/>
      <c r="FX219" s="340"/>
      <c r="FY219" s="338"/>
      <c r="FZ219" s="293"/>
      <c r="GA219" s="239"/>
      <c r="GB219" s="297"/>
      <c r="GC219" s="296"/>
      <c r="GD219" s="336"/>
      <c r="GE219" s="341"/>
      <c r="GF219" s="340"/>
      <c r="GG219" s="338"/>
      <c r="GH219" s="293"/>
      <c r="GI219" s="239"/>
      <c r="GJ219" s="297"/>
      <c r="GK219" s="296"/>
      <c r="GL219" s="336"/>
      <c r="GM219" s="341"/>
      <c r="GN219" s="340"/>
      <c r="GO219" s="338"/>
      <c r="GP219" s="293"/>
      <c r="GQ219" s="239"/>
      <c r="GR219" s="297"/>
      <c r="GS219" s="296"/>
      <c r="GT219" s="336"/>
      <c r="GU219" s="341"/>
      <c r="GV219" s="340"/>
      <c r="GW219" s="338"/>
      <c r="GX219" s="293"/>
      <c r="GY219" s="239"/>
      <c r="GZ219" s="297"/>
      <c r="HA219" s="296"/>
      <c r="HB219" s="336"/>
      <c r="HC219" s="341"/>
      <c r="HD219" s="340"/>
      <c r="HE219" s="338"/>
      <c r="HF219" s="293"/>
      <c r="HG219" s="239"/>
      <c r="HH219" s="297"/>
      <c r="HI219" s="296"/>
      <c r="HJ219" s="336"/>
      <c r="HK219" s="341"/>
      <c r="HL219" s="340"/>
      <c r="HM219" s="338"/>
      <c r="HN219" s="293"/>
      <c r="HO219" s="239"/>
      <c r="HP219" s="297"/>
      <c r="HQ219" s="296"/>
      <c r="HR219" s="336"/>
      <c r="HS219" s="341"/>
      <c r="HT219" s="340"/>
      <c r="HU219" s="338"/>
      <c r="HV219" s="293"/>
      <c r="HW219" s="239"/>
      <c r="HX219" s="297"/>
      <c r="HY219" s="296"/>
      <c r="HZ219" s="336"/>
      <c r="IA219" s="341"/>
      <c r="IB219" s="340"/>
      <c r="IC219" s="338"/>
      <c r="ID219" s="293"/>
      <c r="IE219" s="239"/>
      <c r="IF219" s="297"/>
      <c r="IG219" s="296"/>
      <c r="IH219" s="336"/>
      <c r="II219" s="341"/>
      <c r="IJ219" s="340"/>
      <c r="IK219" s="338"/>
      <c r="IL219" s="293"/>
      <c r="IM219" s="239"/>
      <c r="IN219" s="297"/>
      <c r="IO219" s="296"/>
      <c r="IP219" s="336"/>
      <c r="IQ219" s="341"/>
      <c r="IR219" s="340"/>
      <c r="IS219" s="338"/>
      <c r="IT219" s="293"/>
    </row>
    <row r="220" spans="1:254" x14ac:dyDescent="0.2">
      <c r="D220" s="294"/>
      <c r="E220" s="295"/>
      <c r="F220" s="326"/>
    </row>
    <row r="222" spans="1:254" x14ac:dyDescent="0.2">
      <c r="A222" s="296" t="s">
        <v>293</v>
      </c>
    </row>
    <row r="223" spans="1:254" ht="12.75" customHeight="1" x14ac:dyDescent="0.2">
      <c r="A223" s="342" t="s">
        <v>770</v>
      </c>
      <c r="B223" s="524" t="s">
        <v>771</v>
      </c>
      <c r="C223" s="525"/>
      <c r="D223" s="525"/>
    </row>
    <row r="224" spans="1:254" ht="77.25" customHeight="1" x14ac:dyDescent="0.2">
      <c r="A224" s="342" t="s">
        <v>772</v>
      </c>
      <c r="B224" s="518" t="s">
        <v>773</v>
      </c>
      <c r="C224" s="519"/>
      <c r="D224" s="519"/>
      <c r="E224" s="526"/>
      <c r="F224" s="526"/>
    </row>
    <row r="225" spans="1:8" ht="12.75" customHeight="1" x14ac:dyDescent="0.2">
      <c r="A225" s="342" t="s">
        <v>774</v>
      </c>
      <c r="B225" s="518" t="s">
        <v>775</v>
      </c>
      <c r="C225" s="527"/>
      <c r="D225" s="527"/>
      <c r="E225" s="528"/>
      <c r="F225" s="528"/>
    </row>
    <row r="226" spans="1:8" ht="12.75" customHeight="1" x14ac:dyDescent="0.2">
      <c r="A226" s="343" t="s">
        <v>776</v>
      </c>
      <c r="B226" s="518" t="s">
        <v>777</v>
      </c>
      <c r="C226" s="527"/>
      <c r="D226" s="527"/>
      <c r="E226" s="528"/>
      <c r="F226" s="528"/>
    </row>
    <row r="227" spans="1:8" ht="12.75" customHeight="1" x14ac:dyDescent="0.2">
      <c r="A227" s="342" t="s">
        <v>778</v>
      </c>
      <c r="B227" s="518" t="s">
        <v>779</v>
      </c>
      <c r="C227" s="527"/>
      <c r="D227" s="527"/>
      <c r="E227" s="528"/>
      <c r="F227" s="528"/>
    </row>
    <row r="228" spans="1:8" ht="12.75" customHeight="1" x14ac:dyDescent="0.2">
      <c r="A228" s="343" t="s">
        <v>780</v>
      </c>
      <c r="B228" s="518" t="s">
        <v>781</v>
      </c>
      <c r="C228" s="527"/>
      <c r="D228" s="527"/>
      <c r="E228" s="528"/>
      <c r="F228" s="528"/>
    </row>
    <row r="229" spans="1:8" ht="12.75" customHeight="1" x14ac:dyDescent="0.2">
      <c r="A229" s="343" t="s">
        <v>782</v>
      </c>
      <c r="B229" s="518" t="s">
        <v>783</v>
      </c>
      <c r="C229" s="519"/>
      <c r="D229" s="519"/>
      <c r="E229" s="520"/>
      <c r="F229" s="520"/>
    </row>
    <row r="230" spans="1:8" ht="12.75" customHeight="1" x14ac:dyDescent="0.2">
      <c r="A230" s="343"/>
      <c r="B230" s="520"/>
      <c r="C230" s="520"/>
      <c r="D230" s="520"/>
      <c r="E230" s="520"/>
      <c r="F230" s="520"/>
    </row>
    <row r="231" spans="1:8" ht="12.75" customHeight="1" x14ac:dyDescent="0.2">
      <c r="A231" s="343"/>
      <c r="B231" s="518" t="s">
        <v>784</v>
      </c>
      <c r="C231" s="527"/>
      <c r="D231" s="344">
        <v>4.2939999999999999E-2</v>
      </c>
      <c r="E231" s="345" t="s">
        <v>785</v>
      </c>
      <c r="F231" s="193" t="s">
        <v>786</v>
      </c>
      <c r="G231" s="346"/>
    </row>
    <row r="232" spans="1:8" ht="26.25" customHeight="1" x14ac:dyDescent="0.2">
      <c r="A232" s="343" t="s">
        <v>787</v>
      </c>
      <c r="B232" s="518" t="s">
        <v>788</v>
      </c>
      <c r="C232" s="527"/>
      <c r="D232" s="527"/>
      <c r="E232" s="528"/>
      <c r="F232" s="528"/>
    </row>
    <row r="233" spans="1:8" ht="27.75" customHeight="1" x14ac:dyDescent="0.2">
      <c r="A233" s="343" t="s">
        <v>789</v>
      </c>
      <c r="B233" s="518" t="s">
        <v>790</v>
      </c>
      <c r="C233" s="527"/>
      <c r="D233" s="527"/>
      <c r="E233" s="528"/>
      <c r="F233" s="528"/>
    </row>
    <row r="234" spans="1:8" ht="25.5" customHeight="1" x14ac:dyDescent="0.2">
      <c r="A234" s="342" t="s">
        <v>791</v>
      </c>
      <c r="B234" s="518" t="s">
        <v>792</v>
      </c>
      <c r="C234" s="527"/>
      <c r="D234" s="527"/>
      <c r="E234" s="528"/>
      <c r="F234" s="528"/>
    </row>
    <row r="235" spans="1:8" ht="39.950000000000003" customHeight="1" x14ac:dyDescent="0.2">
      <c r="A235" s="343" t="s">
        <v>793</v>
      </c>
      <c r="B235" s="518" t="s">
        <v>794</v>
      </c>
      <c r="C235" s="519"/>
      <c r="D235" s="519"/>
      <c r="E235" s="526"/>
      <c r="F235" s="526"/>
      <c r="G235" s="294"/>
    </row>
    <row r="236" spans="1:8" ht="26.1" customHeight="1" x14ac:dyDescent="0.2">
      <c r="A236" s="343" t="s">
        <v>795</v>
      </c>
      <c r="B236" s="518" t="s">
        <v>796</v>
      </c>
      <c r="C236" s="519"/>
      <c r="D236" s="519"/>
      <c r="E236" s="520"/>
      <c r="F236" s="520"/>
      <c r="G236" s="520"/>
    </row>
    <row r="237" spans="1:8" ht="12.75" customHeight="1" x14ac:dyDescent="0.2">
      <c r="A237" s="343"/>
      <c r="B237" s="518" t="s">
        <v>784</v>
      </c>
      <c r="C237" s="527"/>
      <c r="D237" s="344">
        <v>4.2939999999999999E-2</v>
      </c>
      <c r="E237" s="345" t="s">
        <v>785</v>
      </c>
      <c r="F237" s="193" t="s">
        <v>786</v>
      </c>
      <c r="G237" s="346"/>
    </row>
    <row r="238" spans="1:8" ht="12.75" customHeight="1" x14ac:dyDescent="0.2">
      <c r="A238" s="343" t="s">
        <v>797</v>
      </c>
      <c r="B238" s="518" t="s">
        <v>798</v>
      </c>
      <c r="C238" s="519"/>
      <c r="D238" s="519"/>
      <c r="E238" s="520"/>
      <c r="F238" s="520"/>
      <c r="G238" s="520"/>
      <c r="H238" s="520"/>
    </row>
    <row r="239" spans="1:8" ht="12.75" customHeight="1" x14ac:dyDescent="0.2">
      <c r="A239" s="343" t="s">
        <v>799</v>
      </c>
      <c r="B239" s="518" t="s">
        <v>800</v>
      </c>
      <c r="C239" s="519"/>
      <c r="D239" s="519"/>
      <c r="E239" s="520"/>
      <c r="F239" s="520"/>
      <c r="G239" s="520"/>
    </row>
    <row r="240" spans="1:8" ht="25.5" customHeight="1" x14ac:dyDescent="0.2">
      <c r="A240" s="343" t="s">
        <v>801</v>
      </c>
      <c r="B240" s="518" t="s">
        <v>802</v>
      </c>
      <c r="C240" s="519"/>
      <c r="D240" s="519"/>
      <c r="E240" s="526"/>
      <c r="F240" s="526"/>
      <c r="G240" s="294"/>
    </row>
    <row r="241" spans="1:7" x14ac:dyDescent="0.2">
      <c r="A241" s="343" t="s">
        <v>803</v>
      </c>
      <c r="B241" s="119" t="s">
        <v>804</v>
      </c>
      <c r="C241" s="119"/>
      <c r="E241" s="119"/>
      <c r="F241" s="119"/>
      <c r="G241" s="294"/>
    </row>
    <row r="242" spans="1:7" x14ac:dyDescent="0.2">
      <c r="A242" s="343" t="s">
        <v>805</v>
      </c>
      <c r="B242" s="119" t="s">
        <v>806</v>
      </c>
      <c r="C242" s="119"/>
      <c r="E242" s="294"/>
      <c r="F242" s="294"/>
      <c r="G242" s="294"/>
    </row>
    <row r="243" spans="1:7" x14ac:dyDescent="0.2">
      <c r="A243" s="119"/>
      <c r="B243" s="119" t="s">
        <v>807</v>
      </c>
      <c r="C243" s="119"/>
      <c r="E243" s="294"/>
      <c r="F243" s="294"/>
      <c r="G243" s="294"/>
    </row>
    <row r="244" spans="1:7" x14ac:dyDescent="0.2">
      <c r="A244" s="119"/>
      <c r="B244" s="119" t="s">
        <v>808</v>
      </c>
      <c r="C244" s="119"/>
      <c r="E244" s="294"/>
      <c r="F244" s="294"/>
      <c r="G244" s="294"/>
    </row>
    <row r="245" spans="1:7" x14ac:dyDescent="0.2">
      <c r="A245" s="119"/>
      <c r="B245" s="119" t="s">
        <v>809</v>
      </c>
      <c r="C245" s="119"/>
      <c r="E245" s="294"/>
      <c r="F245" s="294"/>
      <c r="G245" s="294"/>
    </row>
  </sheetData>
  <autoFilter ref="A1:O241" xr:uid="{00000000-0009-0000-0000-000007000000}"/>
  <mergeCells count="46">
    <mergeCell ref="B237:C237"/>
    <mergeCell ref="B238:H238"/>
    <mergeCell ref="B239:G239"/>
    <mergeCell ref="B240:F240"/>
    <mergeCell ref="B231:C231"/>
    <mergeCell ref="B232:F232"/>
    <mergeCell ref="B233:F233"/>
    <mergeCell ref="B234:F234"/>
    <mergeCell ref="B235:F235"/>
    <mergeCell ref="B236:G236"/>
    <mergeCell ref="B229:F230"/>
    <mergeCell ref="B194:C194"/>
    <mergeCell ref="B195:C195"/>
    <mergeCell ref="B199:D199"/>
    <mergeCell ref="B200:D200"/>
    <mergeCell ref="B201:D201"/>
    <mergeCell ref="B223:D223"/>
    <mergeCell ref="B224:F224"/>
    <mergeCell ref="B225:F225"/>
    <mergeCell ref="B226:F226"/>
    <mergeCell ref="B227:F227"/>
    <mergeCell ref="B228:F228"/>
    <mergeCell ref="B193:C193"/>
    <mergeCell ref="B155:D155"/>
    <mergeCell ref="B156:D156"/>
    <mergeCell ref="B160:D160"/>
    <mergeCell ref="B161:D161"/>
    <mergeCell ref="B165:D165"/>
    <mergeCell ref="B166:D166"/>
    <mergeCell ref="B186:D186"/>
    <mergeCell ref="B187:D187"/>
    <mergeCell ref="B188:D188"/>
    <mergeCell ref="B191:C191"/>
    <mergeCell ref="B192:C192"/>
    <mergeCell ref="B132:D132"/>
    <mergeCell ref="G2:I2"/>
    <mergeCell ref="J2:M2"/>
    <mergeCell ref="B9:D9"/>
    <mergeCell ref="B10:D10"/>
    <mergeCell ref="B31:D31"/>
    <mergeCell ref="B32:D32"/>
    <mergeCell ref="B39:D39"/>
    <mergeCell ref="B40:D40"/>
    <mergeCell ref="B70:D70"/>
    <mergeCell ref="B71:D71"/>
    <mergeCell ref="B131:D131"/>
  </mergeCells>
  <conditionalFormatting sqref="A227:A228 C162:C164 C133:C154 D76 C2:C8 C157:C159 C242:C65551 A232:A233 C166:C175 A235:A238 C220:C222 C33:C38 C41:C69 C72:C130 C203:C217 A240:A241 C11:C30">
    <cfRule type="cellIs" dxfId="12" priority="6" stopIfTrue="1" operator="between">
      <formula>4990000</formula>
      <formula>4999999</formula>
    </cfRule>
  </conditionalFormatting>
  <conditionalFormatting sqref="A239">
    <cfRule type="cellIs" dxfId="11" priority="5" stopIfTrue="1" operator="between">
      <formula>4990000</formula>
      <formula>4999999</formula>
    </cfRule>
  </conditionalFormatting>
  <conditionalFormatting sqref="A229:A231">
    <cfRule type="cellIs" dxfId="10" priority="4" stopIfTrue="1" operator="between">
      <formula>4990000</formula>
      <formula>4999999</formula>
    </cfRule>
  </conditionalFormatting>
  <conditionalFormatting sqref="K218:K219 Q218:Q219 Y218:Y219 AG218:AG219 AO218:AO219 AW218:AW219 BE218:BE219 BM218:BM219 BU218:BU219 CC218:CC219 CK218:CK219 CS218:CS219 DA218:DA219 DI218:DI219 DQ218:DQ219 DY218:DY219 EG218:EG219 EO218:EO219 EW218:EW219 FE218:FE219 FM218:FM219 FU218:FU219 GC218:GC219 GK218:GK219 GS218:GS219 HA218:HA219 HI218:HI219 HQ218:HQ219 HY218:HY219 IG218:IG219 IO218:IO219">
    <cfRule type="cellIs" dxfId="9" priority="3" stopIfTrue="1" operator="between">
      <formula>4990000</formula>
      <formula>4999999</formula>
    </cfRule>
  </conditionalFormatting>
  <conditionalFormatting sqref="C218:C219">
    <cfRule type="cellIs" dxfId="8" priority="2" stopIfTrue="1" operator="between">
      <formula>4990000</formula>
      <formula>4999999</formula>
    </cfRule>
  </conditionalFormatting>
  <conditionalFormatting sqref="A242">
    <cfRule type="cellIs" dxfId="7"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2013 True Up TRR)&amp;RTO2020 Annual Update
Attachment 4
WP-Schedule 3-One Time Adj Prior Period
Page &amp;P of &amp;N</oddHeader>
    <oddFooter>&amp;R21-RevenueCredits</oddFooter>
  </headerFooter>
  <rowBreaks count="3" manualBreakCount="3">
    <brk id="71" max="16383" man="1"/>
    <brk id="132" max="16383" man="1"/>
    <brk id="188"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0"/>
  <dimension ref="A3:H16"/>
  <sheetViews>
    <sheetView zoomScaleNormal="100" workbookViewId="0"/>
  </sheetViews>
  <sheetFormatPr defaultColWidth="9.140625" defaultRowHeight="15" x14ac:dyDescent="0.25"/>
  <cols>
    <col min="1" max="1" width="9.140625" style="41"/>
    <col min="2" max="2" width="12" style="41" customWidth="1"/>
    <col min="3" max="3" width="13" style="41" customWidth="1"/>
    <col min="4" max="4" width="17.7109375" style="41" customWidth="1"/>
    <col min="5" max="6" width="9.140625" style="41"/>
    <col min="7" max="7" width="14.85546875" style="41" customWidth="1"/>
    <col min="8" max="16384" width="9.140625" style="41"/>
  </cols>
  <sheetData>
    <row r="3" spans="1:8" x14ac:dyDescent="0.25">
      <c r="A3" s="492" t="s">
        <v>285</v>
      </c>
      <c r="B3" s="492"/>
      <c r="C3" s="492"/>
      <c r="D3" s="492"/>
      <c r="E3" s="492"/>
      <c r="F3" s="492"/>
      <c r="G3" s="492"/>
    </row>
    <row r="4" spans="1:8" x14ac:dyDescent="0.25">
      <c r="A4" s="492"/>
      <c r="B4" s="492"/>
      <c r="C4" s="492"/>
      <c r="D4" s="492"/>
      <c r="E4" s="492"/>
      <c r="F4" s="492"/>
      <c r="G4" s="492"/>
    </row>
    <row r="5" spans="1:8" x14ac:dyDescent="0.25">
      <c r="A5" s="493" t="s">
        <v>33</v>
      </c>
      <c r="B5" s="493"/>
      <c r="C5" s="493"/>
      <c r="D5" s="42" t="s">
        <v>34</v>
      </c>
      <c r="E5" s="494" t="s">
        <v>35</v>
      </c>
      <c r="F5" s="494"/>
      <c r="G5" s="494"/>
      <c r="H5" s="43"/>
    </row>
    <row r="6" spans="1:8" ht="54" customHeight="1" x14ac:dyDescent="0.25">
      <c r="A6" s="538" t="s">
        <v>823</v>
      </c>
      <c r="B6" s="539"/>
      <c r="C6" s="540"/>
      <c r="D6" s="61">
        <f>'WP-2014 Sch4-TUTRR'!J71</f>
        <v>900376914.4988457</v>
      </c>
      <c r="E6" s="549" t="s">
        <v>868</v>
      </c>
      <c r="F6" s="550"/>
      <c r="G6" s="550"/>
    </row>
    <row r="7" spans="1:8" ht="57.75" customHeight="1" x14ac:dyDescent="0.25">
      <c r="A7" s="538" t="s">
        <v>824</v>
      </c>
      <c r="B7" s="547"/>
      <c r="C7" s="548"/>
      <c r="D7" s="186">
        <f>'WP-2014 Sch4-TUTRR'!J70</f>
        <v>900346975.50389218</v>
      </c>
      <c r="E7" s="541" t="s">
        <v>990</v>
      </c>
      <c r="F7" s="542"/>
      <c r="G7" s="542"/>
    </row>
    <row r="8" spans="1:8" ht="23.25" customHeight="1" x14ac:dyDescent="0.25">
      <c r="A8" s="543" t="s">
        <v>36</v>
      </c>
      <c r="B8" s="543"/>
      <c r="C8" s="543"/>
      <c r="D8" s="81">
        <f>D7-D6</f>
        <v>-29938.994953513145</v>
      </c>
      <c r="E8" s="544"/>
      <c r="F8" s="545"/>
      <c r="G8" s="546"/>
    </row>
    <row r="11" spans="1:8" x14ac:dyDescent="0.25">
      <c r="A11" s="41" t="s">
        <v>37</v>
      </c>
      <c r="H11" s="79"/>
    </row>
    <row r="12" spans="1:8" ht="15" customHeight="1" x14ac:dyDescent="0.25">
      <c r="A12" s="486" t="s">
        <v>822</v>
      </c>
      <c r="B12" s="482"/>
      <c r="C12" s="482"/>
      <c r="D12" s="482"/>
      <c r="E12" s="482"/>
      <c r="F12" s="482"/>
      <c r="G12" s="482"/>
      <c r="H12" s="482"/>
    </row>
    <row r="13" spans="1:8" ht="15" customHeight="1" x14ac:dyDescent="0.25">
      <c r="A13" s="203"/>
      <c r="B13" s="183"/>
      <c r="C13" s="183"/>
      <c r="D13" s="183"/>
      <c r="E13" s="183"/>
      <c r="F13" s="183"/>
      <c r="G13" s="183"/>
      <c r="H13" s="183"/>
    </row>
    <row r="14" spans="1:8" ht="15" customHeight="1" x14ac:dyDescent="0.25">
      <c r="A14" s="481"/>
      <c r="B14" s="482"/>
      <c r="C14" s="482"/>
      <c r="D14" s="482"/>
      <c r="E14" s="482"/>
      <c r="F14" s="482"/>
      <c r="G14" s="482"/>
      <c r="H14" s="482"/>
    </row>
    <row r="15" spans="1:8" x14ac:dyDescent="0.25">
      <c r="A15" s="203"/>
      <c r="B15" s="183"/>
      <c r="C15" s="183"/>
      <c r="D15" s="183"/>
      <c r="E15" s="183"/>
      <c r="F15" s="183"/>
      <c r="G15" s="183"/>
      <c r="H15" s="183"/>
    </row>
    <row r="16" spans="1:8" x14ac:dyDescent="0.25">
      <c r="A16" s="481"/>
      <c r="B16" s="482"/>
      <c r="C16" s="482"/>
      <c r="D16" s="482"/>
      <c r="E16" s="482"/>
      <c r="F16" s="482"/>
      <c r="G16" s="482"/>
      <c r="H16" s="482"/>
    </row>
  </sheetData>
  <mergeCells count="12">
    <mergeCell ref="A3:G4"/>
    <mergeCell ref="A5:C5"/>
    <mergeCell ref="E5:G5"/>
    <mergeCell ref="A6:C6"/>
    <mergeCell ref="E6:G6"/>
    <mergeCell ref="A12:H12"/>
    <mergeCell ref="A14:H14"/>
    <mergeCell ref="A16:H16"/>
    <mergeCell ref="E7:G7"/>
    <mergeCell ref="A8:C8"/>
    <mergeCell ref="E8:G8"/>
    <mergeCell ref="A7:C7"/>
  </mergeCells>
  <pageMargins left="0.7" right="0.7" top="0.75" bottom="0.75" header="0.3" footer="0.3"/>
  <pageSetup orientation="portrait" r:id="rId1"/>
  <headerFooter>
    <oddHeader>&amp;R&amp;8TO2020 Annual Update
Attachment 4
WP-Schedule 3-One Time Adj Prior Period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21</vt:i4>
      </vt:variant>
    </vt:vector>
  </HeadingPairs>
  <TitlesOfParts>
    <vt:vector size="39" baseType="lpstr">
      <vt:lpstr>One Time Adj Explanation</vt:lpstr>
      <vt:lpstr>WP-Total Adj with Int</vt:lpstr>
      <vt:lpstr>WP-2012 True Up TRR Adj</vt:lpstr>
      <vt:lpstr>WP-2012 Sch4-TUTRR</vt:lpstr>
      <vt:lpstr>WP-2012 Sch21-RevenueCredits</vt:lpstr>
      <vt:lpstr>WP-2013 True Up TRR Adj</vt:lpstr>
      <vt:lpstr>WP-2013 Sch4-TUTRR</vt:lpstr>
      <vt:lpstr>WP-2013 Sch21-RevenueCredits</vt:lpstr>
      <vt:lpstr>WP-2014 True Up TRR Adj</vt:lpstr>
      <vt:lpstr>WP-2014 Sch4-TUTRR</vt:lpstr>
      <vt:lpstr>WP-2014 Sch21-RevenueCredits</vt:lpstr>
      <vt:lpstr>WP-2016 True Up TRR Adj</vt:lpstr>
      <vt:lpstr>WP-2016 Sch4-TUTRR</vt:lpstr>
      <vt:lpstr>WP-2016 Sch20-AandG</vt:lpstr>
      <vt:lpstr>WP-2017 True Up TRR Adj</vt:lpstr>
      <vt:lpstr>WP-2017 Sch4-TUTRR</vt:lpstr>
      <vt:lpstr>WP-2017 Sch10-CWIP</vt:lpstr>
      <vt:lpstr>WP-2017 Sch20-AandG</vt:lpstr>
      <vt:lpstr>'One Time Adj Explanation'!Print_Area</vt:lpstr>
      <vt:lpstr>'WP-2012 Sch21-RevenueCredits'!Print_Area</vt:lpstr>
      <vt:lpstr>'WP-2012 Sch4-TUTRR'!Print_Area</vt:lpstr>
      <vt:lpstr>'WP-2012 True Up TRR Adj'!Print_Area</vt:lpstr>
      <vt:lpstr>'WP-2013 Sch21-RevenueCredits'!Print_Area</vt:lpstr>
      <vt:lpstr>'WP-2013 Sch4-TUTRR'!Print_Area</vt:lpstr>
      <vt:lpstr>'WP-2013 True Up TRR Adj'!Print_Area</vt:lpstr>
      <vt:lpstr>'WP-2014 Sch21-RevenueCredits'!Print_Area</vt:lpstr>
      <vt:lpstr>'WP-2014 Sch4-TUTRR'!Print_Area</vt:lpstr>
      <vt:lpstr>'WP-2014 True Up TRR Adj'!Print_Area</vt:lpstr>
      <vt:lpstr>'WP-2016 Sch20-AandG'!Print_Area</vt:lpstr>
      <vt:lpstr>'WP-2016 Sch4-TUTRR'!Print_Area</vt:lpstr>
      <vt:lpstr>'WP-2016 True Up TRR Adj'!Print_Area</vt:lpstr>
      <vt:lpstr>'WP-2017 Sch10-CWIP'!Print_Area</vt:lpstr>
      <vt:lpstr>'WP-2017 Sch20-AandG'!Print_Area</vt:lpstr>
      <vt:lpstr>'WP-2017 Sch4-TUTRR'!Print_Area</vt:lpstr>
      <vt:lpstr>'WP-2017 True Up TRR Adj'!Print_Area</vt:lpstr>
      <vt:lpstr>'WP-Total Adj with Int'!Print_Area</vt:lpstr>
      <vt:lpstr>'WP-2012 Sch21-RevenueCredits'!Print_Titles</vt:lpstr>
      <vt:lpstr>'WP-2013 Sch21-RevenueCredits'!Print_Titles</vt:lpstr>
      <vt:lpstr>'WP-2014 Sch21-RevenueCredits'!Print_Titles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2019-06-28T23:07:48Z</cp:lastPrinted>
  <dcterms:created xsi:type="dcterms:W3CDTF">2009-02-27T16:01:11Z</dcterms:created>
  <dcterms:modified xsi:type="dcterms:W3CDTF">2019-11-21T22:52:03Z</dcterms:modified>
</cp:coreProperties>
</file>