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12-Dec 1-Annual Informational Filing\Attachment 5 TO13 True Up TRR and Workpapers\"/>
    </mc:Choice>
  </mc:AlternateContent>
  <bookViews>
    <workbookView xWindow="0" yWindow="0" windowWidth="23040" windowHeight="10950"/>
  </bookViews>
  <sheets>
    <sheet name="ExclusionsMatrix" sheetId="1" r:id="rId1"/>
    <sheet name="ShareholderAndOther" sheetId="2" r:id="rId2"/>
    <sheet name="Incentives" sheetId="3" r:id="rId3"/>
    <sheet name="ShareholderExcDetail" sheetId="4" r:id="rId4"/>
    <sheet name="Acct 930.2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Alt2007">#REF!</definedName>
    <definedName name="_Apr06">#REF!</definedName>
    <definedName name="_F100040">'[1]EIX Cost Centers'!$A$1:$B$33</definedName>
    <definedName name="_Feb06">#REF!</definedName>
    <definedName name="_Fill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SO2">#REF!</definedName>
    <definedName name="_SO4">#REF!</definedName>
    <definedName name="Active">#REF!</definedName>
    <definedName name="AltForecast">#REF!</definedName>
    <definedName name="Assets">'[2]GL Master Data lookup'!#REF!</definedName>
    <definedName name="Basis_Point">#REF!</definedName>
    <definedName name="Basis_Prices_Upload_Date">[3]Check!$B$29</definedName>
    <definedName name="Basis_Web_Query">[4]BasisPrices!$B$29</definedName>
    <definedName name="BHV">#REF!</definedName>
    <definedName name="Bio">#REF!</definedName>
    <definedName name="BLOCK">#REF!</definedName>
    <definedName name="BLOCKPOSTING">#REF!</definedName>
    <definedName name="Calc_implied_vol">[4]Volatility!$B$31</definedName>
    <definedName name="Clearing_House_deals_MTM_PT___Current_Month">#REF!</definedName>
    <definedName name="Cogen">#REF!</definedName>
    <definedName name="Convert_price">[4]PowerPrices!$B$64</definedName>
    <definedName name="Copy_Brkr_Quotes">[4]PowerPrices!$B$61</definedName>
    <definedName name="Create_Nuc_Basis">[4]BasisPrices!$B$30</definedName>
    <definedName name="Create_Nuc_Futs">[4]FuturePrices!$B$35</definedName>
    <definedName name="Create_Nuc_IR">[4]InterestRates!$B$27</definedName>
    <definedName name="Create_Nuc_Pwr">[4]PowerPrices!$B$65</definedName>
    <definedName name="Create_Nuc_Vol">[4]Volatility!$B$32</definedName>
    <definedName name="CRR_PT2">#REF!</definedName>
    <definedName name="CRR_SD_1">#REF!</definedName>
    <definedName name="CRR_SD_2">#REF!</definedName>
    <definedName name="CRR_ST_PT2">#REF!</definedName>
    <definedName name="CurrentMonth">#REF!</definedName>
    <definedName name="CurrentQtrEnd">'[5]Input And Prices'!$C$4</definedName>
    <definedName name="DaysForward">'[4]Calpine Renewable Cntrct  MTM'!$K$81</definedName>
    <definedName name="DF_GRID_1">#REF!</definedName>
    <definedName name="DWR_End_Row">#REF!</definedName>
    <definedName name="DWR_Start_Row">#REF!</definedName>
    <definedName name="Effective_date">'[4]Calpine Renewable Cntrct  MTM'!$L$81</definedName>
    <definedName name="EIX_10k">#REF!</definedName>
    <definedName name="EIX_10K_DET_M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[6]WS!#REF!</definedName>
    <definedName name="EIX_10K_WK_JAN1">#REF!</definedName>
    <definedName name="EIX_10k_WK_LASTMO">#REF!</definedName>
    <definedName name="EIX_WS">[6]WS!#REF!</definedName>
    <definedName name="eixytd">#REF!</definedName>
    <definedName name="ENTRYNODE">#REF!</definedName>
    <definedName name="EOptns_Term_Sch_Point">#REF!</definedName>
    <definedName name="Equity">'[2]GL Master Data lookup'!#REF!</definedName>
    <definedName name="Escalation_Rate">#REF!</definedName>
    <definedName name="FERC">#REF!</definedName>
    <definedName name="FERC_Map">'[2]CARS to FERC Map'!$A$2:$B$2339</definedName>
    <definedName name="Format_Quotes">[4]PowerPrices!$B$62</definedName>
    <definedName name="FSD">#REF!</definedName>
    <definedName name="Fut_Point">#REF!</definedName>
    <definedName name="Futs_Web_Query">[4]FuturePrices!$B$34</definedName>
    <definedName name="Futures_Prices_Upload_Date">[3]Check!$B$28</definedName>
    <definedName name="Gas">#REF!</definedName>
    <definedName name="Gas_Fin_Non_Options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[3]FuturePrices!$R$562:$U$600</definedName>
    <definedName name="HISTORICDOLLAR">#REF!</definedName>
    <definedName name="Hydro">#REF!</definedName>
    <definedName name="Interest_Rates_Upload_Date">[3]Check!$B$30</definedName>
    <definedName name="IR_Web_Query">[4]InterestRates!$B$26</definedName>
    <definedName name="ITEMTYPE">#REF!</definedName>
    <definedName name="Level">#REF!</definedName>
    <definedName name="Liab">'[2]GL Master Data lookup'!#REF!</definedName>
    <definedName name="List_1st_nearby">[4]Volatility!$B$28</definedName>
    <definedName name="List_2nd_nearby">[4]Volatility!$B$29</definedName>
    <definedName name="List_3rd_nearby">[4]Volatility!$B$30</definedName>
    <definedName name="Load_Flag">#REF!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'[3]Calpine Renewable Cntrct  MTM'!$1:$11</definedName>
    <definedName name="MTM_Summary_Compare">#REF!</definedName>
    <definedName name="NEG">#REF!</definedName>
    <definedName name="new" localSheetId="4" hidden="1">{#N/A,#N/A,TRUE,"Section6";#N/A,#N/A,TRUE,"OHcycles";#N/A,#N/A,TRUE,"OHtiming";#N/A,#N/A,TRUE,"OHcosts";#N/A,#N/A,TRUE,"GTdegradation";#N/A,#N/A,TRUE,"GTperformance";#N/A,#N/A,TRUE,"GraphEquip"}</definedName>
    <definedName name="new" localSheetId="2" hidden="1">{#N/A,#N/A,TRUE,"Section6";#N/A,#N/A,TRUE,"OHcycles";#N/A,#N/A,TRUE,"OHtiming";#N/A,#N/A,TRUE,"OHcosts";#N/A,#N/A,TRUE,"GTdegradation";#N/A,#N/A,TRUE,"GTperformance";#N/A,#N/A,TRUE,"GraphEquip"}</definedName>
    <definedName name="new" localSheetId="1" hidden="1">{#N/A,#N/A,TRUE,"Section6";#N/A,#N/A,TRUE,"OHcycles";#N/A,#N/A,TRUE,"OHtiming";#N/A,#N/A,TRUE,"OHcosts";#N/A,#N/A,TRUE,"GTdegradation";#N/A,#N/A,TRUE,"GTperformance";#N/A,#N/A,TRUE,"GraphEquip"}</definedName>
    <definedName name="new" localSheetId="3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>#REF!</definedName>
    <definedName name="NoContamSystems">SUM('[7]Facility Technical Data'!$C$11:$C$12)</definedName>
    <definedName name="OOR">'[2]GL Master Data lookup'!#REF!</definedName>
    <definedName name="Op_Exp">'[2]GL Master Data lookup'!#REF!</definedName>
    <definedName name="OracleUploadDate">[8]Renewable!$I$1</definedName>
    <definedName name="ord">'[9]Master Data'!$B$1:$T$118</definedName>
    <definedName name="P_L">'[2]GL Master Data lookup'!#REF!</definedName>
    <definedName name="Past_Cash">'[2]GL Master Data lookup'!#REF!</definedName>
    <definedName name="PivotTablePoint">#REF!</definedName>
    <definedName name="Posting_Keys">#REF!</definedName>
    <definedName name="Power">#REF!</definedName>
    <definedName name="Power_Prices_Upload_Date">[3]Check!$B$27</definedName>
    <definedName name="Pricelist">'[3]Calpine Renewable Cntrct  MTM'!$AU$15:$AU$20</definedName>
    <definedName name="PriceListDec_01_2003">'[3]WME WIP'!$AX$22:$AX$27</definedName>
    <definedName name="PriceListOct_30_2003">'[3]MWD WIP'!$AX$22:$AX$27</definedName>
    <definedName name="_xlnm.Print_Area" localSheetId="4">'Acct 930.2'!$A$1:$G$24</definedName>
    <definedName name="_xlnm.Print_Area" localSheetId="0">ExclusionsMatrix!$A$1:$P$46</definedName>
    <definedName name="_xlnm.Print_Area" localSheetId="2">Incentives!$A$1:$I$164</definedName>
    <definedName name="_xlnm.Print_Area" localSheetId="1">ShareholderAndOther!$A$1:$N$73</definedName>
    <definedName name="_xlnm.Print_Area" localSheetId="3">ShareholderExcDetail!$A$1:$D$46</definedName>
    <definedName name="print1">#REF!</definedName>
    <definedName name="print2">#REF!</definedName>
    <definedName name="PriorMTMdate">'[10]Input And Prices'!$B$3</definedName>
    <definedName name="ProcessDate">#REF!</definedName>
    <definedName name="ProcessDate2">[8]Check!$B$3</definedName>
    <definedName name="ProcessMonth">#REF!</definedName>
    <definedName name="ProxyList">'[3]Calpine Renewable Cntrct  MTM'!$AT$15:$AT$20</definedName>
    <definedName name="QF_Asgn_List_Capacity">#REF!</definedName>
    <definedName name="QF_Asgn_List021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SAI">#REF!</definedName>
    <definedName name="Sales_Purchases_matching">#REF!</definedName>
    <definedName name="SAPBEXhrIndnt" hidden="1">"Wide"</definedName>
    <definedName name="SAPsysID" hidden="1">"708C5W7SBKP804JT78WJ0JNKI"</definedName>
    <definedName name="SAPwbID" hidden="1">"ARS"</definedName>
    <definedName name="SCE_10K_DET_M">#REF!</definedName>
    <definedName name="SCE_10K_DET_T">#REF!</definedName>
    <definedName name="SCE_10K_M">#REF!</definedName>
    <definedName name="SCE_10K_T">#REF!</definedName>
    <definedName name="SCE_10k_WK_CURR">[6]WS!#REF!</definedName>
    <definedName name="SCE_10K_WK_JAN1">#REF!</definedName>
    <definedName name="SCE_10K_WK_LASTMO">#REF!</definedName>
    <definedName name="SCE_WS">#REF!</definedName>
    <definedName name="SCE_WS_LASTMO">#REF!</definedName>
    <definedName name="SCE10K">#REF!</definedName>
    <definedName name="SCE10KWksht">#REF!</definedName>
    <definedName name="Season2_data">'[11]LT Volumes'!#REF!</definedName>
    <definedName name="Season4_data">'[11]LT Volumes'!#REF!</definedName>
    <definedName name="Setup_Shape">[4]PowerPrices!$B$63</definedName>
    <definedName name="Solar">#REF!</definedName>
    <definedName name="SUBMITEM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[12]DATA!#REF!</definedName>
    <definedName name="TransCapMTM">#REF!</definedName>
    <definedName name="Upload_Basis">[4]BasisPrices!$B$31</definedName>
    <definedName name="Upload_Basis_Access">[4]BasisPrices!$B$32</definedName>
    <definedName name="Upload_Futs">[4]FuturePrices!$B$36</definedName>
    <definedName name="Upload_Futs_Access">[4]FuturePrices!$B$37</definedName>
    <definedName name="Upload_IR">[4]InterestRates!$B$28</definedName>
    <definedName name="Upload_IR_Access">#REF!</definedName>
    <definedName name="Upload_Pwr">[4]PowerPrices!$B$66</definedName>
    <definedName name="Upload_Pwr_Access">[4]PowerPrices!$B$67</definedName>
    <definedName name="UploadAccess">[4]Volatility!$B$34</definedName>
    <definedName name="Uploads_IR_Access">#REF!</definedName>
    <definedName name="UploadVol">[4]Volatility!$B$33</definedName>
    <definedName name="Volatility_Upload_Date">[3]Check!$B$31</definedName>
    <definedName name="Week" localSheetId="4">{0;1;2;3;4;5}</definedName>
    <definedName name="Week" localSheetId="2">{0;1;2;3;4;5}</definedName>
    <definedName name="Week" localSheetId="1">{0;1;2;3;4;5}</definedName>
    <definedName name="Week" localSheetId="3">{0;1;2;3;4;5}</definedName>
    <definedName name="Week">{0;1;2;3;4;5}</definedName>
    <definedName name="Weekday" localSheetId="4">{1,2,3,4,5,6,7}</definedName>
    <definedName name="Weekday" localSheetId="2">{1,2,3,4,5,6,7}</definedName>
    <definedName name="Weekday" localSheetId="1">{1,2,3,4,5,6,7}</definedName>
    <definedName name="Weekday" localSheetId="3">{1,2,3,4,5,6,7}</definedName>
    <definedName name="Weekday">{1,2,3,4,5,6,7}</definedName>
    <definedName name="Wind">#REF!</definedName>
    <definedName name="WITdata">[13]WIT!$A$1:$S$440</definedName>
    <definedName name="wrn.Cover." localSheetId="4" hidden="1">{#N/A,#N/A,TRUE,"Cover";#N/A,#N/A,TRUE,"Contents"}</definedName>
    <definedName name="wrn.Cover." localSheetId="2" hidden="1">{#N/A,#N/A,TRUE,"Cover";#N/A,#N/A,TRUE,"Contents"}</definedName>
    <definedName name="wrn.Cover." localSheetId="1" hidden="1">{#N/A,#N/A,TRUE,"Cover";#N/A,#N/A,TRUE,"Contents"}</definedName>
    <definedName name="wrn.Cover." localSheetId="3" hidden="1">{#N/A,#N/A,TRUE,"Cover";#N/A,#N/A,TRUE,"Contents"}</definedName>
    <definedName name="wrn.Cover." hidden="1">{#N/A,#N/A,TRUE,"Cover";#N/A,#N/A,TRUE,"Contents"}</definedName>
    <definedName name="wrn.CoverContents." localSheetId="4" hidden="1">{#N/A,#N/A,FALSE,"Cover";#N/A,#N/A,FALSE,"Contents"}</definedName>
    <definedName name="wrn.CoverContents." localSheetId="2" hidden="1">{#N/A,#N/A,FALSE,"Cover";#N/A,#N/A,FALSE,"Contents"}</definedName>
    <definedName name="wrn.CoverContents." localSheetId="1" hidden="1">{#N/A,#N/A,FALSE,"Cover";#N/A,#N/A,FALSE,"Contents"}</definedName>
    <definedName name="wrn.CoverContents." localSheetId="3" hidden="1">{#N/A,#N/A,FALSE,"Cover";#N/A,#N/A,FALSE,"Contents"}</definedName>
    <definedName name="wrn.CoverContents." hidden="1">{#N/A,#N/A,FALSE,"Cover";#N/A,#N/A,FALSE,"Contents"}</definedName>
    <definedName name="wrn.Distributed._.Decon._.Notebook." localSheetId="4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2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1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3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localSheetId="4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2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1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3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localSheetId="4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2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1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3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4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2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1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3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localSheetId="4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2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1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3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localSheetId="4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2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1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3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4" hidden="1">{#N/A,#N/A,TRUE,"Section1";#N/A,#N/A,TRUE,"SumF";#N/A,#N/A,TRUE,"FigExchange";#N/A,#N/A,TRUE,"Escalation";#N/A,#N/A,TRUE,"GraphEscalate";#N/A,#N/A,TRUE,"Scenarios"}</definedName>
    <definedName name="wrn.Section1Summaries." localSheetId="2" hidden="1">{#N/A,#N/A,TRUE,"Section1";#N/A,#N/A,TRUE,"SumF";#N/A,#N/A,TRUE,"FigExchange";#N/A,#N/A,TRUE,"Escalation";#N/A,#N/A,TRUE,"GraphEscalate";#N/A,#N/A,TRUE,"Scenarios"}</definedName>
    <definedName name="wrn.Section1Summaries." localSheetId="1" hidden="1">{#N/A,#N/A,TRUE,"Section1";#N/A,#N/A,TRUE,"SumF";#N/A,#N/A,TRUE,"FigExchange";#N/A,#N/A,TRUE,"Escalation";#N/A,#N/A,TRUE,"GraphEscalate";#N/A,#N/A,TRUE,"Scenarios"}</definedName>
    <definedName name="wrn.Section1Summaries." localSheetId="3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4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2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1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3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4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2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1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3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4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2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1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3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4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2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1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3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4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2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1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3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4" hidden="1">{#N/A,#N/A,TRUE,"Section4";#N/A,#N/A,TRUE,"PPAtable";#N/A,#N/A,TRUE,"RFPtable";#N/A,#N/A,TRUE,"RevCap";#N/A,#N/A,TRUE,"RevOther";#N/A,#N/A,TRUE,"RevGas";#N/A,#N/A,TRUE,"GraphRev"}</definedName>
    <definedName name="wrn.Section4Revenue." localSheetId="2" hidden="1">{#N/A,#N/A,TRUE,"Section4";#N/A,#N/A,TRUE,"PPAtable";#N/A,#N/A,TRUE,"RFPtable";#N/A,#N/A,TRUE,"RevCap";#N/A,#N/A,TRUE,"RevOther";#N/A,#N/A,TRUE,"RevGas";#N/A,#N/A,TRUE,"GraphRev"}</definedName>
    <definedName name="wrn.Section4Revenue." localSheetId="1" hidden="1">{#N/A,#N/A,TRUE,"Section4";#N/A,#N/A,TRUE,"PPAtable";#N/A,#N/A,TRUE,"RFPtable";#N/A,#N/A,TRUE,"RevCap";#N/A,#N/A,TRUE,"RevOther";#N/A,#N/A,TRUE,"RevGas";#N/A,#N/A,TRUE,"GraphRev"}</definedName>
    <definedName name="wrn.Section4Revenue." localSheetId="3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4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2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1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3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localSheetId="4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2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1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3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localSheetId="4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2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1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3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4" hidden="1">{#N/A,#N/A,TRUE,"Section7";#N/A,#N/A,TRUE,"DebtService";#N/A,#N/A,TRUE,"LoanSchedules";#N/A,#N/A,TRUE,"GraphDebt"}</definedName>
    <definedName name="wrn.Section7DebtService." localSheetId="2" hidden="1">{#N/A,#N/A,TRUE,"Section7";#N/A,#N/A,TRUE,"DebtService";#N/A,#N/A,TRUE,"LoanSchedules";#N/A,#N/A,TRUE,"GraphDebt"}</definedName>
    <definedName name="wrn.Section7DebtService." localSheetId="1" hidden="1">{#N/A,#N/A,TRUE,"Section7";#N/A,#N/A,TRUE,"DebtService";#N/A,#N/A,TRUE,"LoanSchedules";#N/A,#N/A,TRUE,"GraphDebt"}</definedName>
    <definedName name="wrn.Section7DebtService." localSheetId="3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ponsorSection." localSheetId="4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2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1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3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localSheetId="4" hidden="1">{"Table A",#N/A,FALSE,"Summary";"Table D",#N/A,FALSE,"Summary";"Table E",#N/A,FALSE,"Summary"}</definedName>
    <definedName name="wrn.Summary." localSheetId="2" hidden="1">{"Table A",#N/A,FALSE,"Summary";"Table D",#N/A,FALSE,"Summary";"Table E",#N/A,FALSE,"Summary"}</definedName>
    <definedName name="wrn.Summary." localSheetId="1" hidden="1">{"Table A",#N/A,FALSE,"Summary";"Table D",#N/A,FALSE,"Summary";"Table E",#N/A,FALSE,"Summary"}</definedName>
    <definedName name="wrn.Summary." localSheetId="3" hidden="1">{"Table A",#N/A,FALSE,"Summary";"Table D",#N/A,FALSE,"Summary";"Table E",#N/A,FALSE,"Summary"}</definedName>
    <definedName name="wrn.Summary." hidden="1">{"Table A",#N/A,FALSE,"Summary";"Table D",#N/A,FALSE,"Summary";"Table E",#N/A,FALSE,"Summary"}</definedName>
    <definedName name="wrn.Total._.Summary." localSheetId="4" hidden="1">{"Total Summary",#N/A,FALSE,"Summary"}</definedName>
    <definedName name="wrn.Total._.Summary." localSheetId="2" hidden="1">{"Total Summary",#N/A,FALSE,"Summary"}</definedName>
    <definedName name="wrn.Total._.Summary." localSheetId="1" hidden="1">{"Total Summary",#N/A,FALSE,"Summary"}</definedName>
    <definedName name="wrn.Total._.Summary." localSheetId="3" hidden="1">{"Total Summary",#N/A,FALSE,"Summary"}</definedName>
    <definedName name="wrn.Total._.Summary." hidden="1">{"Total Summary",#N/A,FALSE,"Summary"}</definedName>
    <definedName name="YearList">'[3]Calpine Renewable Cntrct  MTM'!$AS$15:$AS$20</definedName>
    <definedName name="YearProxyList">'[3]Calpine Renewable Cntrct  MTM'!$AS$15:$AT$20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2" l="1"/>
  <c r="F51" i="2"/>
  <c r="D13" i="2" l="1"/>
  <c r="D46" i="2"/>
  <c r="G32" i="1" l="1"/>
  <c r="F21" i="1"/>
  <c r="F22" i="1"/>
  <c r="F23" i="1"/>
  <c r="F24" i="1"/>
  <c r="F25" i="1"/>
  <c r="F20" i="1"/>
  <c r="F18" i="1"/>
  <c r="F17" i="1"/>
  <c r="F16" i="1"/>
  <c r="F15" i="1"/>
  <c r="F13" i="1"/>
  <c r="F14" i="1"/>
  <c r="D22" i="1"/>
  <c r="D23" i="1"/>
  <c r="D25" i="1"/>
  <c r="D24" i="1"/>
  <c r="D21" i="1"/>
  <c r="D20" i="1"/>
  <c r="D17" i="1"/>
  <c r="D16" i="1"/>
  <c r="D15" i="1"/>
  <c r="D14" i="1"/>
  <c r="D13" i="1"/>
  <c r="E164" i="3" l="1"/>
  <c r="E163" i="3"/>
  <c r="E162" i="3"/>
  <c r="E161" i="3"/>
  <c r="E160" i="3"/>
  <c r="E159" i="3"/>
  <c r="E156" i="3"/>
  <c r="E155" i="3"/>
  <c r="E154" i="3"/>
  <c r="E153" i="3"/>
  <c r="E152" i="3"/>
  <c r="E90" i="3"/>
  <c r="E91" i="3" s="1"/>
  <c r="E56" i="3"/>
  <c r="E57" i="3" s="1"/>
  <c r="E18" i="3"/>
  <c r="E19" i="3" s="1"/>
  <c r="G24" i="3" s="1"/>
  <c r="C22" i="1"/>
  <c r="C25" i="1"/>
  <c r="C24" i="1"/>
  <c r="C23" i="1"/>
  <c r="C21" i="1"/>
  <c r="C20" i="1"/>
  <c r="C16" i="1"/>
  <c r="C13" i="1"/>
  <c r="G18" i="1"/>
  <c r="C17" i="1" l="1"/>
  <c r="C14" i="1"/>
  <c r="C15" i="1"/>
  <c r="G25" i="3"/>
  <c r="G23" i="3"/>
  <c r="F23" i="5"/>
  <c r="D23" i="5"/>
  <c r="E20" i="5"/>
  <c r="E17" i="5"/>
  <c r="E23" i="5" s="1"/>
  <c r="B44" i="4"/>
  <c r="B39" i="4"/>
  <c r="B35" i="4"/>
  <c r="B26" i="4"/>
  <c r="B21" i="4"/>
  <c r="B10" i="4"/>
  <c r="C154" i="3"/>
  <c r="C155" i="3" s="1"/>
  <c r="C156" i="3" s="1"/>
  <c r="C157" i="3" s="1"/>
  <c r="C158" i="3" s="1"/>
  <c r="C159" i="3" s="1"/>
  <c r="C160" i="3" s="1"/>
  <c r="C161" i="3" s="1"/>
  <c r="C162" i="3" s="1"/>
  <c r="C163" i="3" s="1"/>
  <c r="C164" i="3" s="1"/>
  <c r="C153" i="3"/>
  <c r="C152" i="3"/>
  <c r="G151" i="3"/>
  <c r="F140" i="3"/>
  <c r="F139" i="3"/>
  <c r="F138" i="3"/>
  <c r="F137" i="3"/>
  <c r="F136" i="3"/>
  <c r="F135" i="3"/>
  <c r="F132" i="3"/>
  <c r="F131" i="3"/>
  <c r="F130" i="3"/>
  <c r="F129" i="3"/>
  <c r="C115" i="3"/>
  <c r="C109" i="3"/>
  <c r="C108" i="3"/>
  <c r="E106" i="3"/>
  <c r="H90" i="3"/>
  <c r="E89" i="3"/>
  <c r="G95" i="3" s="1"/>
  <c r="G82" i="3"/>
  <c r="E120" i="3"/>
  <c r="E72" i="3"/>
  <c r="E108" i="3"/>
  <c r="H56" i="3"/>
  <c r="G61" i="3"/>
  <c r="E55" i="3"/>
  <c r="G48" i="3"/>
  <c r="E48" i="3"/>
  <c r="E49" i="3" s="1"/>
  <c r="E27" i="3"/>
  <c r="H18" i="3"/>
  <c r="E12" i="3"/>
  <c r="F60" i="2"/>
  <c r="D60" i="2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F72" i="2"/>
  <c r="F71" i="2"/>
  <c r="F65" i="2"/>
  <c r="F64" i="2"/>
  <c r="F70" i="2"/>
  <c r="F67" i="2"/>
  <c r="F62" i="2"/>
  <c r="F59" i="2"/>
  <c r="F46" i="1"/>
  <c r="E46" i="1"/>
  <c r="F40" i="1"/>
  <c r="H3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B46" i="4" l="1"/>
  <c r="F134" i="3"/>
  <c r="F133" i="3"/>
  <c r="F128" i="3"/>
  <c r="E114" i="3"/>
  <c r="H61" i="3"/>
  <c r="I61" i="3" s="1"/>
  <c r="E107" i="3" s="1"/>
  <c r="E109" i="3" s="1"/>
  <c r="E151" i="3" s="1"/>
  <c r="D12" i="1" s="1"/>
  <c r="E113" i="3"/>
  <c r="H23" i="3"/>
  <c r="E17" i="3"/>
  <c r="F23" i="3"/>
  <c r="F25" i="3"/>
  <c r="F24" i="3"/>
  <c r="E83" i="3"/>
  <c r="F27" i="3" l="1"/>
  <c r="G153" i="3"/>
  <c r="H24" i="3"/>
  <c r="H27" i="3" s="1"/>
  <c r="F141" i="3"/>
  <c r="H95" i="3"/>
  <c r="I95" i="3" s="1"/>
  <c r="E121" i="3" s="1"/>
  <c r="E122" i="3" s="1"/>
  <c r="E157" i="3" s="1"/>
  <c r="D18" i="1" s="1"/>
  <c r="C18" i="1" s="1"/>
  <c r="E115" i="3"/>
  <c r="E116" i="3" s="1"/>
  <c r="H25" i="3"/>
  <c r="I25" i="3" s="1"/>
  <c r="G39" i="3" l="1"/>
  <c r="E39" i="1"/>
  <c r="I23" i="3"/>
  <c r="E37" i="1" s="1"/>
  <c r="G27" i="3"/>
  <c r="I24" i="3"/>
  <c r="G33" i="1" l="1"/>
  <c r="G34" i="1" s="1"/>
  <c r="F12" i="1" s="1"/>
  <c r="C12" i="1" s="1"/>
  <c r="G38" i="3"/>
  <c r="E38" i="1"/>
  <c r="E40" i="1" s="1"/>
  <c r="G37" i="3"/>
  <c r="I27" i="3"/>
  <c r="G40" i="3" l="1"/>
</calcChain>
</file>

<file path=xl/comments1.xml><?xml version="1.0" encoding="utf-8"?>
<comments xmlns="http://schemas.openxmlformats.org/spreadsheetml/2006/main">
  <authors>
    <author>Mindess, Robert G</author>
  </authors>
  <commentList>
    <comment ref="D12" authorId="0" shapeId="0">
      <text>
        <r>
          <rPr>
            <b/>
            <sz val="9"/>
            <color indexed="81"/>
            <rFont val="Tahoma"/>
            <family val="2"/>
          </rPr>
          <t>Changed from $11,425,726 due to inadvertent carry over of prior year value.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</rPr>
          <t>Changed from $19,686,961 due to inadvertent carry over of prior year value.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7" authorId="0" shapeId="0">
      <text>
        <r>
          <rPr>
            <b/>
            <sz val="9"/>
            <color indexed="81"/>
            <rFont val="Tahoma"/>
            <charset val="1"/>
          </rPr>
          <t>Changed from $21,366,051 due to inadvertent carry over of prior year value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38" authorId="0" shapeId="0">
      <text>
        <r>
          <rPr>
            <b/>
            <sz val="9"/>
            <color indexed="81"/>
            <rFont val="Tahoma"/>
            <charset val="1"/>
          </rPr>
          <t>Changed from $9,660,204 due to inadvertent carry over of prior year value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39" authorId="0" shapeId="0">
      <text>
        <r>
          <rPr>
            <b/>
            <sz val="9"/>
            <color indexed="81"/>
            <rFont val="Tahoma"/>
            <charset val="1"/>
          </rPr>
          <t>Changed from $31,976,612 due to inadvertent carry over of prior year value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Mindess, Robert G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</rPr>
          <t>Inadvertently carried over prior year value of $104,319,775.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6" authorId="0" shapeId="0">
      <text>
        <r>
          <rPr>
            <b/>
            <sz val="9"/>
            <color indexed="81"/>
            <rFont val="Tahoma"/>
            <family val="2"/>
          </rPr>
          <t>Inadvertently carried over prior year value of $3,037,482.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0" authorId="0" shapeId="0">
      <text>
        <r>
          <rPr>
            <b/>
            <sz val="9"/>
            <color indexed="81"/>
            <rFont val="Tahoma"/>
            <family val="2"/>
          </rPr>
          <t>Inadvertently carried over prior year value of $8,541,571.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51" authorId="0" shapeId="0">
      <text>
        <r>
          <rPr>
            <b/>
            <sz val="9"/>
            <color indexed="81"/>
            <rFont val="Tahoma"/>
            <charset val="1"/>
          </rPr>
          <t>Changed from $19,469,056 due to inadvertent carryover of prior year value above.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7" authorId="0" shapeId="0">
      <text>
        <r>
          <rPr>
            <b/>
            <sz val="9"/>
            <color indexed="81"/>
            <rFont val="Tahoma"/>
            <charset val="1"/>
          </rPr>
          <t>Changed from $12,912,936 due to inadvertent carryover of prior year value above.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<sst xmlns="http://schemas.openxmlformats.org/spreadsheetml/2006/main" count="515" uniqueCount="337">
  <si>
    <t>Total of all A&amp;G Exclusions in Formula Input Format ("Shareholder + Other" and Incentive Compensation)</t>
  </si>
  <si>
    <t>The following matrix presents the exclusions to be entered into the Schedule 20 exclusions matrix and associated notes.</t>
  </si>
  <si>
    <t>Presented in same format as Schedule 20.</t>
  </si>
  <si>
    <t>See "Shareholder and Other" and "Incentives" worksheets for contributions to these exclusions.</t>
  </si>
  <si>
    <t>Note 1: Itemization of exclusions</t>
  </si>
  <si>
    <t>Col 1</t>
  </si>
  <si>
    <t>Col 2</t>
  </si>
  <si>
    <t>Col 3</t>
  </si>
  <si>
    <t>Col 4</t>
  </si>
  <si>
    <t>Shareholder</t>
  </si>
  <si>
    <t>Total</t>
  </si>
  <si>
    <t>Exclusions</t>
  </si>
  <si>
    <t>Amount Excluded</t>
  </si>
  <si>
    <t>or Other</t>
  </si>
  <si>
    <t>Franchise</t>
  </si>
  <si>
    <t>Line</t>
  </si>
  <si>
    <t>Acct.</t>
  </si>
  <si>
    <t>(Sum of C1 to C4)</t>
  </si>
  <si>
    <t>Adjustments</t>
  </si>
  <si>
    <t>Requirements</t>
  </si>
  <si>
    <t>NOIC</t>
  </si>
  <si>
    <t>PBOPs</t>
  </si>
  <si>
    <t>Source of Yellow-shaded Inputs</t>
  </si>
  <si>
    <t>Sum of "Shareholder and Other" and Incentives sheets</t>
  </si>
  <si>
    <t>NA</t>
  </si>
  <si>
    <t>Not applicable, not yellow shaded</t>
  </si>
  <si>
    <t xml:space="preserve">Note 2: Non-Officer Incentive Compensation ("NOIC") Adjustment </t>
  </si>
  <si>
    <t>(NOIC includes Results Sharing, Management Incentive Program, and Non-Officer Executive Incentive Compensation).</t>
  </si>
  <si>
    <t xml:space="preserve">Adjust NOIC by excluding accrued NOIC Amount and replacing with the </t>
  </si>
  <si>
    <t>actual non-capitalized A&amp;G NOIC payout.</t>
  </si>
  <si>
    <t>Amount</t>
  </si>
  <si>
    <t>Source</t>
  </si>
  <si>
    <t>a</t>
  </si>
  <si>
    <t>Accrued NOIC Amount:</t>
  </si>
  <si>
    <t>SCE Records</t>
  </si>
  <si>
    <t>Incentives Worksheet, Section 1</t>
  </si>
  <si>
    <t>b</t>
  </si>
  <si>
    <t>Actual A&amp;G NOIC payout:</t>
  </si>
  <si>
    <t>c</t>
  </si>
  <si>
    <t>Adjustment:</t>
  </si>
  <si>
    <t>Actual non-capitalized NOIC Payouts:</t>
  </si>
  <si>
    <t>Department</t>
  </si>
  <si>
    <t>d</t>
  </si>
  <si>
    <t>A&amp;G</t>
  </si>
  <si>
    <t>SCE Records and Workpapers</t>
  </si>
  <si>
    <t>Incentives Worksheet, Section 2</t>
  </si>
  <si>
    <t>e</t>
  </si>
  <si>
    <t>Other</t>
  </si>
  <si>
    <t>f</t>
  </si>
  <si>
    <t>TDBU</t>
  </si>
  <si>
    <t>g</t>
  </si>
  <si>
    <t>Total:</t>
  </si>
  <si>
    <t>Note 3: PBOPs Exclusion Calculation</t>
  </si>
  <si>
    <t>Note:</t>
  </si>
  <si>
    <t>Authorized PBOPs expense amount:</t>
  </si>
  <si>
    <t>See instruction #4</t>
  </si>
  <si>
    <t>Prior Year FF1 PBOPs expense:</t>
  </si>
  <si>
    <t>PBOPs Expense Exclusion:</t>
  </si>
  <si>
    <t>A&amp;G "Shareholder or Other Exclusions" workpapers</t>
  </si>
  <si>
    <t>1) Shareholder Exclusions for A&amp;G Accounts 920-935:</t>
  </si>
  <si>
    <t xml:space="preserve">Line </t>
  </si>
  <si>
    <t xml:space="preserve">Account </t>
  </si>
  <si>
    <t>Exclusion</t>
  </si>
  <si>
    <t>Notes:</t>
  </si>
  <si>
    <t>1a</t>
  </si>
  <si>
    <t>See ShareholderExclusions tab for detail</t>
  </si>
  <si>
    <t>1b</t>
  </si>
  <si>
    <t>1c</t>
  </si>
  <si>
    <t>1d</t>
  </si>
  <si>
    <t>1e</t>
  </si>
  <si>
    <t>1f</t>
  </si>
  <si>
    <t>Total Shareholder:</t>
  </si>
  <si>
    <t>2) Other Exclusions for A&amp;G Accounts 920-935:</t>
  </si>
  <si>
    <t xml:space="preserve">The following additional items have been determined to be not appropriate for inclusion in transmission rates, </t>
  </si>
  <si>
    <t xml:space="preserve">and therefore have been excluded as "Other Exclusions" in Note 1 to Schedule 20, Column 1. </t>
  </si>
  <si>
    <t>Item</t>
  </si>
  <si>
    <t>2a</t>
  </si>
  <si>
    <t>Generation, Hydro, Nuclear, Solar, and SSID 100% CPUC costs</t>
  </si>
  <si>
    <t>2b</t>
  </si>
  <si>
    <t>Miscellaneous charitable contributions</t>
  </si>
  <si>
    <t>2c</t>
  </si>
  <si>
    <t>Affiliate Charges</t>
  </si>
  <si>
    <t>2d</t>
  </si>
  <si>
    <t>Solar Photovoltaic Memorandum Account (SPVPMA)</t>
  </si>
  <si>
    <t>2e</t>
  </si>
  <si>
    <t>Generation, Hydro, FERC Licensing, Engineering, Power Procurement and Solar 100% CPUC costs</t>
  </si>
  <si>
    <t>2f</t>
  </si>
  <si>
    <t>Generation costs</t>
  </si>
  <si>
    <t>2g</t>
  </si>
  <si>
    <t>Agricultural Account Aggregation Study Memorandum Account (AAASMA)</t>
  </si>
  <si>
    <t>2h</t>
  </si>
  <si>
    <t>Outside Services</t>
  </si>
  <si>
    <t>2i</t>
  </si>
  <si>
    <t>Nuclear General Functions</t>
  </si>
  <si>
    <t>2j</t>
  </si>
  <si>
    <t>Claim reimbursement for 2011 and 2012 claims from insurer</t>
  </si>
  <si>
    <t>2k</t>
  </si>
  <si>
    <t>Base Revenue Requirement Balancing Account (BRRBA)</t>
  </si>
  <si>
    <t>2l</t>
  </si>
  <si>
    <t>Mojave Balancing Account</t>
  </si>
  <si>
    <t>2m</t>
  </si>
  <si>
    <t>Generation, Nuclear and Hydro 100% CPUC costs</t>
  </si>
  <si>
    <t>2n</t>
  </si>
  <si>
    <t>Energy Resource Recovery Account (ERRA)</t>
  </si>
  <si>
    <t>2o</t>
  </si>
  <si>
    <t>Public Purpose Programs Adjustment Mechanism (PPPAM)</t>
  </si>
  <si>
    <t>2p</t>
  </si>
  <si>
    <t>Energy Settlements Memorandum Account (ESMA)</t>
  </si>
  <si>
    <t>2q</t>
  </si>
  <si>
    <t>Malibu fire expenses</t>
  </si>
  <si>
    <t>2r</t>
  </si>
  <si>
    <t>Litigation Cost Tracking Account (LCTA)</t>
  </si>
  <si>
    <t>2s</t>
  </si>
  <si>
    <t>Aliso Canyon CEMA</t>
  </si>
  <si>
    <t>2t</t>
  </si>
  <si>
    <t xml:space="preserve">Accounting Suspense </t>
  </si>
  <si>
    <t>2u</t>
  </si>
  <si>
    <t>Provision for Doubtful Accounts</t>
  </si>
  <si>
    <t>2v</t>
  </si>
  <si>
    <t>Electric Program Investment Charge balancing acct. (EPICBA)</t>
  </si>
  <si>
    <t>2w</t>
  </si>
  <si>
    <t>Remap of EEI and EPRI dues from operating accounts</t>
  </si>
  <si>
    <t>2x</t>
  </si>
  <si>
    <t>Nuclear expenses</t>
  </si>
  <si>
    <t>2y</t>
  </si>
  <si>
    <t>SSID 100% CPUC costs</t>
  </si>
  <si>
    <t>Total Other:</t>
  </si>
  <si>
    <t>3) Order 668 Amount Transferred from O&amp;M Accounts 569.</t>
  </si>
  <si>
    <t>This amount of costs is transferred from O&amp;M accounts 569.100, 569.200, and 569.300:</t>
  </si>
  <si>
    <t>Transfer to A&amp;G account 920:</t>
  </si>
  <si>
    <t>4) Total "Shareholder and Other" Input Exclusions for Column 1, Lines 24-37 of Schedule 20</t>
  </si>
  <si>
    <t>(In Formula Input Format)</t>
  </si>
  <si>
    <t>Line #</t>
  </si>
  <si>
    <t>Calculation</t>
  </si>
  <si>
    <t>Line 1a + 2a to 2c - 3</t>
  </si>
  <si>
    <t>Line 1b+ 2d</t>
  </si>
  <si>
    <t>Line 1c + (2e to 2h)</t>
  </si>
  <si>
    <t>Line 2i to 2k</t>
  </si>
  <si>
    <t>Line 1d + 2l to 2m</t>
  </si>
  <si>
    <t>Line 1e + (2n to 2r)</t>
  </si>
  <si>
    <t>Line 1f + (2s to 2w)</t>
  </si>
  <si>
    <t>Line 2x</t>
  </si>
  <si>
    <t>Line 2y</t>
  </si>
  <si>
    <t>Total All "Shareholder or Other":</t>
  </si>
  <si>
    <t>A&amp;G Incentive Compensation Exclusions</t>
  </si>
  <si>
    <t xml:space="preserve">A) A&amp;G Non-Officer Incentive Compensation (NOIC) Adjustments </t>
  </si>
  <si>
    <t>1) Calculation of exclusion of capitalized portion of NOIC costs in Account 920:</t>
  </si>
  <si>
    <t>Source or</t>
  </si>
  <si>
    <t>Accrued NOIC</t>
  </si>
  <si>
    <t>Included in Account 920</t>
  </si>
  <si>
    <t>Capitalization rate</t>
  </si>
  <si>
    <t>CPUC GRC Decision for Test Year</t>
  </si>
  <si>
    <t>Capitalized NOIC</t>
  </si>
  <si>
    <t>L1 * L2</t>
  </si>
  <si>
    <t>2) Calculation of NOIC Payouts:</t>
  </si>
  <si>
    <t>Actual NOIC Payout</t>
  </si>
  <si>
    <t>Section 2, L7</t>
  </si>
  <si>
    <t>Authorized NOIC Payout</t>
  </si>
  <si>
    <t>Authorized Amount (Cap) from GRC for Test Year</t>
  </si>
  <si>
    <t>NOIC Payout To Be Recovered</t>
  </si>
  <si>
    <t xml:space="preserve">Lesser of Line 1 or Line 2 </t>
  </si>
  <si>
    <t>Business Unit</t>
  </si>
  <si>
    <t>Actual Payout</t>
  </si>
  <si>
    <t>% of Total Payout</t>
  </si>
  <si>
    <t>Allocated Capitalized NOIC</t>
  </si>
  <si>
    <t>Non-Capitalized NOIC</t>
  </si>
  <si>
    <t xml:space="preserve">A </t>
  </si>
  <si>
    <t>B = Col A / L7</t>
  </si>
  <si>
    <t>C = Section 2, L3 * B</t>
  </si>
  <si>
    <t>D =  Section 1, L3 * B</t>
  </si>
  <si>
    <t>E = C - D</t>
  </si>
  <si>
    <t>Trans. And Dist. Business Unit</t>
  </si>
  <si>
    <t>Totals</t>
  </si>
  <si>
    <t xml:space="preserve">Instruction for Line 2: Authorized NOIC Payout to be calculated in a workpaper (to be provided by SCE) comparable to that provided by  SCE to Joint Intervenors on 1/14/13  in Docket No. ER11-3697, </t>
  </si>
  <si>
    <t>with page references to the appropriate GRC decision and all calculations shown for the derivation of any numbers not taken directly from the GRC decision.</t>
  </si>
  <si>
    <t>Instruction for Lines 4-6, Column A: "Actual Payout" amount is to be the actual amount paid out in the Prior Year.</t>
  </si>
  <si>
    <t>Actual non-capitalized NOIC Payouts</t>
  </si>
  <si>
    <t>(In Formula Input Format for input to Schedule 20, Note 2)</t>
  </si>
  <si>
    <t>Line 4, column E above</t>
  </si>
  <si>
    <t>Line 5, column E above</t>
  </si>
  <si>
    <t>Line 6, column E above</t>
  </si>
  <si>
    <t xml:space="preserve">B) A&amp;G Officer Executive Incentive Compensation (OEIC) Adjustments </t>
  </si>
  <si>
    <t>3) Calculation of exclusion of capitalized portion of OEIC costs in Account 920:</t>
  </si>
  <si>
    <t>Accrued OEIC</t>
  </si>
  <si>
    <t>Included in Account 920.</t>
  </si>
  <si>
    <t>CPUC GRC Decision for test year:</t>
  </si>
  <si>
    <t>Capitalized OEIC</t>
  </si>
  <si>
    <t>4) Calculation of OEIC Payouts:</t>
  </si>
  <si>
    <t>Actual OEIC Payout</t>
  </si>
  <si>
    <t>Section 4, L4</t>
  </si>
  <si>
    <t>Authorized OEIC Payout</t>
  </si>
  <si>
    <t>Authorized Amount (Cap) from GRC for test year</t>
  </si>
  <si>
    <t>OEIC Payout To Be Recovered</t>
  </si>
  <si>
    <t>Allocated Capitalized OEIC</t>
  </si>
  <si>
    <t>Non-Capitalized OEIC</t>
  </si>
  <si>
    <t>A</t>
  </si>
  <si>
    <t>B</t>
  </si>
  <si>
    <t>C = Section 4, L3 * B</t>
  </si>
  <si>
    <t>D =  Section 3, L3 * B</t>
  </si>
  <si>
    <t>E =C - D</t>
  </si>
  <si>
    <t>Instruction for Line 4: "Actual Payout" amount is to be the actual amount paid out in the Prior Year.</t>
  </si>
  <si>
    <t xml:space="preserve">C) A&amp;G Long Term Incentive Compensation (LTI) Adjustments </t>
  </si>
  <si>
    <t>5) Calculation of LTI Payouts:</t>
  </si>
  <si>
    <t>Accrued LTI Payout</t>
  </si>
  <si>
    <t>Authorized LTI Payout</t>
  </si>
  <si>
    <t>Exclude 100%.</t>
  </si>
  <si>
    <t>LTI Payout To Be Recovered</t>
  </si>
  <si>
    <t>Lesser of Line 1 or Line 2</t>
  </si>
  <si>
    <t>Note:  LTI is not capitalized.</t>
  </si>
  <si>
    <t xml:space="preserve">D) A&amp;G Supplemental Executive Retirement Program (SERP) Adjustments </t>
  </si>
  <si>
    <t>6) Calculation of exclusion of capitalized portion of SERP costs in Account 926:</t>
  </si>
  <si>
    <t>Accrued SERP</t>
  </si>
  <si>
    <t>Included in Account 926</t>
  </si>
  <si>
    <t>CPUC GRC Decision for test year</t>
  </si>
  <si>
    <t>Capitalized SERP</t>
  </si>
  <si>
    <t>7) Calculation of SERP Expense:</t>
  </si>
  <si>
    <t>Actual SERP Expense</t>
  </si>
  <si>
    <t>Section 7, L4</t>
  </si>
  <si>
    <t>Authorized SERP Expense</t>
  </si>
  <si>
    <t>SERP Expense To Be Recovered</t>
  </si>
  <si>
    <t>Actual Expense</t>
  </si>
  <si>
    <t>% of Total Expense</t>
  </si>
  <si>
    <t>Allocated Capitalized SERP</t>
  </si>
  <si>
    <t>Non-Capitalized SERP</t>
  </si>
  <si>
    <t>C = Section 7, L3 * B</t>
  </si>
  <si>
    <t>D =  Section 6, L3 * B</t>
  </si>
  <si>
    <t>Instruction for Line 2:  Authorized SERP Expense to be calculated in a workpaper (to be provided by SCE) comparable to that provided by  SCE to Joint Intervenors on 1/14/13  in Docket</t>
  </si>
  <si>
    <t>No. ER11-3697, with page references to the appropriate GRC decision and all calculations shown for the derivation of any numbers not taken directly from the GRC decision.</t>
  </si>
  <si>
    <t>Instruction for Line 4: "Actual Expense" amount is to be the actual amount paid out in the Prior Year.</t>
  </si>
  <si>
    <t>E) A&amp;G Summary of Incentive Compensation Exclusions</t>
  </si>
  <si>
    <t>8) Exclusions to Account 920:</t>
  </si>
  <si>
    <t>Exclude Accrued OEIC</t>
  </si>
  <si>
    <t>Section 3, L1</t>
  </si>
  <si>
    <t>Add Non-Capitalized OEIC</t>
  </si>
  <si>
    <t>Section 4, L4, Col E</t>
  </si>
  <si>
    <t>Exclude Accrued LTI</t>
  </si>
  <si>
    <t>Section 5, L1</t>
  </si>
  <si>
    <t>9) Exclusions to Account 922:</t>
  </si>
  <si>
    <t>Section 1, L3</t>
  </si>
  <si>
    <t>Section 3, L3</t>
  </si>
  <si>
    <t>Section 6, L3</t>
  </si>
  <si>
    <t>10) Exclusions to Account 926:</t>
  </si>
  <si>
    <t>Exclude Accrued SERP</t>
  </si>
  <si>
    <t>Section 6, L1</t>
  </si>
  <si>
    <t>Add Non-Capitalized SERP</t>
  </si>
  <si>
    <t>Section 7, L4 Col E</t>
  </si>
  <si>
    <t>F) ACE and Spot Bonus Award Exclusions</t>
  </si>
  <si>
    <t>11) ACE and Spot bonus Awards by A&amp;G account</t>
  </si>
  <si>
    <t>ACE Awards</t>
  </si>
  <si>
    <t>Spot Bonus</t>
  </si>
  <si>
    <t>Total ACE and Spot Bonus Exclusions</t>
  </si>
  <si>
    <t>Total ACE and Spot:</t>
  </si>
  <si>
    <t>G) Total All A&amp;G Incentive Compensation Exclusions</t>
  </si>
  <si>
    <t>12) Total Incentive Compensation Input Exclusions for Columns 1 and 3, Lines 24-37 of Schedule 20</t>
  </si>
  <si>
    <t>Sec. 8, L4 + Sec. 11, L1</t>
  </si>
  <si>
    <t>Not an input in formula</t>
  </si>
  <si>
    <t>Sec. 11, L 2</t>
  </si>
  <si>
    <t>Sec. 9, L2+L3 (enter neg) + Sec 11, L3</t>
  </si>
  <si>
    <t>Sec. 9, L1 (enter negative)</t>
  </si>
  <si>
    <t>Sec. 11, L 4</t>
  </si>
  <si>
    <t>Sec. 11, L 5</t>
  </si>
  <si>
    <t>Sec. 11, L6</t>
  </si>
  <si>
    <t>Sec. 10, L3 + Sec. 11, L7</t>
  </si>
  <si>
    <t>Sec. 11, L 8</t>
  </si>
  <si>
    <t>Sec. 11, L 9</t>
  </si>
  <si>
    <t>Sec. 11, L 10</t>
  </si>
  <si>
    <t>Sec. 11, L 11</t>
  </si>
  <si>
    <t>Sec. 11, L 12</t>
  </si>
  <si>
    <t>Sec. 11, L 13</t>
  </si>
  <si>
    <t>Shareholder Exclusions in June 15, 2018 Draft Annual Update</t>
  </si>
  <si>
    <t>Schedule 20, Lines 24-37, Column 1 for the following accounts:</t>
  </si>
  <si>
    <t>Account</t>
  </si>
  <si>
    <t>Title</t>
  </si>
  <si>
    <t>Description</t>
  </si>
  <si>
    <t>LAM Shareholder Licensing Activities-Eastern</t>
  </si>
  <si>
    <t>Includes labor and other expenses associated with real estate licensing and leasing activities performed by Real Properties personnel.</t>
  </si>
  <si>
    <t>LAM Shareholder Licensing Activities-Metro</t>
  </si>
  <si>
    <t>LAM Shareholder Licensing Activities-Northern</t>
  </si>
  <si>
    <t>Land Ops Mgmt Shareholder AG</t>
  </si>
  <si>
    <t>Includes costs incurred by Real Properties for shareholder funded activities.</t>
  </si>
  <si>
    <t>Right of Way Southern Region Shareholder</t>
  </si>
  <si>
    <t>Total 920:</t>
  </si>
  <si>
    <t>OS &amp; Finance Shareholder Funded A&amp;G</t>
  </si>
  <si>
    <t>Includes labor and non-labor related expenses for Operations Support &amp; Finance shareholder related activities.</t>
  </si>
  <si>
    <t>RER Shareholder AG</t>
  </si>
  <si>
    <t>Includes salaries and other expenses of Revenue Enhancement personnel for developing a division-wide revenue enhancement plan. Activities include review of revenues derived from secondary land use.</t>
  </si>
  <si>
    <t>ASD Shareholder Funded Activities</t>
  </si>
  <si>
    <t>Includes labor and non-labor related expenses for Audit Services Division shareholder related activities.</t>
  </si>
  <si>
    <t>Total 921:</t>
  </si>
  <si>
    <t>EIX Costs</t>
  </si>
  <si>
    <t>Removes certain EIX costs not recoverable from ratepayers</t>
  </si>
  <si>
    <t>Removes shareholder outside services costs</t>
  </si>
  <si>
    <t>Total 923:</t>
  </si>
  <si>
    <t>Fitness Center Expenses</t>
  </si>
  <si>
    <t xml:space="preserve">Includes labor and non-labor costs supporting the Company Fitness Center, as well as removes a credit associated with dues paid by members.  </t>
  </si>
  <si>
    <t>Employee Recognition, Tenure, and Service Awards</t>
  </si>
  <si>
    <t>Includes company expenses related to anniversary awards, service pins, and other costs incurred in connection with employee welfare activities not otherwise included in a specific final cost center.</t>
  </si>
  <si>
    <t>Diamond Club</t>
  </si>
  <si>
    <t>Company cost to support quarterly meetings for retiree and employees with 25+ years of service.</t>
  </si>
  <si>
    <t>Humanitarian Award Program</t>
  </si>
  <si>
    <t>Company cost to provide recognition of employees who provided a life saving action.</t>
  </si>
  <si>
    <t>Miscellaneous</t>
  </si>
  <si>
    <t>Includes adjusting entries and miscellaneous corrections.</t>
  </si>
  <si>
    <t>Executive Benefits Adjustment</t>
  </si>
  <si>
    <t>Removes executive benefit credits not related to Executive Retirement Plan</t>
  </si>
  <si>
    <t>Total 926:</t>
  </si>
  <si>
    <t>SONGS outside services costs</t>
  </si>
  <si>
    <t>Removes costs associated with outside services related to San Onofre Generating Station</t>
  </si>
  <si>
    <t>Total 928:</t>
  </si>
  <si>
    <t>General Function - Controllers</t>
  </si>
  <si>
    <t>Miscellaneous Controllers Department General Function</t>
  </si>
  <si>
    <t>Balance Sheet Write Offs</t>
  </si>
  <si>
    <t>Includes shareholder related balance sheet write offs</t>
  </si>
  <si>
    <t>Total 930.2:</t>
  </si>
  <si>
    <t>Total All</t>
  </si>
  <si>
    <t>If there are multiple items in an account, add sub lines for each excluded item</t>
  </si>
  <si>
    <t>FERC Form 1 Pg. 335 Line #</t>
  </si>
  <si>
    <t>FERC Form 1 Amount</t>
  </si>
  <si>
    <t>Included</t>
  </si>
  <si>
    <t>Excluded</t>
  </si>
  <si>
    <t>Formula References</t>
  </si>
  <si>
    <t>Industry Association Dues</t>
  </si>
  <si>
    <t>Sch. 20, Line 35</t>
  </si>
  <si>
    <t>Nuclear Power Research Expenses</t>
  </si>
  <si>
    <t>Other Experimental and General Research Expenses</t>
  </si>
  <si>
    <t>Pub &amp; Dist Info to Stkhldrs…expn servicing outstanding Securities</t>
  </si>
  <si>
    <t>Other Expn &gt;=$5,000 show purpose, receipt, amount.  Group if &lt; $5,000</t>
  </si>
  <si>
    <t>Credit Line Fees / Bank Charges</t>
  </si>
  <si>
    <t>Directors' Fees and Expenses</t>
  </si>
  <si>
    <t>Periodic SEC Reports</t>
  </si>
  <si>
    <t>Planning and Development of Communication Systems</t>
  </si>
  <si>
    <t>Provision for Doubtful Accounts - Non-Energy Billings</t>
  </si>
  <si>
    <t>Vendor Discounts</t>
  </si>
  <si>
    <t>Accounting Suspense</t>
  </si>
  <si>
    <t>Payment to CEC / CPUC</t>
  </si>
  <si>
    <t>Administrative and General Expense Charged or Paid to Others</t>
  </si>
  <si>
    <t>Balance Sheet Write-Off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</si>
</sst>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  <numFmt numFmtId="168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0"/>
      <name val="Arial"/>
      <family val="2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trike/>
      <sz val="10"/>
      <name val="Arial"/>
      <family val="2"/>
    </font>
    <font>
      <sz val="10"/>
      <color indexed="8"/>
      <name val="Arial"/>
      <family val="2"/>
    </font>
    <font>
      <u val="singleAccounting"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</cellStyleXfs>
  <cellXfs count="21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quotePrefix="1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7" fillId="2" borderId="0" xfId="0" applyNumberFormat="1" applyFont="1" applyFill="1"/>
    <xf numFmtId="164" fontId="0" fillId="2" borderId="0" xfId="0" applyNumberFormat="1" applyFill="1"/>
    <xf numFmtId="164" fontId="0" fillId="0" borderId="0" xfId="0" applyNumberFormat="1" applyFill="1" applyAlignment="1">
      <alignment horizontal="center"/>
    </xf>
    <xf numFmtId="164" fontId="7" fillId="2" borderId="0" xfId="4" applyNumberFormat="1" applyFont="1" applyFill="1"/>
    <xf numFmtId="164" fontId="0" fillId="0" borderId="0" xfId="0" quotePrefix="1" applyNumberFormat="1" applyAlignment="1">
      <alignment horizontal="right" indent="1"/>
    </xf>
    <xf numFmtId="164" fontId="8" fillId="0" borderId="0" xfId="0" quotePrefix="1" applyNumberFormat="1" applyFont="1" applyAlignment="1">
      <alignment horizontal="right" indent="1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right" indent="1"/>
    </xf>
    <xf numFmtId="164" fontId="8" fillId="2" borderId="0" xfId="0" applyNumberFormat="1" applyFont="1" applyFill="1"/>
    <xf numFmtId="0" fontId="8" fillId="0" borderId="0" xfId="0" applyFont="1"/>
    <xf numFmtId="164" fontId="8" fillId="0" borderId="1" xfId="0" applyNumberFormat="1" applyFont="1" applyFill="1" applyBorder="1"/>
    <xf numFmtId="0" fontId="7" fillId="0" borderId="0" xfId="0" applyFont="1" applyFill="1"/>
    <xf numFmtId="0" fontId="7" fillId="0" borderId="0" xfId="4" applyFont="1" applyFill="1"/>
    <xf numFmtId="0" fontId="7" fillId="0" borderId="0" xfId="4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 indent="1"/>
    </xf>
    <xf numFmtId="0" fontId="7" fillId="0" borderId="0" xfId="0" applyFont="1"/>
    <xf numFmtId="164" fontId="9" fillId="0" borderId="0" xfId="0" applyNumberFormat="1" applyFont="1" applyFill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right"/>
    </xf>
    <xf numFmtId="164" fontId="0" fillId="0" borderId="0" xfId="0" applyNumberFormat="1"/>
    <xf numFmtId="0" fontId="5" fillId="0" borderId="0" xfId="0" applyFont="1"/>
    <xf numFmtId="0" fontId="5" fillId="0" borderId="0" xfId="0" applyFont="1" applyBorder="1" applyAlignment="1">
      <alignment horizontal="center"/>
    </xf>
    <xf numFmtId="164" fontId="0" fillId="0" borderId="0" xfId="0" applyNumberFormat="1" applyFill="1"/>
    <xf numFmtId="164" fontId="7" fillId="0" borderId="0" xfId="0" applyNumberFormat="1" applyFont="1" applyFill="1" applyAlignment="1">
      <alignment horizontal="right"/>
    </xf>
    <xf numFmtId="164" fontId="0" fillId="0" borderId="0" xfId="0" applyNumberFormat="1" applyAlignment="1"/>
    <xf numFmtId="0" fontId="0" fillId="0" borderId="0" xfId="0" applyFont="1"/>
    <xf numFmtId="0" fontId="6" fillId="0" borderId="0" xfId="0" applyFont="1" applyAlignment="1">
      <alignment horizontal="center"/>
    </xf>
    <xf numFmtId="0" fontId="10" fillId="0" borderId="0" xfId="4" applyFont="1" applyAlignment="1">
      <alignment horizontal="left"/>
    </xf>
    <xf numFmtId="0" fontId="11" fillId="0" borderId="0" xfId="4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164" fontId="12" fillId="0" borderId="0" xfId="0" applyNumberFormat="1" applyFont="1" applyFill="1"/>
    <xf numFmtId="0" fontId="0" fillId="0" borderId="0" xfId="0" applyFont="1" applyAlignment="1">
      <alignment horizontal="right"/>
    </xf>
    <xf numFmtId="0" fontId="0" fillId="0" borderId="0" xfId="0" applyFont="1" applyFill="1"/>
    <xf numFmtId="164" fontId="8" fillId="0" borderId="0" xfId="0" applyNumberFormat="1" applyFont="1" applyFill="1"/>
    <xf numFmtId="0" fontId="2" fillId="0" borderId="0" xfId="0" applyFont="1" applyFill="1"/>
    <xf numFmtId="0" fontId="2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3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11" fillId="0" borderId="0" xfId="4" applyFont="1" applyFill="1" applyBorder="1" applyAlignment="1">
      <alignment horizontal="center"/>
    </xf>
    <xf numFmtId="164" fontId="8" fillId="0" borderId="0" xfId="2" applyNumberFormat="1" applyFont="1" applyFill="1" applyBorder="1"/>
    <xf numFmtId="164" fontId="13" fillId="0" borderId="0" xfId="2" applyNumberFormat="1" applyFont="1" applyFill="1" applyBorder="1"/>
    <xf numFmtId="0" fontId="0" fillId="0" borderId="0" xfId="0" applyFont="1" applyFill="1" applyAlignment="1">
      <alignment horizontal="right"/>
    </xf>
    <xf numFmtId="164" fontId="0" fillId="0" borderId="0" xfId="2" applyNumberFormat="1" applyFont="1" applyFill="1" applyBorder="1"/>
    <xf numFmtId="164" fontId="7" fillId="0" borderId="0" xfId="4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8" fillId="0" borderId="0" xfId="4" applyFont="1" applyFill="1" applyAlignment="1">
      <alignment horizontal="left"/>
    </xf>
    <xf numFmtId="5" fontId="7" fillId="0" borderId="0" xfId="5" applyNumberFormat="1" applyFont="1" applyFill="1" applyBorder="1"/>
    <xf numFmtId="166" fontId="0" fillId="0" borderId="0" xfId="2" applyNumberFormat="1" applyFont="1" applyFill="1" applyBorder="1"/>
    <xf numFmtId="0" fontId="0" fillId="0" borderId="0" xfId="0" quotePrefix="1" applyFont="1"/>
    <xf numFmtId="0" fontId="11" fillId="0" borderId="0" xfId="0" applyFont="1"/>
    <xf numFmtId="0" fontId="10" fillId="0" borderId="0" xfId="0" quotePrefix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0" fillId="2" borderId="0" xfId="0" applyNumberFormat="1" applyFont="1" applyFill="1"/>
    <xf numFmtId="0" fontId="0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4" applyFont="1"/>
    <xf numFmtId="0" fontId="4" fillId="0" borderId="0" xfId="4" applyFont="1"/>
    <xf numFmtId="7" fontId="10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49" fontId="7" fillId="0" borderId="0" xfId="0" applyNumberFormat="1" applyFont="1" applyFill="1" applyBorder="1"/>
    <xf numFmtId="164" fontId="7" fillId="2" borderId="0" xfId="0" applyNumberFormat="1" applyFont="1" applyFill="1" applyBorder="1"/>
    <xf numFmtId="0" fontId="0" fillId="0" borderId="0" xfId="0" applyAlignment="1">
      <alignment horizontal="left" indent="1"/>
    </xf>
    <xf numFmtId="0" fontId="14" fillId="0" borderId="0" xfId="0" applyFont="1"/>
    <xf numFmtId="0" fontId="0" fillId="0" borderId="0" xfId="0" applyAlignment="1"/>
    <xf numFmtId="167" fontId="7" fillId="2" borderId="2" xfId="0" applyNumberFormat="1" applyFont="1" applyFill="1" applyBorder="1"/>
    <xf numFmtId="0" fontId="8" fillId="0" borderId="0" xfId="0" applyFont="1" applyFill="1" applyAlignment="1">
      <alignment horizontal="left" indent="1"/>
    </xf>
    <xf numFmtId="0" fontId="8" fillId="2" borderId="0" xfId="0" applyFont="1" applyFill="1"/>
    <xf numFmtId="49" fontId="7" fillId="0" borderId="0" xfId="0" applyNumberFormat="1" applyFont="1" applyBorder="1"/>
    <xf numFmtId="0" fontId="15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8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 wrapText="1"/>
    </xf>
    <xf numFmtId="0" fontId="8" fillId="0" borderId="0" xfId="0" applyFont="1" applyFill="1" applyBorder="1"/>
    <xf numFmtId="0" fontId="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49" fontId="7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64" fontId="7" fillId="2" borderId="0" xfId="2" applyNumberFormat="1" applyFont="1" applyFill="1" applyBorder="1" applyAlignment="1">
      <alignment horizontal="center"/>
    </xf>
    <xf numFmtId="9" fontId="7" fillId="0" borderId="0" xfId="3" applyFont="1" applyBorder="1" applyAlignment="1">
      <alignment horizontal="center"/>
    </xf>
    <xf numFmtId="164" fontId="7" fillId="0" borderId="0" xfId="3" applyNumberFormat="1" applyFont="1" applyBorder="1" applyAlignment="1">
      <alignment horizontal="center"/>
    </xf>
    <xf numFmtId="168" fontId="7" fillId="0" borderId="0" xfId="2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 applyFill="1" applyBorder="1"/>
    <xf numFmtId="164" fontId="7" fillId="0" borderId="0" xfId="2" applyNumberFormat="1" applyFont="1" applyBorder="1" applyAlignment="1">
      <alignment horizontal="center"/>
    </xf>
    <xf numFmtId="0" fontId="0" fillId="0" borderId="0" xfId="0" applyBorder="1"/>
    <xf numFmtId="164" fontId="8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64" fontId="7" fillId="0" borderId="0" xfId="2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4"/>
    <xf numFmtId="0" fontId="5" fillId="0" borderId="0" xfId="4" applyFont="1"/>
    <xf numFmtId="0" fontId="5" fillId="0" borderId="0" xfId="4" applyFont="1" applyAlignment="1">
      <alignment horizontal="center"/>
    </xf>
    <xf numFmtId="0" fontId="4" fillId="0" borderId="0" xfId="4" applyFont="1" applyAlignment="1">
      <alignment horizontal="center"/>
    </xf>
    <xf numFmtId="164" fontId="7" fillId="0" borderId="0" xfId="4" applyNumberFormat="1" applyFill="1"/>
    <xf numFmtId="164" fontId="9" fillId="0" borderId="0" xfId="4" applyNumberFormat="1" applyFont="1" applyFill="1"/>
    <xf numFmtId="0" fontId="7" fillId="0" borderId="0" xfId="4" applyFont="1" applyAlignment="1">
      <alignment horizontal="right"/>
    </xf>
    <xf numFmtId="164" fontId="7" fillId="0" borderId="0" xfId="4" applyNumberFormat="1"/>
    <xf numFmtId="167" fontId="7" fillId="0" borderId="0" xfId="0" applyNumberFormat="1" applyFont="1" applyFill="1" applyBorder="1"/>
    <xf numFmtId="164" fontId="8" fillId="0" borderId="0" xfId="0" applyNumberFormat="1" applyFont="1"/>
    <xf numFmtId="0" fontId="8" fillId="0" borderId="0" xfId="0" applyFont="1" applyBorder="1"/>
    <xf numFmtId="164" fontId="17" fillId="0" borderId="0" xfId="2" applyNumberFormat="1" applyFont="1" applyBorder="1" applyAlignment="1"/>
    <xf numFmtId="0" fontId="0" fillId="0" borderId="0" xfId="0" applyAlignment="1">
      <alignment horizontal="left"/>
    </xf>
    <xf numFmtId="167" fontId="7" fillId="2" borderId="0" xfId="0" applyNumberFormat="1" applyFont="1" applyFill="1" applyBorder="1"/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top"/>
    </xf>
    <xf numFmtId="0" fontId="14" fillId="0" borderId="0" xfId="0" applyFont="1" applyFill="1"/>
    <xf numFmtId="0" fontId="0" fillId="0" borderId="0" xfId="0" applyFill="1" applyAlignment="1">
      <alignment horizontal="center"/>
    </xf>
    <xf numFmtId="164" fontId="12" fillId="0" borderId="0" xfId="0" applyNumberFormat="1" applyFont="1" applyFill="1" applyBorder="1"/>
    <xf numFmtId="0" fontId="6" fillId="0" borderId="0" xfId="0" applyFont="1" applyFill="1" applyAlignment="1">
      <alignment horizontal="center"/>
    </xf>
    <xf numFmtId="164" fontId="0" fillId="2" borderId="0" xfId="1" applyNumberFormat="1" applyFont="1" applyFill="1"/>
    <xf numFmtId="164" fontId="0" fillId="0" borderId="0" xfId="0" applyNumberFormat="1" applyFill="1" applyAlignment="1">
      <alignment horizontal="right"/>
    </xf>
    <xf numFmtId="0" fontId="18" fillId="0" borderId="0" xfId="0" applyFont="1" applyAlignment="1">
      <alignment horizontal="center"/>
    </xf>
    <xf numFmtId="164" fontId="0" fillId="0" borderId="0" xfId="0" applyNumberFormat="1" applyFill="1" applyAlignment="1">
      <alignment horizontal="left" indent="1"/>
    </xf>
    <xf numFmtId="0" fontId="0" fillId="0" borderId="0" xfId="0" applyFont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7" fillId="0" borderId="0" xfId="6" applyFill="1" applyAlignment="1">
      <alignment vertical="center" wrapText="1"/>
    </xf>
    <xf numFmtId="0" fontId="19" fillId="0" borderId="0" xfId="4" applyFont="1" applyFill="1" applyAlignment="1">
      <alignment vertical="center" wrapText="1"/>
    </xf>
    <xf numFmtId="0" fontId="3" fillId="0" borderId="0" xfId="0" applyFont="1" applyAlignment="1">
      <alignment horizontal="right"/>
    </xf>
    <xf numFmtId="0" fontId="6" fillId="0" borderId="0" xfId="0" applyFont="1" applyFill="1"/>
    <xf numFmtId="43" fontId="0" fillId="0" borderId="0" xfId="0" applyNumberFormat="1" applyFill="1"/>
    <xf numFmtId="0" fontId="0" fillId="0" borderId="0" xfId="0" applyFill="1" applyAlignment="1">
      <alignment horizontal="left" indent="1"/>
    </xf>
    <xf numFmtId="0" fontId="0" fillId="0" borderId="0" xfId="0" applyAlignment="1">
      <alignment vertical="top"/>
    </xf>
    <xf numFmtId="0" fontId="0" fillId="0" borderId="0" xfId="0" applyFill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0" applyFont="1" applyFill="1" applyAlignment="1">
      <alignment vertic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 indent="1"/>
    </xf>
    <xf numFmtId="164" fontId="8" fillId="0" borderId="7" xfId="0" applyNumberFormat="1" applyFont="1" applyFill="1" applyBorder="1"/>
    <xf numFmtId="164" fontId="8" fillId="0" borderId="8" xfId="0" applyNumberFormat="1" applyFont="1" applyFill="1" applyBorder="1"/>
    <xf numFmtId="0" fontId="0" fillId="0" borderId="7" xfId="0" applyBorder="1" applyAlignment="1">
      <alignment horizontal="left" indent="1"/>
    </xf>
    <xf numFmtId="0" fontId="0" fillId="0" borderId="0" xfId="0" applyBorder="1" applyAlignment="1">
      <alignment horizontal="left" indent="1"/>
    </xf>
    <xf numFmtId="164" fontId="8" fillId="0" borderId="5" xfId="0" applyNumberFormat="1" applyFont="1" applyFill="1" applyBorder="1"/>
    <xf numFmtId="164" fontId="8" fillId="0" borderId="9" xfId="0" applyNumberFormat="1" applyFont="1" applyFill="1" applyBorder="1"/>
    <xf numFmtId="0" fontId="0" fillId="0" borderId="5" xfId="0" applyBorder="1" applyAlignment="1">
      <alignment horizontal="left" indent="1"/>
    </xf>
    <xf numFmtId="164" fontId="2" fillId="0" borderId="5" xfId="0" applyNumberFormat="1" applyFont="1" applyFill="1" applyBorder="1"/>
    <xf numFmtId="164" fontId="2" fillId="0" borderId="9" xfId="0" applyNumberFormat="1" applyFont="1" applyFill="1" applyBorder="1"/>
    <xf numFmtId="0" fontId="0" fillId="0" borderId="6" xfId="0" applyBorder="1" applyAlignment="1">
      <alignment horizontal="left" indent="2"/>
    </xf>
    <xf numFmtId="0" fontId="0" fillId="0" borderId="5" xfId="0" applyFill="1" applyBorder="1"/>
    <xf numFmtId="0" fontId="0" fillId="0" borderId="9" xfId="0" applyFill="1" applyBorder="1"/>
    <xf numFmtId="0" fontId="0" fillId="0" borderId="5" xfId="0" applyBorder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left" indent="2"/>
    </xf>
    <xf numFmtId="164" fontId="0" fillId="0" borderId="5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left" indent="1"/>
    </xf>
    <xf numFmtId="164" fontId="8" fillId="0" borderId="10" xfId="0" applyNumberFormat="1" applyFont="1" applyFill="1" applyBorder="1"/>
    <xf numFmtId="0" fontId="0" fillId="0" borderId="10" xfId="0" applyBorder="1" applyAlignment="1">
      <alignment horizontal="left" indent="1"/>
    </xf>
    <xf numFmtId="6" fontId="21" fillId="0" borderId="0" xfId="0" applyNumberFormat="1" applyFont="1"/>
    <xf numFmtId="0" fontId="22" fillId="0" borderId="0" xfId="0" applyFont="1" applyFill="1"/>
    <xf numFmtId="0" fontId="22" fillId="0" borderId="0" xfId="0" applyFont="1" applyFill="1" applyAlignment="1">
      <alignment horizontal="center"/>
    </xf>
    <xf numFmtId="43" fontId="0" fillId="0" borderId="0" xfId="1" applyFont="1" applyFill="1"/>
    <xf numFmtId="3" fontId="0" fillId="0" borderId="0" xfId="0" applyNumberFormat="1" applyFill="1"/>
    <xf numFmtId="43" fontId="22" fillId="0" borderId="0" xfId="1" applyFont="1" applyFill="1"/>
    <xf numFmtId="164" fontId="8" fillId="2" borderId="0" xfId="4" applyNumberFormat="1" applyFont="1" applyFill="1"/>
    <xf numFmtId="164" fontId="0" fillId="0" borderId="0" xfId="0" applyNumberFormat="1" applyFont="1" applyAlignment="1">
      <alignment horizontal="right" indent="1"/>
    </xf>
    <xf numFmtId="164" fontId="8" fillId="2" borderId="12" xfId="0" applyNumberFormat="1" applyFont="1" applyFill="1" applyBorder="1"/>
    <xf numFmtId="164" fontId="8" fillId="0" borderId="0" xfId="0" applyNumberFormat="1" applyFont="1" applyBorder="1" applyAlignment="1">
      <alignment horizontal="right" indent="1"/>
    </xf>
    <xf numFmtId="164" fontId="7" fillId="2" borderId="12" xfId="0" applyNumberFormat="1" applyFont="1" applyFill="1" applyBorder="1"/>
    <xf numFmtId="164" fontId="7" fillId="2" borderId="12" xfId="4" applyNumberFormat="1" applyFont="1" applyFill="1" applyBorder="1"/>
    <xf numFmtId="0" fontId="7" fillId="0" borderId="0" xfId="0" applyFont="1" applyBorder="1"/>
    <xf numFmtId="164" fontId="9" fillId="2" borderId="12" xfId="4" applyNumberFormat="1" applyFont="1" applyFill="1" applyBorder="1"/>
    <xf numFmtId="0" fontId="0" fillId="0" borderId="0" xfId="0" applyAlignment="1">
      <alignment horizontal="left" wrapText="1"/>
    </xf>
    <xf numFmtId="164" fontId="8" fillId="0" borderId="0" xfId="0" applyNumberFormat="1" applyFont="1" applyFill="1" applyBorder="1" applyAlignment="1">
      <alignment horizontal="center"/>
    </xf>
    <xf numFmtId="164" fontId="9" fillId="2" borderId="0" xfId="0" applyNumberFormat="1" applyFont="1" applyFill="1"/>
    <xf numFmtId="164" fontId="13" fillId="0" borderId="0" xfId="0" applyNumberFormat="1" applyFont="1" applyFill="1" applyBorder="1" applyAlignment="1"/>
    <xf numFmtId="164" fontId="8" fillId="0" borderId="0" xfId="0" applyNumberFormat="1" applyFont="1" applyFill="1" applyAlignment="1"/>
    <xf numFmtId="164" fontId="0" fillId="0" borderId="0" xfId="0" applyNumberFormat="1" applyFill="1" applyAlignment="1"/>
    <xf numFmtId="0" fontId="0" fillId="0" borderId="0" xfId="0" applyFill="1" applyAlignment="1">
      <alignment horizontal="left"/>
    </xf>
    <xf numFmtId="164" fontId="0" fillId="0" borderId="0" xfId="0" applyNumberFormat="1" applyFont="1" applyFill="1" applyAlignment="1"/>
    <xf numFmtId="0" fontId="0" fillId="0" borderId="0" xfId="0" applyFill="1" applyAlignment="1"/>
    <xf numFmtId="164" fontId="12" fillId="0" borderId="0" xfId="0" applyNumberFormat="1" applyFont="1" applyFill="1" applyAlignment="1"/>
    <xf numFmtId="0" fontId="0" fillId="0" borderId="0" xfId="0" applyFill="1" applyAlignment="1">
      <alignment wrapText="1"/>
    </xf>
    <xf numFmtId="164" fontId="8" fillId="0" borderId="0" xfId="2" applyNumberFormat="1" applyFont="1" applyFill="1" applyBorder="1" applyAlignment="1"/>
    <xf numFmtId="0" fontId="8" fillId="0" borderId="0" xfId="0" applyFont="1" applyFill="1" applyAlignment="1"/>
    <xf numFmtId="164" fontId="13" fillId="0" borderId="0" xfId="2" applyNumberFormat="1" applyFont="1" applyFill="1" applyBorder="1" applyAlignment="1"/>
    <xf numFmtId="0" fontId="0" fillId="0" borderId="0" xfId="0" applyFont="1" applyAlignment="1"/>
    <xf numFmtId="164" fontId="20" fillId="0" borderId="0" xfId="0" applyNumberFormat="1" applyFont="1" applyFill="1" applyAlignment="1"/>
    <xf numFmtId="0" fontId="8" fillId="0" borderId="0" xfId="0" applyFont="1" applyFill="1" applyAlignment="1">
      <alignment horizontal="left"/>
    </xf>
    <xf numFmtId="164" fontId="13" fillId="0" borderId="0" xfId="0" applyNumberFormat="1" applyFont="1" applyFill="1" applyAlignment="1"/>
  </cellXfs>
  <cellStyles count="7">
    <cellStyle name="Comma" xfId="1" builtinId="3"/>
    <cellStyle name="Comma 3" xfId="5"/>
    <cellStyle name="Currency" xfId="2" builtinId="4"/>
    <cellStyle name="Normal" xfId="0" builtinId="0"/>
    <cellStyle name="Normal 2 2 2" xfId="4"/>
    <cellStyle name="Normal 3" xfId="6"/>
    <cellStyle name="Percent" xfId="3" builtinId="5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SIMONC~1/LOCALS~1/Temp/Temporary%20Directory%201%20for%202008_05%20MONTH%20END%20REPORT%20%20FINANCIALS%20P&amp;G.zip/Settlements/Gas%20Financials/2007%20Financial%20Reports/200707/Compare%20MTM%202007_0630_073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SIMONC~1/LOCALS~1/Temp/Temporary%20Directory%201%20for%202008_05%20MONTH%20END%20REPORT%20%20FINANCIALS%20P&amp;G.zip/CRR%20LT%20MTM%20Model_1231200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OFFICIAL%20COST%20RECORDS/05.0%20Contracts/5.1%20RSG%20Fabrication/5.1.7%20SG%20Repair/RSG-003-Invoice%20Backup/U3-KOB1-AUG-OCT-20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Settlements/Bilateral%20Contracts_2003-2004-2005/2006/2006_05_MONTH%20END/FAS133JUN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ndesrg\Desktop\TO2019%20A&amp;G\WP-Schedule%2020-TO13%20True%20Up%20TRR%2011.13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dizonma/LOCALS~1/Temp/C.Lotus.Notes.Data/ForwardPriceUpload_0419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chavezds/LOCALS~1/Temp/notesE1EF34/Compare%20MTM%202008_02_03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Project%20Files/2014%20SONGS%20Prelim/SONGSFinalDCE/2014%20SONGS%20Distributed%20Activiti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dizonma/LOCALS~1/Temp/C.Lotus.Notes.Data/ForwardPriceUpload_06302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COWELLDM/AppData/Local/Microsoft/Windows/Temporary%20Internet%20Files/Content.Outlook/6M7U4B1I/2013-2014%20Transfer%20Adjustments%2003-17-2015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lusionsMatrix"/>
      <sheetName val="ShareholderAndOther"/>
      <sheetName val="Incentives"/>
      <sheetName val="ShareholderExcDetail"/>
      <sheetName val="Acct 930.2"/>
      <sheetName val="Support (DO NOT FILE) -&gt;"/>
      <sheetName val="Check"/>
      <sheetName val="BU Exclusions (2017)"/>
      <sheetName val="SH 920921 (2017)"/>
      <sheetName val="SH 926 (2017)"/>
      <sheetName val="SH 930.2(2017)"/>
      <sheetName val="Incentive Comp_ACE_Spot (2017)"/>
      <sheetName val="CPUC Authorized Incentive Comp"/>
      <sheetName val="Shared Officers 2017"/>
      <sheetName val="2017 STIP"/>
      <sheetName val="2017 Penalt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2">
          <cell r="Y12">
            <v>107449.62849</v>
          </cell>
        </row>
        <row r="24">
          <cell r="Y24">
            <v>3128.6066082545885</v>
          </cell>
        </row>
        <row r="36">
          <cell r="Y36">
            <v>8797.6794026859698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/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6"/>
  <sheetViews>
    <sheetView tabSelected="1" zoomScaleNormal="100" workbookViewId="0"/>
  </sheetViews>
  <sheetFormatPr defaultRowHeight="15" x14ac:dyDescent="0.25"/>
  <cols>
    <col min="1" max="1" width="3.7109375" customWidth="1"/>
    <col min="3" max="3" width="17.7109375" customWidth="1"/>
    <col min="4" max="7" width="12.7109375" customWidth="1"/>
    <col min="8" max="8" width="13.5703125" bestFit="1" customWidth="1"/>
    <col min="18" max="18" width="22" bestFit="1" customWidth="1"/>
    <col min="19" max="19" width="16" bestFit="1" customWidth="1"/>
  </cols>
  <sheetData>
    <row r="1" spans="1:11" x14ac:dyDescent="0.25">
      <c r="A1" s="1" t="s">
        <v>0</v>
      </c>
    </row>
    <row r="2" spans="1:11" x14ac:dyDescent="0.25">
      <c r="A2" s="1"/>
    </row>
    <row r="3" spans="1:11" x14ac:dyDescent="0.25">
      <c r="A3" s="1"/>
      <c r="B3" t="s">
        <v>1</v>
      </c>
    </row>
    <row r="4" spans="1:11" x14ac:dyDescent="0.25">
      <c r="A4" s="1"/>
      <c r="B4" t="s">
        <v>2</v>
      </c>
    </row>
    <row r="5" spans="1:11" x14ac:dyDescent="0.25">
      <c r="A5" s="1"/>
      <c r="B5" t="s">
        <v>3</v>
      </c>
    </row>
    <row r="7" spans="1:11" x14ac:dyDescent="0.25">
      <c r="A7" s="2" t="s">
        <v>4</v>
      </c>
      <c r="D7" s="3" t="s">
        <v>5</v>
      </c>
      <c r="E7" s="3" t="s">
        <v>6</v>
      </c>
      <c r="F7" s="3" t="s">
        <v>7</v>
      </c>
      <c r="G7" s="3" t="s">
        <v>8</v>
      </c>
    </row>
    <row r="8" spans="1:11" x14ac:dyDescent="0.25">
      <c r="A8" s="2"/>
      <c r="D8" s="4" t="s">
        <v>9</v>
      </c>
      <c r="E8" s="5"/>
      <c r="F8" s="5"/>
      <c r="G8" s="3"/>
    </row>
    <row r="9" spans="1:11" x14ac:dyDescent="0.25">
      <c r="C9" s="6" t="s">
        <v>10</v>
      </c>
      <c r="D9" s="4" t="s">
        <v>11</v>
      </c>
      <c r="E9" s="7"/>
      <c r="F9" s="7"/>
    </row>
    <row r="10" spans="1:11" x14ac:dyDescent="0.25">
      <c r="C10" s="8" t="s">
        <v>12</v>
      </c>
      <c r="D10" s="4" t="s">
        <v>13</v>
      </c>
      <c r="E10" s="4" t="s">
        <v>14</v>
      </c>
      <c r="F10" s="4"/>
      <c r="G10" s="8"/>
    </row>
    <row r="11" spans="1:11" ht="15.75" thickBot="1" x14ac:dyDescent="0.3">
      <c r="A11" s="9" t="s">
        <v>15</v>
      </c>
      <c r="B11" s="10" t="s">
        <v>16</v>
      </c>
      <c r="C11" s="3" t="s">
        <v>17</v>
      </c>
      <c r="D11" s="11" t="s">
        <v>18</v>
      </c>
      <c r="E11" s="11" t="s">
        <v>19</v>
      </c>
      <c r="F11" s="11" t="s">
        <v>20</v>
      </c>
      <c r="G11" s="10" t="s">
        <v>21</v>
      </c>
      <c r="K11" s="9" t="s">
        <v>22</v>
      </c>
    </row>
    <row r="12" spans="1:11" ht="15.75" thickBot="1" x14ac:dyDescent="0.3">
      <c r="A12" s="8">
        <v>24</v>
      </c>
      <c r="B12" s="12">
        <v>920</v>
      </c>
      <c r="C12" s="189">
        <f>SUM(D12:G12)</f>
        <v>69867000.913848624</v>
      </c>
      <c r="D12" s="188">
        <f>ShareholderAndOther!F59+Incentives!$E$151</f>
        <v>-11516850.328934595</v>
      </c>
      <c r="E12" s="14"/>
      <c r="F12" s="195">
        <f>G34</f>
        <v>81383851.242783219</v>
      </c>
      <c r="G12" s="14"/>
      <c r="K12" t="s">
        <v>23</v>
      </c>
    </row>
    <row r="13" spans="1:11" x14ac:dyDescent="0.25">
      <c r="A13" s="8">
        <f>A12+1</f>
        <v>25</v>
      </c>
      <c r="B13" s="12">
        <v>921</v>
      </c>
      <c r="C13" s="187">
        <f t="shared" ref="C13:C18" si="0">SUM(D13:G13)</f>
        <v>5868285.4679282326</v>
      </c>
      <c r="D13" s="21">
        <f>ShareholderAndOther!F60+Incentives!$E$152</f>
        <v>5868285.4679282326</v>
      </c>
      <c r="E13" s="14"/>
      <c r="F13" s="186">
        <f>Incentives!G152</f>
        <v>0</v>
      </c>
      <c r="G13" s="14"/>
      <c r="K13" t="s">
        <v>23</v>
      </c>
    </row>
    <row r="14" spans="1:11" x14ac:dyDescent="0.25">
      <c r="A14" s="8">
        <f t="shared" ref="A14:A25" si="1">A13+1</f>
        <v>26</v>
      </c>
      <c r="B14" s="12">
        <v>922</v>
      </c>
      <c r="C14" s="187">
        <f t="shared" si="0"/>
        <v>-48972720</v>
      </c>
      <c r="D14" s="21">
        <f>ShareholderAndOther!F61+Incentives!$E$153</f>
        <v>-7655813</v>
      </c>
      <c r="E14" s="14"/>
      <c r="F14" s="186">
        <f>Incentives!G153</f>
        <v>-41316907</v>
      </c>
      <c r="G14" s="14"/>
      <c r="K14" t="s">
        <v>23</v>
      </c>
    </row>
    <row r="15" spans="1:11" x14ac:dyDescent="0.25">
      <c r="A15" s="8">
        <f t="shared" si="1"/>
        <v>27</v>
      </c>
      <c r="B15" s="12">
        <v>923</v>
      </c>
      <c r="C15" s="187">
        <f t="shared" si="0"/>
        <v>7684282</v>
      </c>
      <c r="D15" s="21">
        <f>ShareholderAndOther!F62+Incentives!E154</f>
        <v>7684282</v>
      </c>
      <c r="E15" s="14"/>
      <c r="F15" s="186">
        <f>Incentives!G154</f>
        <v>0</v>
      </c>
      <c r="G15" s="14"/>
      <c r="K15" t="s">
        <v>23</v>
      </c>
    </row>
    <row r="16" spans="1:11" x14ac:dyDescent="0.25">
      <c r="A16" s="8">
        <f t="shared" si="1"/>
        <v>28</v>
      </c>
      <c r="B16" s="12">
        <v>924</v>
      </c>
      <c r="C16" s="187">
        <f t="shared" si="0"/>
        <v>0</v>
      </c>
      <c r="D16" s="21">
        <f>ShareholderAndOther!F63+Incentives!E155</f>
        <v>0</v>
      </c>
      <c r="E16" s="14"/>
      <c r="F16" s="186">
        <f>Incentives!G155</f>
        <v>0</v>
      </c>
      <c r="G16" s="14"/>
      <c r="K16" t="s">
        <v>23</v>
      </c>
    </row>
    <row r="17" spans="1:15" ht="15.75" thickBot="1" x14ac:dyDescent="0.3">
      <c r="A17" s="8">
        <f t="shared" si="1"/>
        <v>29</v>
      </c>
      <c r="B17" s="12">
        <v>925</v>
      </c>
      <c r="C17" s="187">
        <f t="shared" si="0"/>
        <v>-694137</v>
      </c>
      <c r="D17" s="21">
        <f>ShareholderAndOther!F64+Incentives!E156</f>
        <v>-694137</v>
      </c>
      <c r="E17" s="14"/>
      <c r="F17" s="186">
        <f>Incentives!G156</f>
        <v>0</v>
      </c>
      <c r="G17" s="14"/>
      <c r="K17" t="s">
        <v>23</v>
      </c>
    </row>
    <row r="18" spans="1:15" ht="15.75" thickBot="1" x14ac:dyDescent="0.3">
      <c r="A18" s="8">
        <f t="shared" si="1"/>
        <v>30</v>
      </c>
      <c r="B18" s="12">
        <v>926</v>
      </c>
      <c r="C18" s="189">
        <f t="shared" si="0"/>
        <v>-15693853.432685971</v>
      </c>
      <c r="D18" s="188">
        <f>ShareholderAndOther!F65+Incentives!E157</f>
        <v>19430852.567314029</v>
      </c>
      <c r="E18" s="14"/>
      <c r="F18" s="186">
        <f>Incentives!G157</f>
        <v>0</v>
      </c>
      <c r="G18" s="15">
        <f>E46</f>
        <v>-35124706</v>
      </c>
      <c r="K18" t="s">
        <v>23</v>
      </c>
    </row>
    <row r="19" spans="1:15" x14ac:dyDescent="0.25">
      <c r="A19" s="8">
        <f t="shared" si="1"/>
        <v>31</v>
      </c>
      <c r="B19" s="12">
        <v>927</v>
      </c>
      <c r="C19" s="17" t="s">
        <v>24</v>
      </c>
      <c r="D19" s="17" t="s">
        <v>24</v>
      </c>
      <c r="E19" s="17" t="s">
        <v>24</v>
      </c>
      <c r="F19" s="18" t="s">
        <v>24</v>
      </c>
      <c r="G19" s="17" t="s">
        <v>24</v>
      </c>
      <c r="K19" t="s">
        <v>25</v>
      </c>
    </row>
    <row r="20" spans="1:15" x14ac:dyDescent="0.25">
      <c r="A20" s="8">
        <f t="shared" si="1"/>
        <v>32</v>
      </c>
      <c r="B20" s="12">
        <v>928</v>
      </c>
      <c r="C20" s="187">
        <f t="shared" ref="C20:C25" si="2">SUM(D20:G20)</f>
        <v>17351998</v>
      </c>
      <c r="D20" s="21">
        <f>ShareholderAndOther!F67+Incentives!E159</f>
        <v>17351998</v>
      </c>
      <c r="E20" s="14"/>
      <c r="F20" s="16">
        <f>Incentives!G159</f>
        <v>0</v>
      </c>
      <c r="G20" s="14"/>
      <c r="K20" t="s">
        <v>23</v>
      </c>
    </row>
    <row r="21" spans="1:15" x14ac:dyDescent="0.25">
      <c r="A21" s="8">
        <f t="shared" si="1"/>
        <v>33</v>
      </c>
      <c r="B21" s="12">
        <v>929</v>
      </c>
      <c r="C21" s="187">
        <f t="shared" si="2"/>
        <v>0</v>
      </c>
      <c r="D21" s="21">
        <f>ShareholderAndOther!F68+Incentives!E160</f>
        <v>0</v>
      </c>
      <c r="E21" s="14"/>
      <c r="F21" s="16">
        <f>Incentives!G160</f>
        <v>0</v>
      </c>
      <c r="G21" s="14"/>
      <c r="K21" t="s">
        <v>23</v>
      </c>
    </row>
    <row r="22" spans="1:15" x14ac:dyDescent="0.25">
      <c r="A22" s="8">
        <f t="shared" si="1"/>
        <v>34</v>
      </c>
      <c r="B22" s="19">
        <v>930.1</v>
      </c>
      <c r="C22" s="20">
        <f t="shared" si="2"/>
        <v>0</v>
      </c>
      <c r="D22" s="21">
        <f>ShareholderAndOther!F69+Incentives!E161</f>
        <v>0</v>
      </c>
      <c r="E22" s="21"/>
      <c r="F22" s="16">
        <f>Incentives!G161</f>
        <v>0</v>
      </c>
      <c r="G22" s="21"/>
      <c r="H22" s="22"/>
      <c r="I22" s="22"/>
      <c r="J22" s="22"/>
      <c r="K22" s="22" t="s">
        <v>23</v>
      </c>
      <c r="L22" s="22"/>
      <c r="M22" s="22"/>
      <c r="N22" s="22"/>
      <c r="O22" s="22"/>
    </row>
    <row r="23" spans="1:15" x14ac:dyDescent="0.25">
      <c r="A23" s="8">
        <f t="shared" si="1"/>
        <v>35</v>
      </c>
      <c r="B23" s="12">
        <v>930.2</v>
      </c>
      <c r="C23" s="187">
        <f t="shared" si="2"/>
        <v>24004995.530000001</v>
      </c>
      <c r="D23" s="21">
        <f>ShareholderAndOther!F70+Incentives!E162</f>
        <v>24004995.530000001</v>
      </c>
      <c r="E23" s="14"/>
      <c r="F23" s="16">
        <f>Incentives!G162</f>
        <v>0</v>
      </c>
      <c r="G23" s="14"/>
      <c r="H23" s="54"/>
      <c r="K23" t="s">
        <v>23</v>
      </c>
    </row>
    <row r="24" spans="1:15" x14ac:dyDescent="0.25">
      <c r="A24" s="8">
        <f t="shared" si="1"/>
        <v>36</v>
      </c>
      <c r="B24" s="12">
        <v>931</v>
      </c>
      <c r="C24" s="187">
        <f t="shared" si="2"/>
        <v>11411119</v>
      </c>
      <c r="D24" s="21">
        <f>ShareholderAndOther!F71+Incentives!E163</f>
        <v>11411119</v>
      </c>
      <c r="E24" s="14"/>
      <c r="F24" s="16">
        <f>Incentives!G163</f>
        <v>0</v>
      </c>
      <c r="G24" s="14"/>
      <c r="K24" t="s">
        <v>23</v>
      </c>
    </row>
    <row r="25" spans="1:15" x14ac:dyDescent="0.25">
      <c r="A25" s="8">
        <f t="shared" si="1"/>
        <v>37</v>
      </c>
      <c r="B25" s="12">
        <v>935</v>
      </c>
      <c r="C25" s="187">
        <f t="shared" si="2"/>
        <v>697671</v>
      </c>
      <c r="D25" s="21">
        <f>ShareholderAndOther!F72+Incentives!E164</f>
        <v>697671</v>
      </c>
      <c r="E25" s="14"/>
      <c r="F25" s="16">
        <f>Incentives!G164</f>
        <v>0</v>
      </c>
      <c r="G25" s="14"/>
      <c r="K25" t="s">
        <v>23</v>
      </c>
    </row>
    <row r="27" spans="1:15" x14ac:dyDescent="0.25">
      <c r="B27" s="2" t="s">
        <v>26</v>
      </c>
      <c r="C27" s="7"/>
      <c r="D27" s="7"/>
      <c r="E27" s="7"/>
      <c r="F27" s="7"/>
      <c r="G27" s="7"/>
      <c r="H27" s="7"/>
    </row>
    <row r="28" spans="1:15" x14ac:dyDescent="0.25">
      <c r="B28" s="2"/>
      <c r="C28" s="7" t="s">
        <v>27</v>
      </c>
      <c r="D28" s="7"/>
      <c r="E28" s="7"/>
      <c r="F28" s="7"/>
      <c r="G28" s="7"/>
      <c r="H28" s="7"/>
    </row>
    <row r="29" spans="1:15" x14ac:dyDescent="0.25">
      <c r="B29" s="2"/>
      <c r="C29" s="24" t="s">
        <v>28</v>
      </c>
      <c r="D29" s="7"/>
      <c r="E29" s="7"/>
      <c r="F29" s="7"/>
      <c r="G29" s="4"/>
      <c r="H29" s="4"/>
    </row>
    <row r="30" spans="1:15" x14ac:dyDescent="0.25">
      <c r="B30" s="2"/>
      <c r="C30" s="25" t="s">
        <v>29</v>
      </c>
      <c r="D30" s="26"/>
      <c r="E30" s="26"/>
      <c r="F30" s="7"/>
      <c r="G30" s="4"/>
      <c r="H30" s="4"/>
    </row>
    <row r="31" spans="1:15" x14ac:dyDescent="0.25">
      <c r="B31" s="2"/>
      <c r="G31" s="10" t="s">
        <v>30</v>
      </c>
      <c r="H31" s="10" t="s">
        <v>31</v>
      </c>
      <c r="K31" s="9" t="s">
        <v>22</v>
      </c>
    </row>
    <row r="32" spans="1:15" x14ac:dyDescent="0.25">
      <c r="B32" s="8" t="s">
        <v>32</v>
      </c>
      <c r="E32" s="7"/>
      <c r="F32" s="27" t="s">
        <v>33</v>
      </c>
      <c r="G32" s="13">
        <f>Incentives!E10</f>
        <v>103811324.56999999</v>
      </c>
      <c r="H32" s="28" t="s">
        <v>34</v>
      </c>
      <c r="K32" t="s">
        <v>35</v>
      </c>
    </row>
    <row r="33" spans="2:11" x14ac:dyDescent="0.25">
      <c r="B33" s="8" t="s">
        <v>36</v>
      </c>
      <c r="C33" s="29"/>
      <c r="E33" s="7"/>
      <c r="F33" s="27" t="s">
        <v>37</v>
      </c>
      <c r="G33" s="30">
        <f>E37</f>
        <v>22427473.327216774</v>
      </c>
      <c r="H33" s="31" t="str">
        <f>"Note 2, "&amp;B37&amp;""</f>
        <v>Note 2, d</v>
      </c>
    </row>
    <row r="34" spans="2:11" x14ac:dyDescent="0.25">
      <c r="B34" s="8" t="s">
        <v>38</v>
      </c>
      <c r="F34" s="32" t="s">
        <v>39</v>
      </c>
      <c r="G34" s="33">
        <f>G32-G33</f>
        <v>81383851.242783219</v>
      </c>
    </row>
    <row r="35" spans="2:11" x14ac:dyDescent="0.25">
      <c r="C35" s="25" t="s">
        <v>40</v>
      </c>
      <c r="D35" s="26"/>
      <c r="E35" s="26"/>
      <c r="G35" s="33"/>
    </row>
    <row r="36" spans="2:11" ht="15.75" thickBot="1" x14ac:dyDescent="0.3">
      <c r="D36" s="34" t="s">
        <v>41</v>
      </c>
      <c r="E36" s="35" t="s">
        <v>30</v>
      </c>
      <c r="F36" s="35" t="s">
        <v>31</v>
      </c>
      <c r="G36" s="33"/>
      <c r="K36" s="9" t="s">
        <v>22</v>
      </c>
    </row>
    <row r="37" spans="2:11" ht="15.75" thickBot="1" x14ac:dyDescent="0.3">
      <c r="B37" s="8" t="s">
        <v>42</v>
      </c>
      <c r="D37" s="107" t="s">
        <v>43</v>
      </c>
      <c r="E37" s="191">
        <f>Incentives!I23</f>
        <v>22427473.327216774</v>
      </c>
      <c r="F37" s="28" t="s">
        <v>44</v>
      </c>
      <c r="G37" s="36"/>
      <c r="K37" t="s">
        <v>45</v>
      </c>
    </row>
    <row r="38" spans="2:11" ht="15.75" thickBot="1" x14ac:dyDescent="0.3">
      <c r="B38" s="8" t="s">
        <v>46</v>
      </c>
      <c r="D38" s="105" t="s">
        <v>47</v>
      </c>
      <c r="E38" s="191">
        <f>Incentives!I24</f>
        <v>10140103.249080425</v>
      </c>
      <c r="F38" s="28" t="s">
        <v>44</v>
      </c>
      <c r="G38" s="36"/>
      <c r="K38" t="s">
        <v>45</v>
      </c>
    </row>
    <row r="39" spans="2:11" ht="15.75" thickBot="1" x14ac:dyDescent="0.3">
      <c r="B39" s="8" t="s">
        <v>48</v>
      </c>
      <c r="D39" s="192" t="s">
        <v>49</v>
      </c>
      <c r="E39" s="193">
        <f>Incentives!I25</f>
        <v>33565144.913702808</v>
      </c>
      <c r="F39" s="28" t="s">
        <v>44</v>
      </c>
      <c r="G39" s="36"/>
      <c r="K39" t="s">
        <v>45</v>
      </c>
    </row>
    <row r="40" spans="2:11" x14ac:dyDescent="0.25">
      <c r="B40" s="4" t="s">
        <v>50</v>
      </c>
      <c r="D40" s="32" t="s">
        <v>51</v>
      </c>
      <c r="E40" s="33">
        <f>SUM(E37:E39)</f>
        <v>66132721.49000001</v>
      </c>
      <c r="F40" s="31" t="str">
        <f>"Sum of "&amp;B37&amp;" to "&amp;B39&amp;""</f>
        <v>Sum of d to f</v>
      </c>
      <c r="G40" s="33"/>
    </row>
    <row r="42" spans="2:11" x14ac:dyDescent="0.25">
      <c r="B42" s="2" t="s">
        <v>52</v>
      </c>
    </row>
    <row r="43" spans="2:11" x14ac:dyDescent="0.25">
      <c r="E43" s="10" t="s">
        <v>30</v>
      </c>
      <c r="F43" s="34" t="s">
        <v>53</v>
      </c>
      <c r="K43" s="9" t="s">
        <v>22</v>
      </c>
    </row>
    <row r="44" spans="2:11" x14ac:dyDescent="0.25">
      <c r="B44" s="8" t="s">
        <v>32</v>
      </c>
      <c r="D44" s="32" t="s">
        <v>54</v>
      </c>
      <c r="E44" s="37">
        <v>40171333</v>
      </c>
      <c r="F44" s="31" t="s">
        <v>55</v>
      </c>
    </row>
    <row r="45" spans="2:11" x14ac:dyDescent="0.25">
      <c r="B45" s="8" t="s">
        <v>36</v>
      </c>
      <c r="D45" s="32" t="s">
        <v>56</v>
      </c>
      <c r="E45" s="196">
        <v>5046627</v>
      </c>
      <c r="F45" s="28" t="s">
        <v>34</v>
      </c>
      <c r="K45" t="s">
        <v>34</v>
      </c>
    </row>
    <row r="46" spans="2:11" x14ac:dyDescent="0.25">
      <c r="B46" s="8" t="s">
        <v>38</v>
      </c>
      <c r="D46" s="32" t="s">
        <v>57</v>
      </c>
      <c r="E46" s="38">
        <f>E45-E44</f>
        <v>-35124706</v>
      </c>
      <c r="F46" s="31" t="str">
        <f>""&amp;B45&amp;" - "&amp;B44&amp;""</f>
        <v>b - a</v>
      </c>
    </row>
  </sheetData>
  <pageMargins left="0.7" right="0.7" top="1.0645833333333301" bottom="0.75" header="0.3" footer="0.3"/>
  <pageSetup scale="69" orientation="landscape" cellComments="asDisplayed" r:id="rId1"/>
  <headerFooter>
    <oddHeader>&amp;RTO2019 Annual Update
Attachment 5-TO13 True Up TRR
WP-TO13-Schedule 20
Page &amp;P of &amp;N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zoomScaleNormal="100" zoomScaleSheetLayoutView="100" workbookViewId="0"/>
  </sheetViews>
  <sheetFormatPr defaultRowHeight="15" x14ac:dyDescent="0.25"/>
  <cols>
    <col min="1" max="1" width="3.7109375" customWidth="1"/>
    <col min="2" max="2" width="4.7109375" customWidth="1"/>
    <col min="4" max="4" width="15.7109375" customWidth="1"/>
    <col min="5" max="5" width="6.7109375" customWidth="1"/>
    <col min="6" max="6" width="16.140625" customWidth="1"/>
    <col min="10" max="10" width="10.85546875" bestFit="1" customWidth="1"/>
    <col min="11" max="11" width="12.28515625" customWidth="1"/>
    <col min="13" max="13" width="11.140625" bestFit="1" customWidth="1"/>
    <col min="16" max="16" width="11.42578125" customWidth="1"/>
  </cols>
  <sheetData>
    <row r="1" spans="1:13" x14ac:dyDescent="0.25">
      <c r="A1" s="1" t="s">
        <v>58</v>
      </c>
      <c r="B1" s="1"/>
      <c r="C1" s="39"/>
      <c r="D1" s="39"/>
      <c r="E1" s="39"/>
      <c r="F1" s="39"/>
      <c r="G1" s="39"/>
      <c r="H1" s="39"/>
      <c r="I1" s="39"/>
      <c r="J1" s="39"/>
    </row>
    <row r="2" spans="1:13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3" x14ac:dyDescent="0.25">
      <c r="A3" s="1" t="s">
        <v>59</v>
      </c>
      <c r="B3" s="1"/>
      <c r="C3" s="39"/>
      <c r="D3" s="39"/>
      <c r="E3" s="39"/>
      <c r="F3" s="39"/>
      <c r="G3" s="39"/>
      <c r="H3" s="39"/>
      <c r="I3" s="39"/>
      <c r="J3" s="39"/>
    </row>
    <row r="4" spans="1:13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</row>
    <row r="5" spans="1:13" x14ac:dyDescent="0.25">
      <c r="A5" s="39"/>
      <c r="B5" s="39"/>
      <c r="C5" s="39"/>
      <c r="D5" s="40" t="s">
        <v>9</v>
      </c>
      <c r="E5" s="39"/>
      <c r="F5" s="39"/>
      <c r="G5" s="39"/>
      <c r="H5" s="39"/>
      <c r="I5" s="39"/>
      <c r="J5" s="39"/>
    </row>
    <row r="6" spans="1:13" x14ac:dyDescent="0.25">
      <c r="A6" s="39"/>
      <c r="B6" s="41" t="s">
        <v>60</v>
      </c>
      <c r="C6" s="40" t="s">
        <v>61</v>
      </c>
      <c r="D6" s="40" t="s">
        <v>62</v>
      </c>
      <c r="E6" s="39"/>
      <c r="F6" s="9" t="s">
        <v>63</v>
      </c>
      <c r="G6" s="39"/>
      <c r="H6" s="39"/>
      <c r="I6" s="39"/>
      <c r="J6" s="39"/>
    </row>
    <row r="7" spans="1:13" x14ac:dyDescent="0.25">
      <c r="A7" s="39"/>
      <c r="B7" s="42" t="s">
        <v>64</v>
      </c>
      <c r="C7" s="43">
        <v>920</v>
      </c>
      <c r="D7" s="44">
        <v>1424975.1193199947</v>
      </c>
      <c r="E7" s="39"/>
      <c r="F7" s="39" t="s">
        <v>65</v>
      </c>
      <c r="G7" s="39"/>
      <c r="H7" s="39"/>
      <c r="I7" s="39"/>
      <c r="J7" s="39"/>
    </row>
    <row r="8" spans="1:13" x14ac:dyDescent="0.25">
      <c r="A8" s="39"/>
      <c r="B8" s="42" t="s">
        <v>66</v>
      </c>
      <c r="C8" s="43">
        <v>921</v>
      </c>
      <c r="D8" s="44">
        <v>5432615.4679282326</v>
      </c>
      <c r="E8" s="39"/>
      <c r="F8" s="39" t="s">
        <v>65</v>
      </c>
      <c r="G8" s="39"/>
      <c r="H8" s="39"/>
      <c r="I8" s="39"/>
      <c r="J8" s="39"/>
    </row>
    <row r="9" spans="1:13" x14ac:dyDescent="0.25">
      <c r="A9" s="39"/>
      <c r="B9" s="42" t="s">
        <v>67</v>
      </c>
      <c r="C9" s="43">
        <v>923</v>
      </c>
      <c r="D9" s="44">
        <v>7622007</v>
      </c>
      <c r="E9" s="39"/>
      <c r="F9" s="39" t="s">
        <v>65</v>
      </c>
      <c r="G9" s="39"/>
      <c r="H9" s="39"/>
      <c r="I9" s="39"/>
      <c r="J9" s="39"/>
    </row>
    <row r="10" spans="1:13" x14ac:dyDescent="0.25">
      <c r="A10" s="39"/>
      <c r="B10" s="42" t="s">
        <v>68</v>
      </c>
      <c r="C10" s="43">
        <v>926</v>
      </c>
      <c r="D10" s="44">
        <v>222914.2899999998</v>
      </c>
      <c r="E10" s="39"/>
      <c r="F10" s="39" t="s">
        <v>65</v>
      </c>
      <c r="G10" s="39"/>
      <c r="H10" s="39"/>
      <c r="I10" s="39"/>
      <c r="J10" s="39"/>
    </row>
    <row r="11" spans="1:13" x14ac:dyDescent="0.25">
      <c r="A11" s="39"/>
      <c r="B11" s="42" t="s">
        <v>69</v>
      </c>
      <c r="C11" s="43">
        <v>928</v>
      </c>
      <c r="D11" s="44">
        <v>2612717</v>
      </c>
      <c r="E11" s="39"/>
      <c r="F11" s="39" t="s">
        <v>65</v>
      </c>
      <c r="G11" s="39"/>
      <c r="H11" s="39"/>
      <c r="I11" s="39"/>
      <c r="J11" s="39"/>
    </row>
    <row r="12" spans="1:13" x14ac:dyDescent="0.25">
      <c r="A12" s="39"/>
      <c r="B12" s="42" t="s">
        <v>70</v>
      </c>
      <c r="C12" s="43">
        <v>930.2</v>
      </c>
      <c r="D12" s="45">
        <v>3832477.53</v>
      </c>
      <c r="E12" s="39"/>
      <c r="F12" s="39" t="s">
        <v>65</v>
      </c>
      <c r="G12" s="39"/>
      <c r="H12" s="39"/>
      <c r="I12" s="39"/>
      <c r="J12" s="39"/>
    </row>
    <row r="13" spans="1:13" x14ac:dyDescent="0.25">
      <c r="A13" s="39"/>
      <c r="B13" s="39"/>
      <c r="C13" s="46" t="s">
        <v>71</v>
      </c>
      <c r="D13" s="44">
        <f>SUM(D7:D12)</f>
        <v>21147706.407248229</v>
      </c>
      <c r="E13" s="39"/>
      <c r="F13" s="39"/>
      <c r="G13" s="39"/>
      <c r="H13" s="39"/>
      <c r="I13" s="39"/>
      <c r="J13" s="39"/>
      <c r="M13" s="33"/>
    </row>
    <row r="14" spans="1:13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</row>
    <row r="15" spans="1:13" x14ac:dyDescent="0.25">
      <c r="A15" s="1" t="s">
        <v>72</v>
      </c>
      <c r="B15" s="1"/>
      <c r="C15" s="39"/>
      <c r="D15" s="39"/>
      <c r="E15" s="39"/>
      <c r="F15" s="39"/>
      <c r="G15" s="39"/>
      <c r="H15" s="39"/>
      <c r="I15" s="39"/>
      <c r="J15" s="39"/>
    </row>
    <row r="16" spans="1:13" x14ac:dyDescent="0.25">
      <c r="A16" s="1"/>
      <c r="B16" s="39" t="s">
        <v>73</v>
      </c>
      <c r="C16" s="39"/>
      <c r="D16" s="39"/>
      <c r="E16" s="39"/>
      <c r="F16" s="39"/>
      <c r="G16" s="39"/>
      <c r="H16" s="39"/>
      <c r="I16" s="39"/>
      <c r="J16" s="39"/>
    </row>
    <row r="17" spans="1:16" x14ac:dyDescent="0.25">
      <c r="A17" s="1"/>
      <c r="B17" s="39" t="s">
        <v>74</v>
      </c>
      <c r="C17" s="39"/>
      <c r="D17" s="39"/>
      <c r="E17" s="39"/>
      <c r="F17" s="39"/>
      <c r="G17" s="39"/>
      <c r="H17" s="39"/>
      <c r="I17" s="39"/>
      <c r="J17" s="39"/>
    </row>
    <row r="18" spans="1:16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</row>
    <row r="19" spans="1:16" x14ac:dyDescent="0.25">
      <c r="A19" s="39"/>
      <c r="B19" s="39"/>
      <c r="C19" s="39"/>
      <c r="D19" s="40" t="s">
        <v>47</v>
      </c>
      <c r="E19" s="39"/>
      <c r="F19" s="39"/>
      <c r="G19" s="39"/>
      <c r="H19" s="39"/>
      <c r="I19" s="39"/>
      <c r="J19" s="39"/>
      <c r="K19" s="1"/>
    </row>
    <row r="20" spans="1:16" x14ac:dyDescent="0.25">
      <c r="A20" s="39"/>
      <c r="B20" s="41" t="s">
        <v>60</v>
      </c>
      <c r="C20" s="40" t="s">
        <v>61</v>
      </c>
      <c r="D20" s="40" t="s">
        <v>11</v>
      </c>
      <c r="E20" s="39"/>
      <c r="F20" s="9" t="s">
        <v>75</v>
      </c>
      <c r="G20" s="39"/>
      <c r="H20" s="39"/>
      <c r="I20" s="39"/>
      <c r="J20" s="39"/>
      <c r="K20" s="1"/>
    </row>
    <row r="21" spans="1:16" x14ac:dyDescent="0.25">
      <c r="A21" s="47"/>
      <c r="B21" s="6" t="s">
        <v>76</v>
      </c>
      <c r="C21" s="43">
        <v>920</v>
      </c>
      <c r="D21" s="48">
        <v>224699</v>
      </c>
      <c r="E21" s="47"/>
      <c r="F21" s="47" t="s">
        <v>77</v>
      </c>
      <c r="G21" s="47"/>
      <c r="H21" s="47"/>
      <c r="I21" s="47"/>
      <c r="J21" s="47"/>
      <c r="K21" s="7"/>
      <c r="L21" s="7"/>
      <c r="M21" s="49"/>
      <c r="N21" s="50"/>
      <c r="O21" s="50"/>
      <c r="P21" s="50"/>
    </row>
    <row r="22" spans="1:16" x14ac:dyDescent="0.25">
      <c r="A22" s="47"/>
      <c r="B22" s="6" t="s">
        <v>78</v>
      </c>
      <c r="C22" s="51">
        <v>920</v>
      </c>
      <c r="D22" s="48">
        <v>425</v>
      </c>
      <c r="E22" s="52"/>
      <c r="F22" s="52" t="s">
        <v>79</v>
      </c>
      <c r="G22" s="52"/>
      <c r="H22" s="47"/>
      <c r="I22" s="47"/>
      <c r="J22" s="47"/>
      <c r="K22" s="7"/>
      <c r="L22" s="7"/>
      <c r="M22" s="49"/>
    </row>
    <row r="23" spans="1:16" s="7" customFormat="1" x14ac:dyDescent="0.25">
      <c r="A23" s="47"/>
      <c r="B23" s="53" t="s">
        <v>80</v>
      </c>
      <c r="C23" s="51">
        <v>920</v>
      </c>
      <c r="D23" s="48">
        <v>364012</v>
      </c>
      <c r="E23" s="52"/>
      <c r="F23" s="52" t="s">
        <v>81</v>
      </c>
      <c r="G23" s="52"/>
      <c r="H23" s="47"/>
      <c r="I23" s="47"/>
      <c r="J23" s="47"/>
      <c r="M23" s="49"/>
    </row>
    <row r="24" spans="1:16" s="7" customFormat="1" x14ac:dyDescent="0.25">
      <c r="A24" s="47"/>
      <c r="B24" s="53" t="s">
        <v>82</v>
      </c>
      <c r="C24" s="51">
        <v>920</v>
      </c>
      <c r="D24" s="54">
        <v>8358</v>
      </c>
      <c r="E24" s="52"/>
      <c r="F24" s="52" t="s">
        <v>83</v>
      </c>
      <c r="G24" s="52"/>
      <c r="H24" s="52"/>
      <c r="I24" s="52"/>
      <c r="J24" s="52"/>
      <c r="M24" s="49"/>
    </row>
    <row r="25" spans="1:16" s="7" customFormat="1" x14ac:dyDescent="0.25">
      <c r="A25" s="47"/>
      <c r="B25" s="53" t="s">
        <v>84</v>
      </c>
      <c r="C25" s="51">
        <v>921</v>
      </c>
      <c r="D25" s="48">
        <v>177520</v>
      </c>
      <c r="E25" s="52"/>
      <c r="F25" s="52" t="s">
        <v>85</v>
      </c>
      <c r="G25" s="52"/>
      <c r="H25" s="47"/>
      <c r="I25" s="47"/>
      <c r="J25" s="47"/>
      <c r="N25" s="49"/>
    </row>
    <row r="26" spans="1:16" s="7" customFormat="1" x14ac:dyDescent="0.25">
      <c r="A26" s="47"/>
      <c r="B26" s="53" t="s">
        <v>86</v>
      </c>
      <c r="C26" s="51">
        <v>923</v>
      </c>
      <c r="D26" s="48">
        <v>2</v>
      </c>
      <c r="E26" s="52"/>
      <c r="F26" s="52" t="s">
        <v>87</v>
      </c>
      <c r="G26" s="52"/>
      <c r="H26" s="47"/>
      <c r="I26" s="47"/>
      <c r="J26" s="47"/>
      <c r="N26" s="49"/>
    </row>
    <row r="27" spans="1:16" x14ac:dyDescent="0.25">
      <c r="A27" s="47"/>
      <c r="B27" s="42" t="s">
        <v>88</v>
      </c>
      <c r="C27" s="51">
        <v>923</v>
      </c>
      <c r="D27" s="54">
        <v>2485</v>
      </c>
      <c r="E27" s="52"/>
      <c r="F27" s="52" t="s">
        <v>89</v>
      </c>
      <c r="G27" s="52"/>
      <c r="H27" s="52"/>
      <c r="I27" s="52"/>
      <c r="J27" s="52"/>
      <c r="K27" s="52"/>
      <c r="L27" s="7"/>
      <c r="M27" s="49"/>
    </row>
    <row r="28" spans="1:16" x14ac:dyDescent="0.25">
      <c r="A28" s="47"/>
      <c r="B28" s="6" t="s">
        <v>90</v>
      </c>
      <c r="C28" s="51">
        <v>923</v>
      </c>
      <c r="D28" s="54">
        <v>59788</v>
      </c>
      <c r="E28" s="52"/>
      <c r="F28" s="52" t="s">
        <v>91</v>
      </c>
      <c r="G28" s="52"/>
      <c r="H28" s="52"/>
      <c r="I28" s="52"/>
      <c r="J28" s="52"/>
      <c r="K28" s="52"/>
      <c r="L28" s="7"/>
      <c r="M28" s="49"/>
      <c r="N28" s="55"/>
    </row>
    <row r="29" spans="1:16" x14ac:dyDescent="0.25">
      <c r="A29" s="47"/>
      <c r="B29" s="6" t="s">
        <v>92</v>
      </c>
      <c r="C29" s="51">
        <v>925</v>
      </c>
      <c r="D29" s="54">
        <v>291831</v>
      </c>
      <c r="E29" s="52"/>
      <c r="F29" s="52" t="s">
        <v>93</v>
      </c>
      <c r="G29" s="52"/>
      <c r="H29" s="52"/>
      <c r="I29" s="52"/>
      <c r="J29" s="52"/>
      <c r="K29" s="52"/>
      <c r="L29" s="7"/>
      <c r="M29" s="49"/>
      <c r="N29" s="55"/>
    </row>
    <row r="30" spans="1:16" x14ac:dyDescent="0.25">
      <c r="A30" s="47"/>
      <c r="B30" s="6" t="s">
        <v>94</v>
      </c>
      <c r="C30" s="51">
        <v>925</v>
      </c>
      <c r="D30" s="54">
        <v>-218673</v>
      </c>
      <c r="E30" s="52"/>
      <c r="F30" s="52" t="s">
        <v>95</v>
      </c>
      <c r="G30" s="52"/>
      <c r="H30" s="52"/>
      <c r="I30" s="52"/>
      <c r="J30" s="52"/>
      <c r="K30" s="52"/>
      <c r="L30" s="7"/>
      <c r="M30" s="49"/>
      <c r="N30" s="55"/>
    </row>
    <row r="31" spans="1:16" x14ac:dyDescent="0.25">
      <c r="A31" s="47"/>
      <c r="B31" s="6" t="s">
        <v>96</v>
      </c>
      <c r="C31" s="51">
        <v>925</v>
      </c>
      <c r="D31" s="54">
        <v>-768792</v>
      </c>
      <c r="E31" s="52"/>
      <c r="F31" s="52" t="s">
        <v>97</v>
      </c>
      <c r="G31" s="52"/>
      <c r="H31" s="52"/>
      <c r="I31" s="52"/>
      <c r="J31" s="52"/>
      <c r="K31" s="52"/>
      <c r="L31" s="7"/>
      <c r="M31" s="49"/>
      <c r="N31" s="55"/>
    </row>
    <row r="32" spans="1:16" x14ac:dyDescent="0.25">
      <c r="A32" s="47"/>
      <c r="B32" s="42" t="s">
        <v>98</v>
      </c>
      <c r="C32" s="51">
        <v>926</v>
      </c>
      <c r="D32" s="54">
        <v>1506</v>
      </c>
      <c r="E32" s="52"/>
      <c r="F32" s="47" t="s">
        <v>99</v>
      </c>
      <c r="G32" s="52"/>
      <c r="H32" s="52"/>
      <c r="I32" s="52"/>
      <c r="J32" s="52"/>
      <c r="K32" s="52"/>
      <c r="L32" s="7"/>
      <c r="M32" s="49"/>
      <c r="O32" s="50"/>
    </row>
    <row r="33" spans="1:16" x14ac:dyDescent="0.25">
      <c r="A33" s="47"/>
      <c r="B33" s="42" t="s">
        <v>100</v>
      </c>
      <c r="C33" s="51">
        <v>926</v>
      </c>
      <c r="D33" s="54">
        <v>6549605</v>
      </c>
      <c r="E33" s="52"/>
      <c r="F33" s="52" t="s">
        <v>101</v>
      </c>
      <c r="G33" s="52"/>
      <c r="H33" s="52"/>
      <c r="I33" s="52"/>
      <c r="J33" s="52"/>
      <c r="K33" s="52"/>
      <c r="L33" s="7"/>
      <c r="M33" s="49"/>
      <c r="O33" s="50"/>
    </row>
    <row r="34" spans="1:16" x14ac:dyDescent="0.25">
      <c r="A34" s="47"/>
      <c r="B34" s="42" t="s">
        <v>102</v>
      </c>
      <c r="C34" s="51">
        <v>928</v>
      </c>
      <c r="D34" s="56">
        <v>6389389</v>
      </c>
      <c r="E34" s="52"/>
      <c r="F34" s="52" t="s">
        <v>103</v>
      </c>
      <c r="G34" s="52"/>
      <c r="H34" s="52"/>
      <c r="I34" s="52"/>
      <c r="J34" s="52"/>
      <c r="K34" s="52"/>
      <c r="L34" s="7"/>
      <c r="M34" s="49"/>
      <c r="O34" s="50"/>
    </row>
    <row r="35" spans="1:16" x14ac:dyDescent="0.25">
      <c r="A35" s="47"/>
      <c r="B35" s="42" t="s">
        <v>104</v>
      </c>
      <c r="C35" s="51">
        <v>928</v>
      </c>
      <c r="D35" s="56">
        <v>1824223</v>
      </c>
      <c r="E35" s="52"/>
      <c r="F35" s="52" t="s">
        <v>105</v>
      </c>
      <c r="G35" s="52"/>
      <c r="H35" s="52"/>
      <c r="I35" s="52"/>
      <c r="J35" s="52"/>
      <c r="K35" s="52"/>
      <c r="L35" s="7"/>
      <c r="M35" s="49"/>
    </row>
    <row r="36" spans="1:16" x14ac:dyDescent="0.25">
      <c r="A36" s="47"/>
      <c r="B36" s="42" t="s">
        <v>106</v>
      </c>
      <c r="C36" s="51">
        <v>928</v>
      </c>
      <c r="D36" s="56">
        <v>3738178</v>
      </c>
      <c r="E36" s="52"/>
      <c r="F36" s="52" t="s">
        <v>107</v>
      </c>
      <c r="G36" s="52"/>
      <c r="H36" s="52"/>
      <c r="I36" s="52"/>
      <c r="J36" s="52"/>
      <c r="K36" s="52"/>
      <c r="L36" s="7"/>
      <c r="M36" s="49"/>
    </row>
    <row r="37" spans="1:16" x14ac:dyDescent="0.25">
      <c r="A37" s="47"/>
      <c r="B37" s="42" t="s">
        <v>108</v>
      </c>
      <c r="C37" s="51">
        <v>928</v>
      </c>
      <c r="D37" s="56">
        <v>2990</v>
      </c>
      <c r="E37" s="52"/>
      <c r="F37" s="52" t="s">
        <v>109</v>
      </c>
      <c r="G37" s="52"/>
      <c r="H37" s="52"/>
      <c r="I37" s="52"/>
      <c r="J37" s="52"/>
      <c r="K37" s="52"/>
      <c r="L37" s="7"/>
      <c r="M37" s="49"/>
    </row>
    <row r="38" spans="1:16" x14ac:dyDescent="0.25">
      <c r="A38" s="47"/>
      <c r="B38" s="42" t="s">
        <v>110</v>
      </c>
      <c r="C38" s="51">
        <v>928</v>
      </c>
      <c r="D38" s="56">
        <v>2784501</v>
      </c>
      <c r="E38" s="52"/>
      <c r="F38" s="52" t="s">
        <v>111</v>
      </c>
      <c r="G38" s="52"/>
      <c r="H38" s="52"/>
      <c r="I38" s="52"/>
      <c r="J38" s="52"/>
      <c r="K38" s="52"/>
      <c r="L38" s="7"/>
      <c r="M38" s="49"/>
    </row>
    <row r="39" spans="1:16" x14ac:dyDescent="0.25">
      <c r="A39" s="47"/>
      <c r="B39" s="42" t="s">
        <v>112</v>
      </c>
      <c r="C39" s="51">
        <v>930.2</v>
      </c>
      <c r="D39" s="56">
        <v>58711</v>
      </c>
      <c r="E39" s="52"/>
      <c r="F39" s="52" t="s">
        <v>113</v>
      </c>
      <c r="G39" s="52"/>
      <c r="H39" s="52"/>
      <c r="I39" s="52"/>
      <c r="J39" s="52"/>
      <c r="K39" s="52"/>
      <c r="L39" s="7"/>
      <c r="M39" s="49"/>
    </row>
    <row r="40" spans="1:16" x14ac:dyDescent="0.25">
      <c r="A40" s="47"/>
      <c r="B40" s="42" t="s">
        <v>114</v>
      </c>
      <c r="C40" s="51">
        <v>930.2</v>
      </c>
      <c r="D40" s="54">
        <v>-420073</v>
      </c>
      <c r="E40" s="52"/>
      <c r="F40" s="52" t="s">
        <v>115</v>
      </c>
      <c r="G40" s="52"/>
      <c r="H40" s="52"/>
      <c r="I40" s="52"/>
      <c r="J40" s="52"/>
      <c r="K40" s="52"/>
      <c r="L40" s="7"/>
      <c r="M40" s="49"/>
    </row>
    <row r="41" spans="1:16" x14ac:dyDescent="0.25">
      <c r="A41" s="47"/>
      <c r="B41" s="42" t="s">
        <v>116</v>
      </c>
      <c r="C41" s="51">
        <v>930.2</v>
      </c>
      <c r="D41" s="54">
        <v>-241090</v>
      </c>
      <c r="E41" s="52"/>
      <c r="F41" s="52" t="s">
        <v>117</v>
      </c>
      <c r="G41" s="52"/>
      <c r="H41" s="52"/>
      <c r="I41" s="52"/>
      <c r="J41" s="52"/>
      <c r="K41" s="52"/>
      <c r="L41" s="7"/>
      <c r="M41" s="49"/>
    </row>
    <row r="42" spans="1:16" x14ac:dyDescent="0.25">
      <c r="A42" s="47"/>
      <c r="B42" s="42" t="s">
        <v>118</v>
      </c>
      <c r="C42" s="51">
        <v>930.2</v>
      </c>
      <c r="D42" s="54">
        <v>20983266</v>
      </c>
      <c r="E42" s="52"/>
      <c r="F42" s="52" t="s">
        <v>119</v>
      </c>
      <c r="G42" s="52"/>
      <c r="H42" s="52"/>
      <c r="I42" s="52"/>
      <c r="J42" s="52"/>
      <c r="K42" s="52"/>
      <c r="L42" s="7"/>
      <c r="M42" s="49"/>
    </row>
    <row r="43" spans="1:16" x14ac:dyDescent="0.25">
      <c r="A43" s="47"/>
      <c r="B43" s="42" t="s">
        <v>120</v>
      </c>
      <c r="C43" s="51">
        <v>930.2</v>
      </c>
      <c r="D43" s="54">
        <v>-208296</v>
      </c>
      <c r="E43" s="52"/>
      <c r="F43" s="52" t="s">
        <v>121</v>
      </c>
      <c r="G43" s="52"/>
      <c r="H43" s="52"/>
      <c r="I43" s="52"/>
      <c r="J43" s="52"/>
      <c r="K43" s="52"/>
      <c r="L43" s="7"/>
      <c r="M43" s="49"/>
    </row>
    <row r="44" spans="1:16" x14ac:dyDescent="0.25">
      <c r="A44" s="47"/>
      <c r="B44" s="42" t="s">
        <v>122</v>
      </c>
      <c r="C44" s="51">
        <v>931</v>
      </c>
      <c r="D44" s="54">
        <v>11411119</v>
      </c>
      <c r="E44" s="52"/>
      <c r="F44" s="52" t="s">
        <v>123</v>
      </c>
      <c r="G44" s="52"/>
      <c r="H44" s="52"/>
      <c r="I44" s="52"/>
      <c r="J44" s="52"/>
      <c r="K44" s="52"/>
      <c r="L44" s="7"/>
      <c r="M44" s="49"/>
    </row>
    <row r="45" spans="1:16" x14ac:dyDescent="0.25">
      <c r="A45" s="39"/>
      <c r="B45" s="6" t="s">
        <v>124</v>
      </c>
      <c r="C45" s="51">
        <v>935</v>
      </c>
      <c r="D45" s="57">
        <v>697671</v>
      </c>
      <c r="E45" s="52"/>
      <c r="F45" s="52" t="s">
        <v>125</v>
      </c>
      <c r="G45" s="52"/>
      <c r="H45" s="52"/>
      <c r="I45" s="52"/>
      <c r="J45" s="52"/>
      <c r="K45" s="52"/>
      <c r="L45" s="7"/>
      <c r="M45" s="49"/>
    </row>
    <row r="46" spans="1:16" x14ac:dyDescent="0.25">
      <c r="A46" s="39"/>
      <c r="B46" s="42"/>
      <c r="C46" s="58" t="s">
        <v>126</v>
      </c>
      <c r="D46" s="59">
        <f>SUM(D21:D45)</f>
        <v>53713355</v>
      </c>
      <c r="E46" s="39"/>
      <c r="F46" s="39"/>
      <c r="G46" s="39"/>
      <c r="H46" s="39"/>
      <c r="I46" s="39"/>
      <c r="J46" s="39"/>
      <c r="O46" s="7"/>
      <c r="P46" s="60"/>
    </row>
    <row r="47" spans="1:16" x14ac:dyDescent="0.25">
      <c r="A47" s="39"/>
      <c r="B47" s="42"/>
      <c r="C47" s="58"/>
      <c r="D47" s="59"/>
      <c r="E47" s="39"/>
      <c r="F47" s="39"/>
      <c r="G47" s="39"/>
      <c r="H47" s="39"/>
      <c r="I47" s="39"/>
      <c r="J47" s="39"/>
      <c r="O47" s="61"/>
      <c r="P47" s="60"/>
    </row>
    <row r="48" spans="1:16" x14ac:dyDescent="0.25">
      <c r="A48" s="1" t="s">
        <v>127</v>
      </c>
      <c r="B48" s="42"/>
      <c r="C48" s="58"/>
      <c r="D48" s="59"/>
      <c r="E48" s="39"/>
      <c r="F48" s="39"/>
      <c r="G48" s="39"/>
      <c r="H48" s="39"/>
      <c r="I48" s="39"/>
      <c r="J48" s="39"/>
      <c r="O48" s="62"/>
      <c r="P48" s="36"/>
    </row>
    <row r="49" spans="1:11" x14ac:dyDescent="0.25">
      <c r="A49" s="39"/>
      <c r="B49" s="63" t="s">
        <v>128</v>
      </c>
      <c r="C49" s="58"/>
      <c r="D49" s="59"/>
      <c r="E49" s="39"/>
      <c r="F49" s="39"/>
      <c r="G49" s="39"/>
      <c r="H49" s="39"/>
      <c r="I49" s="39"/>
      <c r="J49" s="39"/>
    </row>
    <row r="50" spans="1:11" x14ac:dyDescent="0.25">
      <c r="A50" s="39"/>
      <c r="B50" s="42"/>
      <c r="C50" s="58"/>
      <c r="D50" s="59"/>
      <c r="E50" s="39"/>
      <c r="G50" s="39"/>
      <c r="H50" s="39"/>
      <c r="I50" s="39"/>
      <c r="J50" s="39"/>
      <c r="K50" s="64"/>
    </row>
    <row r="51" spans="1:11" x14ac:dyDescent="0.25">
      <c r="A51" s="39"/>
      <c r="B51" s="42"/>
      <c r="C51" s="58"/>
      <c r="D51" s="59"/>
      <c r="E51" s="46" t="s">
        <v>129</v>
      </c>
      <c r="F51" s="48">
        <f>7271761+18769224+6876266</f>
        <v>32917251</v>
      </c>
      <c r="G51" s="39"/>
      <c r="H51" s="50"/>
      <c r="I51" s="50"/>
      <c r="J51" s="50"/>
      <c r="K51" s="64"/>
    </row>
    <row r="52" spans="1:11" x14ac:dyDescent="0.25">
      <c r="A52" s="39"/>
      <c r="B52" s="39"/>
      <c r="C52" s="39"/>
      <c r="D52" s="65"/>
      <c r="E52" s="39"/>
      <c r="F52" s="39"/>
      <c r="G52" s="39"/>
      <c r="H52" s="39"/>
      <c r="I52" s="39"/>
      <c r="J52" s="39"/>
      <c r="K52" s="64"/>
    </row>
    <row r="53" spans="1:11" x14ac:dyDescent="0.25">
      <c r="A53" s="1" t="s">
        <v>130</v>
      </c>
      <c r="B53" s="1"/>
      <c r="C53" s="39"/>
      <c r="D53" s="39"/>
      <c r="E53" s="39"/>
      <c r="F53" s="39"/>
      <c r="G53" s="39"/>
      <c r="H53" s="39"/>
      <c r="I53" s="39"/>
      <c r="J53" s="39"/>
    </row>
    <row r="54" spans="1:11" x14ac:dyDescent="0.25">
      <c r="A54" s="39"/>
      <c r="B54" s="66" t="s">
        <v>131</v>
      </c>
      <c r="C54" s="39"/>
      <c r="D54" s="39"/>
      <c r="E54" s="39"/>
      <c r="F54" s="39"/>
      <c r="G54" s="39"/>
      <c r="H54" s="39"/>
      <c r="I54" s="39"/>
      <c r="J54" s="39"/>
    </row>
    <row r="55" spans="1:11" x14ac:dyDescent="0.25">
      <c r="A55" s="39"/>
      <c r="B55" s="39"/>
      <c r="C55" s="67"/>
      <c r="D55" s="39"/>
      <c r="E55" s="39"/>
      <c r="F55" s="68" t="s">
        <v>5</v>
      </c>
      <c r="G55" s="39"/>
      <c r="H55" s="39"/>
      <c r="I55" s="39"/>
      <c r="J55" s="39"/>
    </row>
    <row r="56" spans="1:11" x14ac:dyDescent="0.25">
      <c r="A56" s="39"/>
      <c r="B56" s="39"/>
      <c r="C56" s="39"/>
      <c r="D56" s="39"/>
      <c r="E56" s="39"/>
      <c r="F56" s="69" t="s">
        <v>9</v>
      </c>
      <c r="G56" s="39"/>
      <c r="H56" s="39"/>
      <c r="I56" s="39"/>
      <c r="J56" s="39"/>
    </row>
    <row r="57" spans="1:11" x14ac:dyDescent="0.25">
      <c r="A57" s="39"/>
      <c r="B57" s="39"/>
      <c r="C57" s="39"/>
      <c r="D57" s="39"/>
      <c r="E57" s="39"/>
      <c r="F57" s="69" t="s">
        <v>13</v>
      </c>
      <c r="G57" s="39"/>
      <c r="H57" s="39"/>
      <c r="I57" s="39"/>
      <c r="J57" s="39"/>
    </row>
    <row r="58" spans="1:11" x14ac:dyDescent="0.25">
      <c r="A58" s="39"/>
      <c r="B58" s="39"/>
      <c r="C58" s="39"/>
      <c r="D58" s="40" t="s">
        <v>132</v>
      </c>
      <c r="E58" s="70" t="s">
        <v>16</v>
      </c>
      <c r="F58" s="69" t="s">
        <v>11</v>
      </c>
      <c r="G58" s="39"/>
      <c r="H58" s="9" t="s">
        <v>133</v>
      </c>
      <c r="I58" s="39"/>
      <c r="J58" s="39"/>
    </row>
    <row r="59" spans="1:11" x14ac:dyDescent="0.25">
      <c r="A59" s="39"/>
      <c r="B59" s="39"/>
      <c r="C59" s="39"/>
      <c r="D59" s="69">
        <v>24</v>
      </c>
      <c r="E59" s="71">
        <v>920</v>
      </c>
      <c r="F59" s="72">
        <f>D7+D21+D22+D23+D24-F51</f>
        <v>-30894781.880680006</v>
      </c>
      <c r="G59" s="39"/>
      <c r="H59" s="39" t="s">
        <v>134</v>
      </c>
      <c r="I59" s="39"/>
      <c r="J59" s="39"/>
    </row>
    <row r="60" spans="1:11" x14ac:dyDescent="0.25">
      <c r="A60" s="39"/>
      <c r="B60" s="39"/>
      <c r="C60" s="39"/>
      <c r="D60" s="69">
        <f>D59+1</f>
        <v>25</v>
      </c>
      <c r="E60" s="71">
        <v>921</v>
      </c>
      <c r="F60" s="72">
        <f>D8+D25</f>
        <v>5610135.4679282326</v>
      </c>
      <c r="G60" s="39"/>
      <c r="H60" s="39" t="s">
        <v>135</v>
      </c>
      <c r="I60" s="39"/>
      <c r="J60" s="39"/>
    </row>
    <row r="61" spans="1:11" x14ac:dyDescent="0.25">
      <c r="A61" s="39"/>
      <c r="B61" s="39"/>
      <c r="C61" s="39"/>
      <c r="D61" s="69">
        <f t="shared" ref="D61:D72" si="0">D60+1</f>
        <v>26</v>
      </c>
      <c r="E61" s="71">
        <v>922</v>
      </c>
      <c r="F61" s="72"/>
      <c r="G61" s="39"/>
      <c r="H61" s="39"/>
      <c r="I61" s="39"/>
      <c r="J61" s="39"/>
    </row>
    <row r="62" spans="1:11" x14ac:dyDescent="0.25">
      <c r="A62" s="39"/>
      <c r="B62" s="39"/>
      <c r="C62" s="39"/>
      <c r="D62" s="69">
        <f t="shared" si="0"/>
        <v>27</v>
      </c>
      <c r="E62" s="71">
        <v>923</v>
      </c>
      <c r="F62" s="72">
        <f>D9+SUM(D26:D28)</f>
        <v>7684282</v>
      </c>
      <c r="G62" s="39"/>
      <c r="H62" s="39" t="s">
        <v>136</v>
      </c>
      <c r="I62" s="39"/>
      <c r="J62" s="39"/>
    </row>
    <row r="63" spans="1:11" x14ac:dyDescent="0.25">
      <c r="A63" s="39"/>
      <c r="B63" s="39"/>
      <c r="C63" s="39"/>
      <c r="D63" s="69">
        <f t="shared" si="0"/>
        <v>28</v>
      </c>
      <c r="E63" s="71">
        <v>924</v>
      </c>
      <c r="F63" s="72"/>
      <c r="G63" s="39"/>
      <c r="H63" s="39"/>
      <c r="I63" s="39"/>
      <c r="J63" s="39"/>
    </row>
    <row r="64" spans="1:11" x14ac:dyDescent="0.25">
      <c r="A64" s="39"/>
      <c r="B64" s="39"/>
      <c r="C64" s="39"/>
      <c r="D64" s="69">
        <f t="shared" si="0"/>
        <v>29</v>
      </c>
      <c r="E64" s="71">
        <v>925</v>
      </c>
      <c r="F64" s="72">
        <f>D29+D30+D31</f>
        <v>-695634</v>
      </c>
      <c r="G64" s="39"/>
      <c r="H64" s="39" t="s">
        <v>137</v>
      </c>
      <c r="I64" s="39"/>
      <c r="J64" s="39"/>
    </row>
    <row r="65" spans="1:10" x14ac:dyDescent="0.25">
      <c r="A65" s="39"/>
      <c r="B65" s="39"/>
      <c r="C65" s="39"/>
      <c r="D65" s="69">
        <f t="shared" si="0"/>
        <v>30</v>
      </c>
      <c r="E65" s="71">
        <v>926</v>
      </c>
      <c r="F65" s="72">
        <f>D10+SUM(D32:D33)</f>
        <v>6774025.29</v>
      </c>
      <c r="G65" s="39"/>
      <c r="H65" s="39" t="s">
        <v>138</v>
      </c>
      <c r="I65" s="39"/>
      <c r="J65" s="39"/>
    </row>
    <row r="66" spans="1:10" x14ac:dyDescent="0.25">
      <c r="A66" s="39"/>
      <c r="B66" s="39"/>
      <c r="C66" s="39"/>
      <c r="D66" s="69">
        <f t="shared" si="0"/>
        <v>31</v>
      </c>
      <c r="E66" s="71">
        <v>927</v>
      </c>
      <c r="F66" s="44"/>
      <c r="G66" s="39"/>
      <c r="H66" s="73"/>
      <c r="I66" s="39"/>
      <c r="J66" s="39"/>
    </row>
    <row r="67" spans="1:10" x14ac:dyDescent="0.25">
      <c r="A67" s="39"/>
      <c r="B67" s="39"/>
      <c r="C67" s="39"/>
      <c r="D67" s="69">
        <f t="shared" si="0"/>
        <v>32</v>
      </c>
      <c r="E67" s="71">
        <v>928</v>
      </c>
      <c r="F67" s="72">
        <f>D11+SUM(D34:D38)</f>
        <v>17351998</v>
      </c>
      <c r="G67" s="39"/>
      <c r="H67" s="39" t="s">
        <v>139</v>
      </c>
      <c r="I67" s="39"/>
      <c r="J67" s="39"/>
    </row>
    <row r="68" spans="1:10" x14ac:dyDescent="0.25">
      <c r="A68" s="39"/>
      <c r="B68" s="39"/>
      <c r="C68" s="39"/>
      <c r="D68" s="69">
        <f t="shared" si="0"/>
        <v>33</v>
      </c>
      <c r="E68" s="71">
        <v>929</v>
      </c>
      <c r="F68" s="72"/>
      <c r="G68" s="39"/>
      <c r="H68" s="39"/>
      <c r="I68" s="39"/>
      <c r="J68" s="39"/>
    </row>
    <row r="69" spans="1:10" x14ac:dyDescent="0.25">
      <c r="A69" s="39"/>
      <c r="B69" s="39"/>
      <c r="C69" s="39"/>
      <c r="D69" s="69">
        <f t="shared" si="0"/>
        <v>34</v>
      </c>
      <c r="E69" s="71">
        <v>930.1</v>
      </c>
      <c r="F69" s="72"/>
      <c r="G69" s="39"/>
      <c r="H69" s="39"/>
      <c r="I69" s="39"/>
      <c r="J69" s="39"/>
    </row>
    <row r="70" spans="1:10" x14ac:dyDescent="0.25">
      <c r="A70" s="39"/>
      <c r="B70" s="39"/>
      <c r="C70" s="39"/>
      <c r="D70" s="69">
        <f t="shared" si="0"/>
        <v>35</v>
      </c>
      <c r="E70" s="71">
        <v>930.2</v>
      </c>
      <c r="F70" s="72">
        <f>D12+SUM(D39:D43)</f>
        <v>24004995.530000001</v>
      </c>
      <c r="G70" s="39"/>
      <c r="H70" s="39" t="s">
        <v>140</v>
      </c>
      <c r="I70" s="39"/>
      <c r="J70" s="39"/>
    </row>
    <row r="71" spans="1:10" x14ac:dyDescent="0.25">
      <c r="A71" s="39"/>
      <c r="B71" s="39"/>
      <c r="C71" s="39"/>
      <c r="D71" s="69">
        <f t="shared" si="0"/>
        <v>36</v>
      </c>
      <c r="E71" s="71">
        <v>931</v>
      </c>
      <c r="F71" s="72">
        <f>D44</f>
        <v>11411119</v>
      </c>
      <c r="G71" s="39"/>
      <c r="H71" s="39" t="s">
        <v>141</v>
      </c>
      <c r="I71" s="39"/>
      <c r="J71" s="39"/>
    </row>
    <row r="72" spans="1:10" x14ac:dyDescent="0.25">
      <c r="A72" s="39"/>
      <c r="B72" s="39"/>
      <c r="C72" s="39"/>
      <c r="D72" s="69">
        <f t="shared" si="0"/>
        <v>37</v>
      </c>
      <c r="E72" s="71">
        <v>935</v>
      </c>
      <c r="F72" s="72">
        <f>D45</f>
        <v>697671</v>
      </c>
      <c r="G72" s="39"/>
      <c r="H72" s="39" t="s">
        <v>142</v>
      </c>
      <c r="I72" s="39"/>
      <c r="J72" s="39"/>
    </row>
    <row r="73" spans="1:10" x14ac:dyDescent="0.25">
      <c r="E73" s="74" t="s">
        <v>143</v>
      </c>
      <c r="F73" s="33">
        <f>SUM(F59:F72)</f>
        <v>41943810.407248229</v>
      </c>
      <c r="J73" s="33"/>
    </row>
    <row r="75" spans="1:10" x14ac:dyDescent="0.25">
      <c r="F75" s="33"/>
    </row>
  </sheetData>
  <pageMargins left="0.7" right="0.7" top="1.0645833333333301" bottom="0.75" header="0.3" footer="0.3"/>
  <pageSetup scale="58" orientation="landscape" cellComments="asDisplayed" r:id="rId1"/>
  <headerFooter>
    <oddHeader>&amp;RTO2019 Annual Update
Attachment 5-TO13 True Up TRR
WP-TO13-Schedule 20
Page &amp;P of &amp;N</oddHeader>
  </headerFooter>
  <rowBreaks count="1" manualBreakCount="1">
    <brk id="52" max="13" man="1"/>
  </rowBreaks>
  <ignoredErrors>
    <ignoredError sqref="F62 F65 F67 F7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65"/>
  <sheetViews>
    <sheetView zoomScaleNormal="100" workbookViewId="0"/>
  </sheetViews>
  <sheetFormatPr defaultColWidth="8.85546875" defaultRowHeight="15" x14ac:dyDescent="0.25"/>
  <cols>
    <col min="1" max="2" width="3.7109375" customWidth="1"/>
    <col min="3" max="3" width="6.28515625" customWidth="1"/>
    <col min="4" max="4" width="28.42578125" customWidth="1"/>
    <col min="5" max="5" width="19.5703125" customWidth="1"/>
    <col min="6" max="6" width="33.42578125" customWidth="1"/>
    <col min="7" max="7" width="23.42578125" bestFit="1" customWidth="1"/>
    <col min="8" max="8" width="38" customWidth="1"/>
    <col min="9" max="9" width="15.5703125" customWidth="1"/>
    <col min="10" max="10" width="11.7109375" bestFit="1" customWidth="1"/>
    <col min="12" max="12" width="9" customWidth="1"/>
    <col min="13" max="14" width="9.140625" hidden="1" customWidth="1"/>
  </cols>
  <sheetData>
    <row r="1" spans="1:9" x14ac:dyDescent="0.25">
      <c r="A1" s="1" t="s">
        <v>144</v>
      </c>
    </row>
    <row r="3" spans="1:9" x14ac:dyDescent="0.25">
      <c r="A3" s="1" t="s">
        <v>145</v>
      </c>
    </row>
    <row r="4" spans="1:9" x14ac:dyDescent="0.25">
      <c r="B4" s="75" t="s">
        <v>27</v>
      </c>
    </row>
    <row r="5" spans="1:9" x14ac:dyDescent="0.25">
      <c r="A5" s="76"/>
    </row>
    <row r="6" spans="1:9" x14ac:dyDescent="0.25">
      <c r="B6" s="67" t="s">
        <v>146</v>
      </c>
    </row>
    <row r="7" spans="1:9" x14ac:dyDescent="0.25">
      <c r="C7" s="22"/>
    </row>
    <row r="8" spans="1:9" x14ac:dyDescent="0.25">
      <c r="F8" s="6" t="s">
        <v>147</v>
      </c>
    </row>
    <row r="9" spans="1:9" x14ac:dyDescent="0.25">
      <c r="C9" s="70" t="s">
        <v>15</v>
      </c>
      <c r="D9" s="40" t="s">
        <v>75</v>
      </c>
      <c r="E9" s="77" t="s">
        <v>30</v>
      </c>
      <c r="F9" s="40" t="s">
        <v>133</v>
      </c>
      <c r="H9" s="22"/>
    </row>
    <row r="10" spans="1:9" x14ac:dyDescent="0.25">
      <c r="C10" s="78">
        <v>1</v>
      </c>
      <c r="D10" s="79" t="s">
        <v>148</v>
      </c>
      <c r="E10" s="80">
        <v>103811324.56999999</v>
      </c>
      <c r="F10" s="81" t="s">
        <v>149</v>
      </c>
      <c r="G10" s="82"/>
      <c r="H10" s="22"/>
      <c r="I10" s="83"/>
    </row>
    <row r="11" spans="1:9" x14ac:dyDescent="0.25">
      <c r="C11" s="78">
        <v>2</v>
      </c>
      <c r="D11" s="79" t="s">
        <v>150</v>
      </c>
      <c r="E11" s="84">
        <v>0.39800000000000002</v>
      </c>
      <c r="F11" s="85" t="s">
        <v>151</v>
      </c>
      <c r="G11" s="86">
        <v>2015</v>
      </c>
      <c r="H11" s="82"/>
      <c r="I11" s="83"/>
    </row>
    <row r="12" spans="1:9" x14ac:dyDescent="0.25">
      <c r="C12" s="78">
        <v>3</v>
      </c>
      <c r="D12" s="87" t="s">
        <v>152</v>
      </c>
      <c r="E12" s="33">
        <f>ROUND(E10*E11, 0)</f>
        <v>41316907</v>
      </c>
      <c r="F12" s="81" t="s">
        <v>153</v>
      </c>
      <c r="H12" s="22"/>
      <c r="I12" s="83"/>
    </row>
    <row r="13" spans="1:9" x14ac:dyDescent="0.25">
      <c r="C13" s="22"/>
      <c r="H13" s="88"/>
      <c r="I13" s="50"/>
    </row>
    <row r="15" spans="1:9" x14ac:dyDescent="0.25">
      <c r="B15" s="1" t="s">
        <v>154</v>
      </c>
    </row>
    <row r="16" spans="1:9" x14ac:dyDescent="0.25">
      <c r="B16" s="1"/>
      <c r="C16" s="70" t="s">
        <v>15</v>
      </c>
    </row>
    <row r="17" spans="2:14" ht="15.75" thickBot="1" x14ac:dyDescent="0.3">
      <c r="B17" s="1"/>
      <c r="C17" s="12">
        <v>1</v>
      </c>
      <c r="D17" t="s">
        <v>155</v>
      </c>
      <c r="E17" s="33">
        <f>E27</f>
        <v>130099589.32059011</v>
      </c>
      <c r="F17" s="89" t="s">
        <v>156</v>
      </c>
      <c r="G17" s="82"/>
    </row>
    <row r="18" spans="2:14" ht="15.75" thickBot="1" x14ac:dyDescent="0.3">
      <c r="B18" s="1"/>
      <c r="C18" s="12">
        <v>2</v>
      </c>
      <c r="D18" s="7" t="s">
        <v>157</v>
      </c>
      <c r="E18" s="188">
        <f>'[14]CPUC Authorized Incentive Comp'!Y12*1000</f>
        <v>107449628.49000001</v>
      </c>
      <c r="F18" s="90" t="s">
        <v>158</v>
      </c>
      <c r="G18" s="82"/>
      <c r="H18" s="7">
        <f>G11</f>
        <v>2015</v>
      </c>
    </row>
    <row r="19" spans="2:14" x14ac:dyDescent="0.25">
      <c r="B19" s="1"/>
      <c r="C19" s="12">
        <v>3</v>
      </c>
      <c r="D19" t="s">
        <v>159</v>
      </c>
      <c r="E19" s="33">
        <f>IF(E17&lt;E18,E17,E18)</f>
        <v>107449628.49000001</v>
      </c>
      <c r="F19" s="89" t="s">
        <v>160</v>
      </c>
      <c r="H19" s="82"/>
    </row>
    <row r="20" spans="2:14" x14ac:dyDescent="0.25">
      <c r="B20" s="1"/>
      <c r="E20" s="1"/>
    </row>
    <row r="21" spans="2:14" ht="26.25" x14ac:dyDescent="0.25">
      <c r="C21" s="91"/>
      <c r="D21" s="92" t="s">
        <v>161</v>
      </c>
      <c r="E21" s="93" t="s">
        <v>162</v>
      </c>
      <c r="F21" s="93" t="s">
        <v>163</v>
      </c>
      <c r="G21" s="93" t="s">
        <v>159</v>
      </c>
      <c r="H21" s="94" t="s">
        <v>164</v>
      </c>
      <c r="I21" s="93" t="s">
        <v>165</v>
      </c>
    </row>
    <row r="22" spans="2:14" x14ac:dyDescent="0.25">
      <c r="D22" s="95"/>
      <c r="E22" s="12" t="s">
        <v>166</v>
      </c>
      <c r="F22" s="96" t="s">
        <v>167</v>
      </c>
      <c r="G22" s="97" t="s">
        <v>168</v>
      </c>
      <c r="H22" s="98" t="s">
        <v>169</v>
      </c>
      <c r="I22" s="96" t="s">
        <v>170</v>
      </c>
      <c r="M22" t="s">
        <v>43</v>
      </c>
      <c r="N22">
        <v>35166211</v>
      </c>
    </row>
    <row r="23" spans="2:14" x14ac:dyDescent="0.25">
      <c r="C23" s="99">
        <v>4</v>
      </c>
      <c r="D23" s="95" t="s">
        <v>43</v>
      </c>
      <c r="E23" s="100">
        <v>44120444.518688008</v>
      </c>
      <c r="F23" s="101">
        <f>E23/$E$27</f>
        <v>0.33912823821424098</v>
      </c>
      <c r="G23" s="102">
        <f>F23*$E$19</f>
        <v>36439203.206588417</v>
      </c>
      <c r="H23" s="103">
        <f>E12*F23</f>
        <v>14011729.879371641</v>
      </c>
      <c r="I23" s="104">
        <f>G23-H23</f>
        <v>22427473.327216774</v>
      </c>
      <c r="M23" t="s">
        <v>47</v>
      </c>
      <c r="N23">
        <v>30629762</v>
      </c>
    </row>
    <row r="24" spans="2:14" x14ac:dyDescent="0.25">
      <c r="C24" s="99">
        <v>5</v>
      </c>
      <c r="D24" s="105" t="s">
        <v>47</v>
      </c>
      <c r="E24" s="100">
        <v>19948117.03875253</v>
      </c>
      <c r="F24" s="101">
        <f>E24/$E$27</f>
        <v>0.15332959268300669</v>
      </c>
      <c r="G24" s="102">
        <f>F24*$E$19</f>
        <v>16475207.770312093</v>
      </c>
      <c r="H24" s="106">
        <f>E12*F24</f>
        <v>6335104.5212316681</v>
      </c>
      <c r="I24" s="104">
        <f>G24-H24</f>
        <v>10140103.249080425</v>
      </c>
      <c r="M24" t="s">
        <v>171</v>
      </c>
      <c r="N24">
        <v>36274122</v>
      </c>
    </row>
    <row r="25" spans="2:14" x14ac:dyDescent="0.25">
      <c r="C25" s="99">
        <v>6</v>
      </c>
      <c r="D25" s="105" t="s">
        <v>171</v>
      </c>
      <c r="E25" s="100">
        <v>66031027.763149567</v>
      </c>
      <c r="F25" s="101">
        <f>E25/$E$27</f>
        <v>0.50754216910275229</v>
      </c>
      <c r="G25" s="102">
        <f>F25*$E$19</f>
        <v>54535217.513099499</v>
      </c>
      <c r="H25" s="106">
        <f>E12*F25</f>
        <v>20970072.599396691</v>
      </c>
      <c r="I25" s="104">
        <f>G25-H25</f>
        <v>33565144.913702808</v>
      </c>
      <c r="M25" t="s">
        <v>51</v>
      </c>
      <c r="N25">
        <v>102070095</v>
      </c>
    </row>
    <row r="26" spans="2:14" x14ac:dyDescent="0.25">
      <c r="C26" s="107"/>
      <c r="D26" s="107"/>
      <c r="E26" s="108"/>
      <c r="F26" s="108"/>
      <c r="G26" s="108"/>
      <c r="H26" s="108"/>
      <c r="I26" s="108"/>
    </row>
    <row r="27" spans="2:14" x14ac:dyDescent="0.25">
      <c r="C27" s="99">
        <v>7</v>
      </c>
      <c r="D27" s="109" t="s">
        <v>172</v>
      </c>
      <c r="E27" s="110">
        <f>SUM(E23:E25)</f>
        <v>130099589.32059011</v>
      </c>
      <c r="F27" s="101">
        <f>SUM(F23:F25)</f>
        <v>1</v>
      </c>
      <c r="G27" s="102">
        <f>SUM(G23:G25)</f>
        <v>107449628.49000001</v>
      </c>
      <c r="H27" s="106">
        <f>SUM(H23:H25)</f>
        <v>41316907</v>
      </c>
      <c r="I27" s="106">
        <f>SUM(I23:I25)</f>
        <v>66132721.49000001</v>
      </c>
    </row>
    <row r="28" spans="2:14" x14ac:dyDescent="0.25">
      <c r="C28" s="99"/>
      <c r="F28" s="106"/>
      <c r="G28" s="101"/>
      <c r="H28" s="106"/>
      <c r="I28" s="106"/>
    </row>
    <row r="29" spans="2:14" x14ac:dyDescent="0.25">
      <c r="C29" s="111" t="s">
        <v>173</v>
      </c>
      <c r="F29" s="106"/>
      <c r="G29" s="101"/>
      <c r="H29" s="106"/>
      <c r="I29" s="106"/>
    </row>
    <row r="30" spans="2:14" x14ac:dyDescent="0.25">
      <c r="C30" s="111" t="s">
        <v>174</v>
      </c>
      <c r="F30" s="106"/>
      <c r="G30" s="101"/>
      <c r="H30" s="106"/>
      <c r="I30" s="106"/>
    </row>
    <row r="31" spans="2:14" x14ac:dyDescent="0.25">
      <c r="C31" s="112"/>
      <c r="F31" s="106"/>
      <c r="G31" s="101"/>
      <c r="H31" s="106"/>
      <c r="I31" s="106"/>
    </row>
    <row r="32" spans="2:14" x14ac:dyDescent="0.25">
      <c r="C32" s="111" t="s">
        <v>175</v>
      </c>
      <c r="F32" s="106"/>
      <c r="G32" s="101"/>
      <c r="H32" s="106"/>
      <c r="I32" s="106"/>
    </row>
    <row r="33" spans="1:9" x14ac:dyDescent="0.25">
      <c r="C33" s="99"/>
    </row>
    <row r="34" spans="1:9" x14ac:dyDescent="0.25">
      <c r="C34" s="99"/>
      <c r="D34" s="1" t="s">
        <v>176</v>
      </c>
    </row>
    <row r="35" spans="1:9" x14ac:dyDescent="0.25">
      <c r="C35" s="99"/>
      <c r="D35" s="66" t="s">
        <v>177</v>
      </c>
      <c r="E35" s="113"/>
      <c r="F35" s="113"/>
      <c r="G35" s="113"/>
    </row>
    <row r="36" spans="1:9" x14ac:dyDescent="0.25">
      <c r="C36" s="99"/>
      <c r="D36" s="113"/>
      <c r="E36" s="114" t="s">
        <v>41</v>
      </c>
      <c r="F36" s="114"/>
      <c r="G36" s="115" t="s">
        <v>30</v>
      </c>
      <c r="H36" s="40" t="s">
        <v>31</v>
      </c>
      <c r="I36" s="82"/>
    </row>
    <row r="37" spans="1:9" x14ac:dyDescent="0.25">
      <c r="D37" s="116" t="s">
        <v>42</v>
      </c>
      <c r="E37" s="113" t="s">
        <v>43</v>
      </c>
      <c r="F37" s="113"/>
      <c r="G37" s="117">
        <f>I23</f>
        <v>22427473.327216774</v>
      </c>
      <c r="H37" s="89" t="s">
        <v>178</v>
      </c>
      <c r="I37" s="82"/>
    </row>
    <row r="38" spans="1:9" x14ac:dyDescent="0.25">
      <c r="D38" s="116" t="s">
        <v>46</v>
      </c>
      <c r="E38" s="75" t="s">
        <v>47</v>
      </c>
      <c r="F38" s="75"/>
      <c r="G38" s="117">
        <f>I24</f>
        <v>10140103.249080425</v>
      </c>
      <c r="H38" s="89" t="s">
        <v>179</v>
      </c>
      <c r="I38" s="82"/>
    </row>
    <row r="39" spans="1:9" x14ac:dyDescent="0.25">
      <c r="C39" s="113"/>
      <c r="D39" s="116" t="s">
        <v>48</v>
      </c>
      <c r="E39" s="75" t="s">
        <v>171</v>
      </c>
      <c r="F39" s="75"/>
      <c r="G39" s="118">
        <f>I25</f>
        <v>33565144.913702808</v>
      </c>
      <c r="H39" s="89" t="s">
        <v>180</v>
      </c>
      <c r="I39" s="82"/>
    </row>
    <row r="40" spans="1:9" x14ac:dyDescent="0.25">
      <c r="C40" s="113"/>
      <c r="D40" s="116"/>
      <c r="E40" s="119" t="s">
        <v>51</v>
      </c>
      <c r="F40" s="119"/>
      <c r="G40" s="120">
        <f>SUM(G37:G39)</f>
        <v>66132721.49000001</v>
      </c>
      <c r="I40" s="82"/>
    </row>
    <row r="41" spans="1:9" x14ac:dyDescent="0.25">
      <c r="D41" s="113"/>
    </row>
    <row r="42" spans="1:9" x14ac:dyDescent="0.25">
      <c r="A42" s="1" t="s">
        <v>181</v>
      </c>
    </row>
    <row r="44" spans="1:9" x14ac:dyDescent="0.25">
      <c r="B44" s="67" t="s">
        <v>182</v>
      </c>
    </row>
    <row r="45" spans="1:9" x14ac:dyDescent="0.25">
      <c r="B45" s="67"/>
      <c r="C45" s="113"/>
      <c r="F45" s="6" t="s">
        <v>147</v>
      </c>
    </row>
    <row r="46" spans="1:9" x14ac:dyDescent="0.25">
      <c r="C46" s="70" t="s">
        <v>15</v>
      </c>
      <c r="D46" s="40" t="s">
        <v>75</v>
      </c>
      <c r="E46" s="77" t="s">
        <v>30</v>
      </c>
      <c r="F46" s="40" t="s">
        <v>133</v>
      </c>
      <c r="H46" s="22"/>
    </row>
    <row r="47" spans="1:9" x14ac:dyDescent="0.25">
      <c r="C47" s="78">
        <v>1</v>
      </c>
      <c r="D47" s="79" t="s">
        <v>183</v>
      </c>
      <c r="E47" s="80">
        <v>3894022.78</v>
      </c>
      <c r="F47" s="81" t="s">
        <v>184</v>
      </c>
      <c r="G47" s="82"/>
      <c r="H47" s="22"/>
      <c r="I47" s="83"/>
    </row>
    <row r="48" spans="1:9" x14ac:dyDescent="0.25">
      <c r="C48" s="78">
        <v>2</v>
      </c>
      <c r="D48" s="79" t="s">
        <v>150</v>
      </c>
      <c r="E48" s="121">
        <f>E11</f>
        <v>0.39800000000000002</v>
      </c>
      <c r="F48" s="85" t="s">
        <v>185</v>
      </c>
      <c r="G48" s="7">
        <f>G11</f>
        <v>2015</v>
      </c>
      <c r="H48" s="22"/>
      <c r="I48" s="83"/>
    </row>
    <row r="49" spans="2:10" x14ac:dyDescent="0.25">
      <c r="C49" s="78">
        <v>3</v>
      </c>
      <c r="D49" s="79" t="s">
        <v>186</v>
      </c>
      <c r="E49" s="33">
        <f>ROUND(E47*E48, 0)</f>
        <v>1549821</v>
      </c>
      <c r="F49" s="81" t="s">
        <v>153</v>
      </c>
      <c r="H49" s="22"/>
      <c r="I49" s="83"/>
    </row>
    <row r="50" spans="2:10" x14ac:dyDescent="0.25">
      <c r="C50" s="22"/>
      <c r="H50" s="88"/>
      <c r="I50" s="50"/>
    </row>
    <row r="52" spans="2:10" x14ac:dyDescent="0.25">
      <c r="B52" s="1" t="s">
        <v>187</v>
      </c>
    </row>
    <row r="53" spans="2:10" x14ac:dyDescent="0.25">
      <c r="B53" s="1"/>
    </row>
    <row r="54" spans="2:10" x14ac:dyDescent="0.25">
      <c r="B54" s="1"/>
      <c r="C54" s="70" t="s">
        <v>15</v>
      </c>
    </row>
    <row r="55" spans="2:10" ht="15.75" thickBot="1" x14ac:dyDescent="0.3">
      <c r="B55" s="1"/>
      <c r="C55" s="12">
        <v>1</v>
      </c>
      <c r="D55" t="s">
        <v>188</v>
      </c>
      <c r="E55" s="122">
        <f>E61</f>
        <v>3389811</v>
      </c>
      <c r="F55" s="81" t="s">
        <v>189</v>
      </c>
    </row>
    <row r="56" spans="2:10" ht="15.75" thickBot="1" x14ac:dyDescent="0.3">
      <c r="B56" s="1"/>
      <c r="C56" s="12">
        <v>2</v>
      </c>
      <c r="D56" t="s">
        <v>190</v>
      </c>
      <c r="E56" s="188">
        <f>'[14]CPUC Authorized Incentive Comp'!Y24*1000</f>
        <v>3128606.6082545887</v>
      </c>
      <c r="F56" s="90" t="s">
        <v>191</v>
      </c>
      <c r="G56" s="82"/>
      <c r="H56" s="7">
        <f>G11</f>
        <v>2015</v>
      </c>
    </row>
    <row r="57" spans="2:10" x14ac:dyDescent="0.25">
      <c r="B57" s="1"/>
      <c r="C57" s="12">
        <v>3</v>
      </c>
      <c r="D57" t="s">
        <v>192</v>
      </c>
      <c r="E57" s="33">
        <f>IF(E55&lt;E56,E55,E56)</f>
        <v>3128606.6082545887</v>
      </c>
      <c r="F57" s="89" t="s">
        <v>160</v>
      </c>
      <c r="H57" s="82"/>
    </row>
    <row r="58" spans="2:10" x14ac:dyDescent="0.25">
      <c r="B58" s="1"/>
      <c r="C58" s="12"/>
      <c r="E58" s="33"/>
    </row>
    <row r="59" spans="2:10" ht="26.25" x14ac:dyDescent="0.25">
      <c r="C59" s="91"/>
      <c r="D59" s="92" t="s">
        <v>161</v>
      </c>
      <c r="E59" s="93" t="s">
        <v>162</v>
      </c>
      <c r="F59" s="93" t="s">
        <v>163</v>
      </c>
      <c r="G59" s="93" t="s">
        <v>192</v>
      </c>
      <c r="H59" s="94" t="s">
        <v>193</v>
      </c>
      <c r="I59" s="93" t="s">
        <v>194</v>
      </c>
    </row>
    <row r="60" spans="2:10" x14ac:dyDescent="0.25">
      <c r="D60" s="123"/>
      <c r="E60" s="12" t="s">
        <v>195</v>
      </c>
      <c r="F60" s="96" t="s">
        <v>196</v>
      </c>
      <c r="G60" s="12" t="s">
        <v>197</v>
      </c>
      <c r="H60" s="98" t="s">
        <v>198</v>
      </c>
      <c r="I60" s="96" t="s">
        <v>199</v>
      </c>
    </row>
    <row r="61" spans="2:10" x14ac:dyDescent="0.25">
      <c r="C61" s="99">
        <v>4</v>
      </c>
      <c r="D61" s="123" t="s">
        <v>43</v>
      </c>
      <c r="E61" s="100">
        <v>3389811</v>
      </c>
      <c r="F61" s="101">
        <v>1</v>
      </c>
      <c r="G61" s="102">
        <f>F61*$E$57</f>
        <v>3128606.6082545887</v>
      </c>
      <c r="H61" s="106">
        <f>E49*F61</f>
        <v>1549821</v>
      </c>
      <c r="I61" s="104">
        <f>G61-H61</f>
        <v>1578785.6082545887</v>
      </c>
      <c r="J61" s="82"/>
    </row>
    <row r="62" spans="2:10" x14ac:dyDescent="0.25">
      <c r="C62" s="99"/>
      <c r="D62" s="123"/>
      <c r="E62" s="110"/>
      <c r="F62" s="101"/>
      <c r="G62" s="102"/>
      <c r="H62" s="106"/>
      <c r="I62" s="104"/>
      <c r="J62" s="82"/>
    </row>
    <row r="63" spans="2:10" x14ac:dyDescent="0.25">
      <c r="C63" s="111" t="s">
        <v>200</v>
      </c>
      <c r="D63" s="123"/>
      <c r="E63" s="110"/>
      <c r="F63" s="101"/>
      <c r="G63" s="102"/>
      <c r="H63" s="124"/>
      <c r="I63" s="104"/>
    </row>
    <row r="65" spans="1:9" x14ac:dyDescent="0.25">
      <c r="A65" s="1" t="s">
        <v>201</v>
      </c>
    </row>
    <row r="66" spans="1:9" x14ac:dyDescent="0.25">
      <c r="B66" s="1"/>
    </row>
    <row r="67" spans="1:9" x14ac:dyDescent="0.25">
      <c r="B67" s="1" t="s">
        <v>202</v>
      </c>
    </row>
    <row r="68" spans="1:9" x14ac:dyDescent="0.25">
      <c r="B68" s="1"/>
      <c r="F68" s="6" t="s">
        <v>147</v>
      </c>
    </row>
    <row r="69" spans="1:9" x14ac:dyDescent="0.25">
      <c r="B69" s="1"/>
      <c r="C69" s="70" t="s">
        <v>15</v>
      </c>
      <c r="F69" s="40" t="s">
        <v>133</v>
      </c>
    </row>
    <row r="70" spans="1:9" x14ac:dyDescent="0.25">
      <c r="B70" s="1"/>
      <c r="C70" s="12">
        <v>1</v>
      </c>
      <c r="D70" t="s">
        <v>203</v>
      </c>
      <c r="E70" s="14">
        <v>16767023.379999999</v>
      </c>
      <c r="F70" s="81" t="s">
        <v>184</v>
      </c>
      <c r="I70" s="50"/>
    </row>
    <row r="71" spans="1:9" x14ac:dyDescent="0.25">
      <c r="B71" s="1"/>
      <c r="C71" s="12">
        <v>2</v>
      </c>
      <c r="D71" t="s">
        <v>204</v>
      </c>
      <c r="E71" s="36">
        <v>0</v>
      </c>
      <c r="F71" s="90" t="s">
        <v>205</v>
      </c>
      <c r="G71" s="82"/>
    </row>
    <row r="72" spans="1:9" x14ac:dyDescent="0.25">
      <c r="B72" s="1"/>
      <c r="C72" s="12">
        <v>3</v>
      </c>
      <c r="D72" t="s">
        <v>206</v>
      </c>
      <c r="E72" s="33">
        <f>IF(E70&lt;E71,E70,E71)</f>
        <v>0</v>
      </c>
      <c r="F72" s="89" t="s">
        <v>207</v>
      </c>
      <c r="H72" s="82"/>
    </row>
    <row r="73" spans="1:9" x14ac:dyDescent="0.25">
      <c r="B73" s="1"/>
      <c r="C73" s="12"/>
      <c r="E73" s="33"/>
    </row>
    <row r="74" spans="1:9" x14ac:dyDescent="0.25">
      <c r="B74" s="1"/>
      <c r="C74" s="125" t="s">
        <v>208</v>
      </c>
      <c r="E74" s="33"/>
    </row>
    <row r="75" spans="1:9" x14ac:dyDescent="0.25">
      <c r="B75" s="1"/>
      <c r="C75" s="12"/>
      <c r="E75" s="33"/>
    </row>
    <row r="76" spans="1:9" x14ac:dyDescent="0.25">
      <c r="A76" s="1" t="s">
        <v>209</v>
      </c>
    </row>
    <row r="78" spans="1:9" x14ac:dyDescent="0.25">
      <c r="B78" s="67" t="s">
        <v>210</v>
      </c>
    </row>
    <row r="79" spans="1:9" x14ac:dyDescent="0.25">
      <c r="B79" s="67"/>
      <c r="F79" s="6" t="s">
        <v>147</v>
      </c>
    </row>
    <row r="80" spans="1:9" x14ac:dyDescent="0.25">
      <c r="C80" s="70" t="s">
        <v>15</v>
      </c>
      <c r="D80" s="40" t="s">
        <v>75</v>
      </c>
      <c r="E80" s="77" t="s">
        <v>30</v>
      </c>
      <c r="F80" s="40" t="s">
        <v>133</v>
      </c>
      <c r="H80" s="22"/>
    </row>
    <row r="81" spans="2:10" x14ac:dyDescent="0.25">
      <c r="C81" s="78">
        <v>1</v>
      </c>
      <c r="D81" s="79" t="s">
        <v>211</v>
      </c>
      <c r="E81" s="80">
        <v>15341689.68</v>
      </c>
      <c r="F81" s="81" t="s">
        <v>212</v>
      </c>
      <c r="G81" s="82"/>
      <c r="H81" s="22"/>
      <c r="I81" s="83"/>
    </row>
    <row r="82" spans="2:10" x14ac:dyDescent="0.25">
      <c r="C82" s="78">
        <v>2</v>
      </c>
      <c r="D82" s="79" t="s">
        <v>150</v>
      </c>
      <c r="E82" s="126">
        <v>0.39800000000000002</v>
      </c>
      <c r="F82" s="89" t="s">
        <v>213</v>
      </c>
      <c r="G82" s="22">
        <f>G11</f>
        <v>2015</v>
      </c>
      <c r="H82" s="22"/>
      <c r="I82" s="83"/>
    </row>
    <row r="83" spans="2:10" x14ac:dyDescent="0.25">
      <c r="C83" s="78">
        <v>3</v>
      </c>
      <c r="D83" s="79" t="s">
        <v>214</v>
      </c>
      <c r="E83" s="33">
        <f>ROUND(E81*E82, 0)</f>
        <v>6105992</v>
      </c>
      <c r="F83" s="81" t="s">
        <v>153</v>
      </c>
      <c r="G83" s="82"/>
      <c r="H83" s="22"/>
      <c r="I83" s="83"/>
    </row>
    <row r="84" spans="2:10" x14ac:dyDescent="0.25">
      <c r="C84" s="22"/>
      <c r="H84" s="88"/>
      <c r="I84" s="50"/>
    </row>
    <row r="86" spans="2:10" x14ac:dyDescent="0.25">
      <c r="B86" s="1" t="s">
        <v>215</v>
      </c>
    </row>
    <row r="87" spans="2:10" x14ac:dyDescent="0.25">
      <c r="B87" s="1"/>
      <c r="F87" s="6" t="s">
        <v>147</v>
      </c>
    </row>
    <row r="88" spans="2:10" x14ac:dyDescent="0.25">
      <c r="B88" s="1"/>
      <c r="C88" s="70" t="s">
        <v>15</v>
      </c>
      <c r="F88" s="40" t="s">
        <v>133</v>
      </c>
    </row>
    <row r="89" spans="2:10" ht="15.75" thickBot="1" x14ac:dyDescent="0.3">
      <c r="B89" s="1"/>
      <c r="C89" s="12">
        <v>1</v>
      </c>
      <c r="D89" t="s">
        <v>216</v>
      </c>
      <c r="E89" s="33">
        <f>E95</f>
        <v>15341689.68</v>
      </c>
      <c r="F89" t="s">
        <v>217</v>
      </c>
    </row>
    <row r="90" spans="2:10" ht="15.75" thickBot="1" x14ac:dyDescent="0.3">
      <c r="B90" s="1"/>
      <c r="C90" s="12">
        <v>2</v>
      </c>
      <c r="D90" t="s">
        <v>218</v>
      </c>
      <c r="E90" s="188">
        <f>'[14]CPUC Authorized Incentive Comp'!Y36*1000</f>
        <v>8797679.4026859701</v>
      </c>
      <c r="F90" s="109" t="s">
        <v>191</v>
      </c>
      <c r="H90" s="22">
        <f>G11</f>
        <v>2015</v>
      </c>
    </row>
    <row r="91" spans="2:10" x14ac:dyDescent="0.25">
      <c r="B91" s="1"/>
      <c r="C91" s="12">
        <v>3</v>
      </c>
      <c r="D91" t="s">
        <v>219</v>
      </c>
      <c r="E91" s="33">
        <f>IF(E89&lt;E90,E89,E90)</f>
        <v>8797679.4026859701</v>
      </c>
      <c r="F91" s="22" t="s">
        <v>160</v>
      </c>
      <c r="H91" s="82"/>
    </row>
    <row r="92" spans="2:10" x14ac:dyDescent="0.25">
      <c r="B92" s="1"/>
      <c r="C92" s="12"/>
      <c r="E92" s="33"/>
    </row>
    <row r="93" spans="2:10" ht="26.25" x14ac:dyDescent="0.25">
      <c r="C93" s="91"/>
      <c r="D93" s="92" t="s">
        <v>161</v>
      </c>
      <c r="E93" s="93" t="s">
        <v>220</v>
      </c>
      <c r="F93" s="93" t="s">
        <v>221</v>
      </c>
      <c r="G93" s="93" t="s">
        <v>219</v>
      </c>
      <c r="H93" s="94" t="s">
        <v>222</v>
      </c>
      <c r="I93" s="93" t="s">
        <v>223</v>
      </c>
    </row>
    <row r="94" spans="2:10" x14ac:dyDescent="0.25">
      <c r="D94" s="123"/>
      <c r="E94" s="12" t="s">
        <v>195</v>
      </c>
      <c r="F94" s="96" t="s">
        <v>196</v>
      </c>
      <c r="G94" s="12" t="s">
        <v>224</v>
      </c>
      <c r="H94" s="98" t="s">
        <v>225</v>
      </c>
      <c r="I94" s="96" t="s">
        <v>199</v>
      </c>
    </row>
    <row r="95" spans="2:10" x14ac:dyDescent="0.25">
      <c r="C95" s="99">
        <v>4</v>
      </c>
      <c r="D95" s="95" t="s">
        <v>43</v>
      </c>
      <c r="E95" s="100">
        <v>15341689.68</v>
      </c>
      <c r="F95" s="101">
        <v>1</v>
      </c>
      <c r="G95" s="102">
        <f>F95*E91</f>
        <v>8797679.4026859701</v>
      </c>
      <c r="H95" s="106">
        <f>E83*F95</f>
        <v>6105992</v>
      </c>
      <c r="I95" s="104">
        <f>G95-H95</f>
        <v>2691687.4026859701</v>
      </c>
      <c r="J95" s="82"/>
    </row>
    <row r="96" spans="2:10" x14ac:dyDescent="0.25">
      <c r="C96" s="99"/>
      <c r="D96" s="123"/>
      <c r="E96" s="110"/>
      <c r="F96" s="101"/>
      <c r="G96" s="102"/>
      <c r="H96" s="106"/>
      <c r="I96" s="104"/>
      <c r="J96" s="82"/>
    </row>
    <row r="97" spans="1:10" x14ac:dyDescent="0.25">
      <c r="C97" s="111" t="s">
        <v>226</v>
      </c>
      <c r="D97" s="123"/>
      <c r="E97" s="110"/>
      <c r="F97" s="101"/>
      <c r="G97" s="102"/>
      <c r="H97" s="106"/>
      <c r="I97" s="104"/>
      <c r="J97" s="82"/>
    </row>
    <row r="98" spans="1:10" x14ac:dyDescent="0.25">
      <c r="C98" s="111" t="s">
        <v>227</v>
      </c>
      <c r="D98" s="123"/>
      <c r="E98" s="110"/>
      <c r="F98" s="101"/>
      <c r="G98" s="102"/>
      <c r="H98" s="106"/>
      <c r="I98" s="104"/>
      <c r="J98" s="82"/>
    </row>
    <row r="99" spans="1:10" x14ac:dyDescent="0.25">
      <c r="C99" s="112"/>
      <c r="D99" s="123"/>
      <c r="E99" s="110"/>
      <c r="F99" s="101"/>
      <c r="G99" s="102"/>
      <c r="H99" s="106"/>
      <c r="I99" s="104"/>
      <c r="J99" s="82"/>
    </row>
    <row r="100" spans="1:10" x14ac:dyDescent="0.25">
      <c r="B100" s="127"/>
      <c r="C100" s="111" t="s">
        <v>228</v>
      </c>
      <c r="D100" s="7"/>
      <c r="E100" s="7"/>
      <c r="F100" s="7"/>
      <c r="G100" s="7"/>
      <c r="H100" s="124"/>
      <c r="I100" s="7"/>
    </row>
    <row r="101" spans="1:10" x14ac:dyDescent="0.25">
      <c r="B101" s="127"/>
      <c r="C101" s="112"/>
      <c r="D101" s="7"/>
      <c r="E101" s="7"/>
      <c r="F101" s="7"/>
      <c r="G101" s="7"/>
      <c r="H101" s="124"/>
      <c r="I101" s="7"/>
    </row>
    <row r="102" spans="1:10" x14ac:dyDescent="0.25">
      <c r="A102" s="1" t="s">
        <v>229</v>
      </c>
      <c r="B102" s="127"/>
      <c r="C102" s="7"/>
      <c r="D102" s="7"/>
      <c r="E102" s="7"/>
      <c r="F102" s="7"/>
      <c r="G102" s="7"/>
      <c r="H102" s="7"/>
      <c r="I102" s="7"/>
    </row>
    <row r="103" spans="1:10" x14ac:dyDescent="0.25">
      <c r="B103" s="127"/>
      <c r="C103" s="7"/>
      <c r="D103" s="7"/>
      <c r="E103" s="7"/>
      <c r="F103" s="7"/>
      <c r="G103" s="7"/>
      <c r="H103" s="7"/>
      <c r="I103" s="7"/>
    </row>
    <row r="104" spans="1:10" x14ac:dyDescent="0.25">
      <c r="B104" s="127" t="s">
        <v>230</v>
      </c>
      <c r="C104" s="7"/>
      <c r="D104" s="7"/>
      <c r="E104" s="7"/>
      <c r="F104" s="7"/>
      <c r="G104" s="7"/>
      <c r="H104" s="7"/>
      <c r="I104" s="7"/>
    </row>
    <row r="105" spans="1:10" x14ac:dyDescent="0.25">
      <c r="B105" s="127"/>
      <c r="C105" s="70" t="s">
        <v>15</v>
      </c>
      <c r="F105" s="128" t="s">
        <v>31</v>
      </c>
      <c r="G105" s="7"/>
      <c r="H105" s="7"/>
      <c r="I105" s="7"/>
    </row>
    <row r="106" spans="1:10" x14ac:dyDescent="0.25">
      <c r="B106" s="127"/>
      <c r="C106" s="19">
        <v>1</v>
      </c>
      <c r="D106" s="7" t="s">
        <v>231</v>
      </c>
      <c r="E106" s="36">
        <f>E47</f>
        <v>3894022.78</v>
      </c>
      <c r="F106" s="129" t="s">
        <v>232</v>
      </c>
      <c r="G106" s="130"/>
      <c r="H106" s="7"/>
      <c r="I106" s="7"/>
    </row>
    <row r="107" spans="1:10" x14ac:dyDescent="0.25">
      <c r="B107" s="127"/>
      <c r="C107" s="19">
        <v>2</v>
      </c>
      <c r="D107" s="7" t="s">
        <v>233</v>
      </c>
      <c r="E107" s="36">
        <f>-I61</f>
        <v>-1578785.6082545887</v>
      </c>
      <c r="F107" s="129" t="s">
        <v>234</v>
      </c>
      <c r="G107" s="7"/>
      <c r="H107" s="7"/>
      <c r="I107" s="7"/>
    </row>
    <row r="108" spans="1:10" x14ac:dyDescent="0.25">
      <c r="B108" s="127"/>
      <c r="C108" s="19">
        <f>C107+1</f>
        <v>3</v>
      </c>
      <c r="D108" s="7" t="s">
        <v>235</v>
      </c>
      <c r="E108" s="45">
        <f>E70</f>
        <v>16767023.379999999</v>
      </c>
      <c r="F108" s="129" t="s">
        <v>236</v>
      </c>
      <c r="G108" s="7"/>
      <c r="H108" s="7"/>
      <c r="I108" s="7"/>
    </row>
    <row r="109" spans="1:10" x14ac:dyDescent="0.25">
      <c r="B109" s="127"/>
      <c r="C109" s="19">
        <f>C108+1</f>
        <v>4</v>
      </c>
      <c r="D109" s="7" t="s">
        <v>10</v>
      </c>
      <c r="E109" s="36">
        <f>SUM(E106:E108)</f>
        <v>19082260.551745411</v>
      </c>
      <c r="F109" s="7"/>
      <c r="G109" s="7"/>
      <c r="H109" s="7"/>
      <c r="I109" s="7"/>
    </row>
    <row r="110" spans="1:10" x14ac:dyDescent="0.25">
      <c r="B110" s="127"/>
      <c r="C110" s="19"/>
      <c r="F110" s="7"/>
      <c r="G110" s="7"/>
      <c r="H110" s="7"/>
      <c r="I110" s="7"/>
    </row>
    <row r="111" spans="1:10" x14ac:dyDescent="0.25">
      <c r="B111" s="127" t="s">
        <v>237</v>
      </c>
      <c r="C111" s="7"/>
      <c r="D111" s="7"/>
      <c r="E111" s="7"/>
      <c r="G111" s="7"/>
      <c r="H111" s="7"/>
      <c r="I111" s="7"/>
    </row>
    <row r="112" spans="1:10" x14ac:dyDescent="0.25">
      <c r="B112" s="127"/>
      <c r="C112" s="70" t="s">
        <v>15</v>
      </c>
      <c r="D112" s="7"/>
      <c r="E112" s="7"/>
      <c r="F112" s="128" t="s">
        <v>31</v>
      </c>
      <c r="G112" s="7"/>
      <c r="H112" s="7"/>
      <c r="I112" s="7"/>
    </row>
    <row r="113" spans="1:9" x14ac:dyDescent="0.25">
      <c r="B113" s="127"/>
      <c r="C113" s="19">
        <v>1</v>
      </c>
      <c r="D113" s="7" t="s">
        <v>152</v>
      </c>
      <c r="E113" s="36">
        <f>E12</f>
        <v>41316907</v>
      </c>
      <c r="F113" s="131" t="s">
        <v>238</v>
      </c>
      <c r="G113" s="7"/>
      <c r="H113" s="7"/>
      <c r="I113" s="7"/>
    </row>
    <row r="114" spans="1:9" x14ac:dyDescent="0.25">
      <c r="B114" s="127"/>
      <c r="C114" s="19">
        <v>2</v>
      </c>
      <c r="D114" s="7" t="s">
        <v>186</v>
      </c>
      <c r="E114" s="36">
        <f>E49</f>
        <v>1549821</v>
      </c>
      <c r="F114" s="131" t="s">
        <v>239</v>
      </c>
      <c r="G114" s="7"/>
      <c r="H114" s="7"/>
      <c r="I114" s="7"/>
    </row>
    <row r="115" spans="1:9" x14ac:dyDescent="0.25">
      <c r="B115" s="127"/>
      <c r="C115" s="19">
        <f>C114+1</f>
        <v>3</v>
      </c>
      <c r="D115" s="7" t="s">
        <v>214</v>
      </c>
      <c r="E115" s="132">
        <f>E83</f>
        <v>6105992</v>
      </c>
      <c r="F115" s="131" t="s">
        <v>240</v>
      </c>
      <c r="G115" s="7"/>
      <c r="H115" s="7"/>
      <c r="I115" s="7"/>
    </row>
    <row r="116" spans="1:9" x14ac:dyDescent="0.25">
      <c r="B116" s="127"/>
      <c r="C116" s="19">
        <v>4</v>
      </c>
      <c r="D116" s="52" t="s">
        <v>10</v>
      </c>
      <c r="E116" s="54">
        <f>SUM(E113:E115)</f>
        <v>48972720</v>
      </c>
      <c r="F116" s="131"/>
      <c r="G116" s="7"/>
      <c r="H116" s="7"/>
      <c r="I116" s="7"/>
    </row>
    <row r="117" spans="1:9" x14ac:dyDescent="0.25">
      <c r="B117" s="127"/>
      <c r="C117" s="7"/>
      <c r="D117" s="7"/>
      <c r="E117" s="36"/>
      <c r="F117" s="131"/>
      <c r="G117" s="130"/>
      <c r="H117" s="7"/>
      <c r="I117" s="7"/>
    </row>
    <row r="118" spans="1:9" x14ac:dyDescent="0.25">
      <c r="B118" s="127" t="s">
        <v>241</v>
      </c>
      <c r="C118" s="7"/>
      <c r="D118" s="7"/>
      <c r="E118" s="7"/>
      <c r="F118" s="7"/>
      <c r="G118" s="7"/>
      <c r="H118" s="7"/>
      <c r="I118" s="7"/>
    </row>
    <row r="119" spans="1:9" x14ac:dyDescent="0.25">
      <c r="B119" s="127"/>
      <c r="C119" s="70" t="s">
        <v>15</v>
      </c>
      <c r="D119" s="7"/>
      <c r="E119" s="7"/>
      <c r="F119" s="128" t="s">
        <v>31</v>
      </c>
      <c r="G119" s="7"/>
      <c r="H119" s="7"/>
      <c r="I119" s="7"/>
    </row>
    <row r="120" spans="1:9" x14ac:dyDescent="0.25">
      <c r="B120" s="127"/>
      <c r="C120" s="19">
        <v>1</v>
      </c>
      <c r="D120" s="7" t="s">
        <v>242</v>
      </c>
      <c r="E120" s="36">
        <f>E81</f>
        <v>15341689.68</v>
      </c>
      <c r="F120" s="131" t="s">
        <v>243</v>
      </c>
      <c r="G120" s="130"/>
      <c r="H120" s="7"/>
      <c r="I120" s="7"/>
    </row>
    <row r="121" spans="1:9" x14ac:dyDescent="0.25">
      <c r="B121" s="127"/>
      <c r="C121" s="19">
        <v>2</v>
      </c>
      <c r="D121" s="7" t="s">
        <v>244</v>
      </c>
      <c r="E121" s="45">
        <f>-I95</f>
        <v>-2691687.4026859701</v>
      </c>
      <c r="F121" s="131" t="s">
        <v>245</v>
      </c>
      <c r="G121" s="7"/>
      <c r="H121" s="7"/>
      <c r="I121" s="7"/>
    </row>
    <row r="122" spans="1:9" x14ac:dyDescent="0.25">
      <c r="B122" s="127"/>
      <c r="C122" s="19">
        <v>3</v>
      </c>
      <c r="D122" s="7" t="s">
        <v>10</v>
      </c>
      <c r="E122" s="36">
        <f>SUM(E120:E121)</f>
        <v>12650002.27731403</v>
      </c>
      <c r="F122" s="7"/>
      <c r="G122" s="7"/>
      <c r="H122" s="7"/>
      <c r="I122" s="7"/>
    </row>
    <row r="123" spans="1:9" x14ac:dyDescent="0.25">
      <c r="B123" s="127"/>
      <c r="C123" s="7"/>
      <c r="D123" s="7"/>
      <c r="E123" s="7"/>
      <c r="F123" s="7"/>
      <c r="G123" s="7"/>
      <c r="H123" s="7"/>
      <c r="I123" s="7"/>
    </row>
    <row r="124" spans="1:9" x14ac:dyDescent="0.25">
      <c r="A124" s="1" t="s">
        <v>246</v>
      </c>
      <c r="B124" s="127"/>
      <c r="C124" s="7"/>
      <c r="D124" s="7"/>
      <c r="E124" s="7"/>
      <c r="F124" s="7"/>
      <c r="G124" s="7"/>
      <c r="H124" s="7"/>
      <c r="I124" s="7"/>
    </row>
    <row r="125" spans="1:9" x14ac:dyDescent="0.25">
      <c r="A125" s="1"/>
      <c r="B125" s="127" t="s">
        <v>247</v>
      </c>
      <c r="C125" s="7"/>
      <c r="D125" s="7"/>
      <c r="E125" s="7"/>
      <c r="F125" s="7"/>
      <c r="G125" s="7"/>
      <c r="H125" s="7"/>
      <c r="I125" s="7"/>
    </row>
    <row r="126" spans="1:9" x14ac:dyDescent="0.25">
      <c r="B126" s="127"/>
      <c r="C126" s="7"/>
      <c r="D126" s="7"/>
      <c r="E126" s="7"/>
      <c r="F126" s="7"/>
      <c r="G126" s="7"/>
      <c r="H126" s="7"/>
      <c r="I126" s="7"/>
    </row>
    <row r="127" spans="1:9" x14ac:dyDescent="0.25">
      <c r="B127" s="70" t="s">
        <v>15</v>
      </c>
      <c r="C127" s="70" t="s">
        <v>16</v>
      </c>
      <c r="D127" s="133" t="s">
        <v>248</v>
      </c>
      <c r="E127" s="133" t="s">
        <v>249</v>
      </c>
      <c r="F127" s="40" t="s">
        <v>250</v>
      </c>
      <c r="G127" s="7"/>
      <c r="H127" s="7"/>
      <c r="I127" s="7"/>
    </row>
    <row r="128" spans="1:9" x14ac:dyDescent="0.25">
      <c r="B128" s="71">
        <v>1</v>
      </c>
      <c r="C128" s="43">
        <v>920</v>
      </c>
      <c r="D128" s="134"/>
      <c r="E128" s="134">
        <v>295671</v>
      </c>
      <c r="F128" s="36">
        <f>SUM(D128:E128)</f>
        <v>295671</v>
      </c>
      <c r="G128" s="7"/>
      <c r="H128" s="7"/>
      <c r="I128" s="7"/>
    </row>
    <row r="129" spans="1:9" x14ac:dyDescent="0.25">
      <c r="B129" s="71">
        <v>2</v>
      </c>
      <c r="C129" s="43">
        <v>921</v>
      </c>
      <c r="D129" s="134">
        <v>258150</v>
      </c>
      <c r="E129" s="134"/>
      <c r="F129" s="36">
        <f t="shared" ref="F129:F139" si="0">SUM(D129:E129)</f>
        <v>258150</v>
      </c>
      <c r="G129" s="7"/>
      <c r="H129" s="7"/>
      <c r="I129" s="7"/>
    </row>
    <row r="130" spans="1:9" x14ac:dyDescent="0.25">
      <c r="B130" s="71">
        <v>3</v>
      </c>
      <c r="C130" s="43">
        <v>922</v>
      </c>
      <c r="D130" s="134"/>
      <c r="E130" s="134"/>
      <c r="F130" s="36">
        <f t="shared" si="0"/>
        <v>0</v>
      </c>
      <c r="G130" s="7"/>
      <c r="H130" s="7"/>
      <c r="I130" s="7"/>
    </row>
    <row r="131" spans="1:9" x14ac:dyDescent="0.25">
      <c r="B131" s="71">
        <v>4</v>
      </c>
      <c r="C131" s="43">
        <v>923</v>
      </c>
      <c r="D131" s="134"/>
      <c r="E131" s="134"/>
      <c r="F131" s="36">
        <f t="shared" si="0"/>
        <v>0</v>
      </c>
      <c r="G131" s="7"/>
      <c r="H131" s="7"/>
      <c r="I131" s="7"/>
    </row>
    <row r="132" spans="1:9" x14ac:dyDescent="0.25">
      <c r="B132" s="71">
        <v>5</v>
      </c>
      <c r="C132" s="43">
        <v>924</v>
      </c>
      <c r="D132" s="134"/>
      <c r="E132" s="134"/>
      <c r="F132" s="36">
        <f t="shared" si="0"/>
        <v>0</v>
      </c>
      <c r="G132" s="7"/>
      <c r="H132" s="7"/>
      <c r="I132" s="7"/>
    </row>
    <row r="133" spans="1:9" x14ac:dyDescent="0.25">
      <c r="B133" s="71">
        <v>6</v>
      </c>
      <c r="C133" s="43">
        <v>925</v>
      </c>
      <c r="D133" s="134"/>
      <c r="E133" s="134">
        <v>1497</v>
      </c>
      <c r="F133" s="36">
        <f t="shared" si="0"/>
        <v>1497</v>
      </c>
      <c r="G133" s="7"/>
      <c r="H133" s="7"/>
      <c r="I133" s="7"/>
    </row>
    <row r="134" spans="1:9" x14ac:dyDescent="0.25">
      <c r="B134" s="71">
        <v>7</v>
      </c>
      <c r="C134" s="43">
        <v>926</v>
      </c>
      <c r="D134" s="134">
        <v>75</v>
      </c>
      <c r="E134" s="134">
        <v>6750</v>
      </c>
      <c r="F134" s="36">
        <f t="shared" si="0"/>
        <v>6825</v>
      </c>
      <c r="G134" s="7"/>
      <c r="H134" s="7"/>
      <c r="I134" s="7"/>
    </row>
    <row r="135" spans="1:9" x14ac:dyDescent="0.25">
      <c r="B135" s="71">
        <v>8</v>
      </c>
      <c r="C135" s="71">
        <v>928</v>
      </c>
      <c r="D135" s="134"/>
      <c r="E135" s="134"/>
      <c r="F135" s="36">
        <f t="shared" si="0"/>
        <v>0</v>
      </c>
      <c r="G135" s="7"/>
      <c r="H135" s="7"/>
      <c r="I135" s="7"/>
    </row>
    <row r="136" spans="1:9" x14ac:dyDescent="0.25">
      <c r="B136" s="71">
        <v>9</v>
      </c>
      <c r="C136" s="71">
        <v>929</v>
      </c>
      <c r="D136" s="134"/>
      <c r="E136" s="134"/>
      <c r="F136" s="36">
        <f t="shared" si="0"/>
        <v>0</v>
      </c>
      <c r="G136" s="7"/>
      <c r="H136" s="7"/>
      <c r="I136" s="7"/>
    </row>
    <row r="137" spans="1:9" x14ac:dyDescent="0.25">
      <c r="B137" s="71">
        <v>10</v>
      </c>
      <c r="C137" s="71">
        <v>930.1</v>
      </c>
      <c r="D137" s="134"/>
      <c r="E137" s="134"/>
      <c r="F137" s="36">
        <f t="shared" si="0"/>
        <v>0</v>
      </c>
      <c r="G137" s="7"/>
      <c r="H137" s="7"/>
      <c r="I137" s="7"/>
    </row>
    <row r="138" spans="1:9" x14ac:dyDescent="0.25">
      <c r="B138" s="71">
        <v>11</v>
      </c>
      <c r="C138" s="71">
        <v>930.2</v>
      </c>
      <c r="D138" s="134"/>
      <c r="E138" s="14"/>
      <c r="F138" s="36">
        <f t="shared" si="0"/>
        <v>0</v>
      </c>
      <c r="G138" s="7"/>
      <c r="H138" s="7"/>
      <c r="I138" s="7"/>
    </row>
    <row r="139" spans="1:9" x14ac:dyDescent="0.25">
      <c r="B139" s="43">
        <v>12</v>
      </c>
      <c r="C139" s="71">
        <v>931</v>
      </c>
      <c r="D139" s="134"/>
      <c r="E139" s="14"/>
      <c r="F139" s="36">
        <f t="shared" si="0"/>
        <v>0</v>
      </c>
      <c r="G139" s="7"/>
      <c r="H139" s="7"/>
      <c r="I139" s="7"/>
    </row>
    <row r="140" spans="1:9" x14ac:dyDescent="0.25">
      <c r="B140" s="43">
        <v>13</v>
      </c>
      <c r="C140" s="71">
        <v>935</v>
      </c>
      <c r="D140" s="134"/>
      <c r="E140" s="14"/>
      <c r="F140" s="45">
        <f>SUM(D140:E140)</f>
        <v>0</v>
      </c>
      <c r="G140" s="7"/>
      <c r="H140" s="7"/>
      <c r="I140" s="7"/>
    </row>
    <row r="141" spans="1:9" x14ac:dyDescent="0.25">
      <c r="B141" s="127"/>
      <c r="C141" s="71"/>
      <c r="D141" s="33"/>
      <c r="E141" s="135" t="s">
        <v>251</v>
      </c>
      <c r="F141" s="36">
        <f>SUM(F128:F140)</f>
        <v>562143</v>
      </c>
      <c r="G141" s="7"/>
      <c r="H141" s="7"/>
      <c r="I141" s="7"/>
    </row>
    <row r="142" spans="1:9" x14ac:dyDescent="0.25">
      <c r="B142" s="127"/>
      <c r="C142" s="7"/>
      <c r="D142" s="7"/>
      <c r="E142" s="7"/>
      <c r="F142" s="7"/>
      <c r="G142" s="7"/>
      <c r="H142" s="7"/>
      <c r="I142" s="7"/>
    </row>
    <row r="143" spans="1:9" x14ac:dyDescent="0.25">
      <c r="A143" s="1" t="s">
        <v>252</v>
      </c>
      <c r="B143" s="127"/>
      <c r="C143" s="7"/>
      <c r="D143" s="7"/>
      <c r="E143" s="7"/>
      <c r="F143" s="7"/>
      <c r="G143" s="7"/>
      <c r="H143" s="7"/>
      <c r="I143" s="7"/>
    </row>
    <row r="144" spans="1:9" x14ac:dyDescent="0.25">
      <c r="B144" s="1" t="s">
        <v>253</v>
      </c>
      <c r="C144" s="1"/>
      <c r="D144" s="7"/>
      <c r="E144" s="7"/>
      <c r="F144" s="7"/>
      <c r="G144" s="7"/>
      <c r="H144" s="7"/>
      <c r="I144" s="7"/>
    </row>
    <row r="145" spans="2:9" x14ac:dyDescent="0.25">
      <c r="B145" s="39"/>
      <c r="C145" s="66" t="s">
        <v>131</v>
      </c>
      <c r="D145" s="7"/>
      <c r="E145" s="7"/>
      <c r="F145" s="7"/>
      <c r="G145" s="7"/>
      <c r="H145" s="7"/>
      <c r="I145" s="7"/>
    </row>
    <row r="146" spans="2:9" x14ac:dyDescent="0.25">
      <c r="D146" s="39"/>
      <c r="E146" s="3" t="s">
        <v>5</v>
      </c>
      <c r="F146" s="5"/>
      <c r="G146" s="3" t="s">
        <v>7</v>
      </c>
      <c r="H146" s="5"/>
    </row>
    <row r="147" spans="2:9" x14ac:dyDescent="0.25">
      <c r="D147" s="39"/>
      <c r="E147" s="4" t="s">
        <v>9</v>
      </c>
      <c r="F147" s="5"/>
      <c r="G147" s="3"/>
      <c r="H147" s="5"/>
    </row>
    <row r="148" spans="2:9" x14ac:dyDescent="0.25">
      <c r="B148" s="39"/>
      <c r="C148" s="39"/>
      <c r="D148" s="39"/>
      <c r="E148" s="4" t="s">
        <v>11</v>
      </c>
      <c r="F148" s="7"/>
      <c r="H148" s="7"/>
    </row>
    <row r="149" spans="2:9" x14ac:dyDescent="0.25">
      <c r="B149" s="39"/>
      <c r="C149" s="39"/>
      <c r="D149" s="39"/>
      <c r="E149" s="4" t="s">
        <v>13</v>
      </c>
      <c r="F149" s="4"/>
      <c r="G149" s="136"/>
      <c r="H149" s="4"/>
    </row>
    <row r="150" spans="2:9" ht="15.75" thickBot="1" x14ac:dyDescent="0.3">
      <c r="B150" s="39"/>
      <c r="C150" s="70" t="s">
        <v>15</v>
      </c>
      <c r="D150" s="70" t="s">
        <v>16</v>
      </c>
      <c r="E150" s="11" t="s">
        <v>18</v>
      </c>
      <c r="F150" s="40" t="s">
        <v>31</v>
      </c>
      <c r="G150" s="10" t="s">
        <v>20</v>
      </c>
      <c r="H150" s="40" t="s">
        <v>31</v>
      </c>
    </row>
    <row r="151" spans="2:9" ht="15.75" thickBot="1" x14ac:dyDescent="0.3">
      <c r="B151" s="39"/>
      <c r="C151" s="69">
        <v>24</v>
      </c>
      <c r="D151" s="43">
        <v>920</v>
      </c>
      <c r="E151" s="190">
        <f>E109+F128</f>
        <v>19377931.551745411</v>
      </c>
      <c r="F151" s="137" t="s">
        <v>254</v>
      </c>
      <c r="G151" s="36">
        <f>J176</f>
        <v>0</v>
      </c>
      <c r="H151" s="138" t="s">
        <v>255</v>
      </c>
    </row>
    <row r="152" spans="2:9" x14ac:dyDescent="0.25">
      <c r="B152" s="39"/>
      <c r="C152" s="69">
        <f>C151+1</f>
        <v>25</v>
      </c>
      <c r="D152" s="43">
        <v>921</v>
      </c>
      <c r="E152" s="13">
        <f>F129</f>
        <v>258150</v>
      </c>
      <c r="F152" s="137" t="s">
        <v>256</v>
      </c>
      <c r="G152" s="14">
        <v>0</v>
      </c>
      <c r="H152" s="139"/>
    </row>
    <row r="153" spans="2:9" x14ac:dyDescent="0.25">
      <c r="B153" s="39"/>
      <c r="C153" s="69">
        <f t="shared" ref="C153:C164" si="1">C152+1</f>
        <v>26</v>
      </c>
      <c r="D153" s="43">
        <v>922</v>
      </c>
      <c r="E153" s="21">
        <f>-(E114+E115)+F130</f>
        <v>-7655813</v>
      </c>
      <c r="F153" s="139" t="s">
        <v>257</v>
      </c>
      <c r="G153" s="14">
        <f>-E113</f>
        <v>-41316907</v>
      </c>
      <c r="H153" s="139" t="s">
        <v>258</v>
      </c>
    </row>
    <row r="154" spans="2:9" x14ac:dyDescent="0.25">
      <c r="B154" s="39"/>
      <c r="C154" s="69">
        <f t="shared" si="1"/>
        <v>27</v>
      </c>
      <c r="D154" s="43">
        <v>923</v>
      </c>
      <c r="E154" s="13">
        <f>F131</f>
        <v>0</v>
      </c>
      <c r="F154" s="137" t="s">
        <v>259</v>
      </c>
      <c r="G154" s="14">
        <v>0</v>
      </c>
      <c r="H154" s="139"/>
    </row>
    <row r="155" spans="2:9" x14ac:dyDescent="0.25">
      <c r="B155" s="39"/>
      <c r="C155" s="69">
        <f t="shared" si="1"/>
        <v>28</v>
      </c>
      <c r="D155" s="43">
        <v>924</v>
      </c>
      <c r="E155" s="13">
        <f>F132</f>
        <v>0</v>
      </c>
      <c r="F155" s="137" t="s">
        <v>260</v>
      </c>
      <c r="G155" s="14">
        <v>0</v>
      </c>
      <c r="H155" s="139"/>
    </row>
    <row r="156" spans="2:9" ht="15.75" thickBot="1" x14ac:dyDescent="0.3">
      <c r="B156" s="39"/>
      <c r="C156" s="69">
        <f t="shared" si="1"/>
        <v>29</v>
      </c>
      <c r="D156" s="43">
        <v>925</v>
      </c>
      <c r="E156" s="13">
        <f>F133</f>
        <v>1497</v>
      </c>
      <c r="F156" s="137" t="s">
        <v>261</v>
      </c>
      <c r="G156" s="14">
        <v>0</v>
      </c>
      <c r="H156" s="139"/>
    </row>
    <row r="157" spans="2:9" ht="15.75" thickBot="1" x14ac:dyDescent="0.3">
      <c r="B157" s="39"/>
      <c r="C157" s="69">
        <f t="shared" si="1"/>
        <v>30</v>
      </c>
      <c r="D157" s="43">
        <v>926</v>
      </c>
      <c r="E157" s="190">
        <f>E122+F134</f>
        <v>12656827.27731403</v>
      </c>
      <c r="F157" s="137" t="s">
        <v>262</v>
      </c>
      <c r="G157" s="14">
        <v>0</v>
      </c>
      <c r="H157" s="139"/>
    </row>
    <row r="158" spans="2:9" x14ac:dyDescent="0.25">
      <c r="B158" s="39"/>
      <c r="C158" s="69">
        <f t="shared" si="1"/>
        <v>31</v>
      </c>
      <c r="D158" s="43">
        <v>927</v>
      </c>
      <c r="E158" s="48"/>
      <c r="F158" s="139" t="s">
        <v>255</v>
      </c>
      <c r="G158" s="36"/>
      <c r="H158" s="139" t="s">
        <v>255</v>
      </c>
    </row>
    <row r="159" spans="2:9" x14ac:dyDescent="0.25">
      <c r="B159" s="39"/>
      <c r="C159" s="69">
        <f t="shared" si="1"/>
        <v>32</v>
      </c>
      <c r="D159" s="43">
        <v>928</v>
      </c>
      <c r="E159" s="13">
        <f t="shared" ref="E159:E164" si="2">F135</f>
        <v>0</v>
      </c>
      <c r="F159" s="137" t="s">
        <v>263</v>
      </c>
      <c r="G159" s="14">
        <v>0</v>
      </c>
      <c r="H159" s="139"/>
    </row>
    <row r="160" spans="2:9" x14ac:dyDescent="0.25">
      <c r="B160" s="39"/>
      <c r="C160" s="69">
        <f t="shared" si="1"/>
        <v>33</v>
      </c>
      <c r="D160" s="43">
        <v>929</v>
      </c>
      <c r="E160" s="13">
        <f t="shared" si="2"/>
        <v>0</v>
      </c>
      <c r="F160" s="137" t="s">
        <v>264</v>
      </c>
      <c r="G160" s="14">
        <v>0</v>
      </c>
      <c r="H160" s="137"/>
    </row>
    <row r="161" spans="2:8" x14ac:dyDescent="0.25">
      <c r="B161" s="39"/>
      <c r="C161" s="69">
        <f t="shared" si="1"/>
        <v>34</v>
      </c>
      <c r="D161" s="43">
        <v>930.1</v>
      </c>
      <c r="E161" s="13">
        <f t="shared" si="2"/>
        <v>0</v>
      </c>
      <c r="F161" s="137" t="s">
        <v>265</v>
      </c>
      <c r="G161" s="14">
        <v>0</v>
      </c>
      <c r="H161" s="137"/>
    </row>
    <row r="162" spans="2:8" x14ac:dyDescent="0.25">
      <c r="B162" s="39"/>
      <c r="C162" s="69">
        <f t="shared" si="1"/>
        <v>35</v>
      </c>
      <c r="D162" s="43">
        <v>930.2</v>
      </c>
      <c r="E162" s="13">
        <f t="shared" si="2"/>
        <v>0</v>
      </c>
      <c r="F162" s="137" t="s">
        <v>266</v>
      </c>
      <c r="G162" s="14">
        <v>0</v>
      </c>
      <c r="H162" s="137"/>
    </row>
    <row r="163" spans="2:8" x14ac:dyDescent="0.25">
      <c r="B163" s="39"/>
      <c r="C163" s="69">
        <f t="shared" si="1"/>
        <v>36</v>
      </c>
      <c r="D163" s="43">
        <v>931</v>
      </c>
      <c r="E163" s="13">
        <f t="shared" si="2"/>
        <v>0</v>
      </c>
      <c r="F163" s="137" t="s">
        <v>267</v>
      </c>
      <c r="G163" s="14">
        <v>0</v>
      </c>
      <c r="H163" s="137"/>
    </row>
    <row r="164" spans="2:8" x14ac:dyDescent="0.25">
      <c r="B164" s="39"/>
      <c r="C164" s="69">
        <f t="shared" si="1"/>
        <v>37</v>
      </c>
      <c r="D164" s="43">
        <v>935</v>
      </c>
      <c r="E164" s="13">
        <f t="shared" si="2"/>
        <v>0</v>
      </c>
      <c r="F164" s="137" t="s">
        <v>268</v>
      </c>
      <c r="G164" s="14">
        <v>0</v>
      </c>
      <c r="H164" s="137"/>
    </row>
    <row r="165" spans="2:8" x14ac:dyDescent="0.25">
      <c r="H165" s="7"/>
    </row>
  </sheetData>
  <pageMargins left="0.7" right="0.7" top="1.0645833333333301" bottom="0.75" header="0.3" footer="0.3"/>
  <pageSetup scale="69" orientation="landscape" cellComments="asDisplayed" r:id="rId1"/>
  <headerFooter>
    <oddHeader>&amp;RTO2019 Annual Update
Attachment 5-TO13 True Up TRR
WP-TO13-Schedule 20
Page &amp;P of &amp;N</oddHeader>
  </headerFooter>
  <rowBreaks count="3" manualBreakCount="3">
    <brk id="41" max="8" man="1"/>
    <brk id="75" max="8" man="1"/>
    <brk id="122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100" workbookViewId="0"/>
  </sheetViews>
  <sheetFormatPr defaultColWidth="9.140625" defaultRowHeight="15" x14ac:dyDescent="0.25"/>
  <cols>
    <col min="1" max="1" width="10.7109375" customWidth="1"/>
    <col min="2" max="2" width="12.7109375" customWidth="1"/>
    <col min="3" max="3" width="42" customWidth="1"/>
    <col min="4" max="4" width="84.5703125" customWidth="1"/>
    <col min="5" max="5" width="12.42578125" customWidth="1"/>
    <col min="6" max="6" width="12.140625" customWidth="1"/>
  </cols>
  <sheetData>
    <row r="1" spans="1:6" x14ac:dyDescent="0.25">
      <c r="A1" s="127" t="s">
        <v>269</v>
      </c>
      <c r="B1" s="7"/>
      <c r="C1" s="7"/>
    </row>
    <row r="2" spans="1:6" x14ac:dyDescent="0.25">
      <c r="A2" s="138" t="s">
        <v>270</v>
      </c>
    </row>
    <row r="3" spans="1:6" x14ac:dyDescent="0.25">
      <c r="D3" s="33"/>
    </row>
    <row r="4" spans="1:6" x14ac:dyDescent="0.25">
      <c r="A4" s="9" t="s">
        <v>271</v>
      </c>
      <c r="B4" s="9" t="s">
        <v>30</v>
      </c>
      <c r="C4" s="9" t="s">
        <v>272</v>
      </c>
      <c r="D4" s="9" t="s">
        <v>273</v>
      </c>
    </row>
    <row r="5" spans="1:6" s="7" customFormat="1" ht="25.5" x14ac:dyDescent="0.25">
      <c r="A5" s="131">
        <v>920</v>
      </c>
      <c r="B5" s="198">
        <v>82873.647248227193</v>
      </c>
      <c r="C5" s="200" t="s">
        <v>274</v>
      </c>
      <c r="D5" s="140" t="s">
        <v>275</v>
      </c>
    </row>
    <row r="6" spans="1:6" s="7" customFormat="1" ht="25.5" x14ac:dyDescent="0.25">
      <c r="A6" s="131">
        <v>920</v>
      </c>
      <c r="B6" s="198">
        <v>973963.35624126007</v>
      </c>
      <c r="C6" s="200" t="s">
        <v>276</v>
      </c>
      <c r="D6" s="140" t="s">
        <v>275</v>
      </c>
    </row>
    <row r="7" spans="1:6" s="7" customFormat="1" ht="25.5" x14ac:dyDescent="0.25">
      <c r="A7" s="131">
        <v>920</v>
      </c>
      <c r="B7" s="198">
        <v>292387.54354302643</v>
      </c>
      <c r="C7" s="200" t="s">
        <v>277</v>
      </c>
      <c r="D7" s="140" t="s">
        <v>275</v>
      </c>
    </row>
    <row r="8" spans="1:6" s="7" customFormat="1" x14ac:dyDescent="0.25">
      <c r="A8" s="131">
        <v>920</v>
      </c>
      <c r="B8" s="198">
        <v>41169.441206161486</v>
      </c>
      <c r="C8" s="200" t="s">
        <v>278</v>
      </c>
      <c r="D8" s="141" t="s">
        <v>279</v>
      </c>
    </row>
    <row r="9" spans="1:6" s="7" customFormat="1" ht="25.5" x14ac:dyDescent="0.25">
      <c r="A9" s="131">
        <v>920</v>
      </c>
      <c r="B9" s="197">
        <v>34581.131081319749</v>
      </c>
      <c r="C9" s="200" t="s">
        <v>280</v>
      </c>
      <c r="D9" s="140" t="s">
        <v>275</v>
      </c>
    </row>
    <row r="10" spans="1:6" x14ac:dyDescent="0.25">
      <c r="A10" s="142" t="s">
        <v>281</v>
      </c>
      <c r="B10" s="199">
        <f>SUM(B5:B9)</f>
        <v>1424975.1193199947</v>
      </c>
      <c r="C10" s="81"/>
    </row>
    <row r="11" spans="1:6" x14ac:dyDescent="0.25">
      <c r="A11" s="142"/>
      <c r="B11" s="36"/>
      <c r="C11" s="81"/>
      <c r="D11" s="33"/>
    </row>
    <row r="12" spans="1:6" x14ac:dyDescent="0.25">
      <c r="A12" s="9" t="s">
        <v>271</v>
      </c>
      <c r="B12" s="143" t="s">
        <v>30</v>
      </c>
      <c r="C12" s="9" t="s">
        <v>272</v>
      </c>
      <c r="D12" s="9" t="s">
        <v>273</v>
      </c>
    </row>
    <row r="13" spans="1:6" s="7" customFormat="1" ht="25.5" x14ac:dyDescent="0.25">
      <c r="A13" s="131">
        <v>921</v>
      </c>
      <c r="B13" s="201">
        <v>1610.47</v>
      </c>
      <c r="C13" s="202" t="s">
        <v>282</v>
      </c>
      <c r="D13" s="141" t="s">
        <v>283</v>
      </c>
      <c r="F13" s="144"/>
    </row>
    <row r="14" spans="1:6" s="7" customFormat="1" ht="25.5" x14ac:dyDescent="0.25">
      <c r="A14" s="131">
        <v>921</v>
      </c>
      <c r="B14" s="198">
        <v>3168781.35</v>
      </c>
      <c r="C14" s="202" t="s">
        <v>274</v>
      </c>
      <c r="D14" s="140" t="s">
        <v>275</v>
      </c>
      <c r="F14" s="144"/>
    </row>
    <row r="15" spans="1:6" s="7" customFormat="1" ht="25.5" x14ac:dyDescent="0.25">
      <c r="A15" s="131">
        <v>921</v>
      </c>
      <c r="B15" s="198">
        <v>42894.186456973577</v>
      </c>
      <c r="C15" s="202" t="s">
        <v>277</v>
      </c>
      <c r="D15" s="140" t="s">
        <v>275</v>
      </c>
      <c r="F15" s="144"/>
    </row>
    <row r="16" spans="1:6" s="7" customFormat="1" ht="25.5" x14ac:dyDescent="0.25">
      <c r="A16" s="131">
        <v>921</v>
      </c>
      <c r="B16" s="198">
        <v>2194817.9937587399</v>
      </c>
      <c r="C16" s="202" t="s">
        <v>276</v>
      </c>
      <c r="D16" s="140" t="s">
        <v>275</v>
      </c>
    </row>
    <row r="17" spans="1:9" s="7" customFormat="1" x14ac:dyDescent="0.25">
      <c r="A17" s="131">
        <v>921</v>
      </c>
      <c r="B17" s="198">
        <v>7306.3987938385226</v>
      </c>
      <c r="C17" s="202" t="s">
        <v>278</v>
      </c>
      <c r="D17" s="141" t="s">
        <v>279</v>
      </c>
    </row>
    <row r="18" spans="1:9" s="7" customFormat="1" ht="38.25" x14ac:dyDescent="0.25">
      <c r="A18" s="131">
        <v>921</v>
      </c>
      <c r="B18" s="198">
        <v>1596.12</v>
      </c>
      <c r="C18" s="202" t="s">
        <v>284</v>
      </c>
      <c r="D18" s="140" t="s">
        <v>285</v>
      </c>
    </row>
    <row r="19" spans="1:9" s="7" customFormat="1" ht="25.5" x14ac:dyDescent="0.25">
      <c r="A19" s="131">
        <v>921</v>
      </c>
      <c r="B19" s="198">
        <v>156.66999999999999</v>
      </c>
      <c r="C19" s="202" t="s">
        <v>286</v>
      </c>
      <c r="D19" s="141" t="s">
        <v>287</v>
      </c>
    </row>
    <row r="20" spans="1:9" s="7" customFormat="1" ht="25.5" x14ac:dyDescent="0.25">
      <c r="A20" s="131">
        <v>921</v>
      </c>
      <c r="B20" s="197">
        <v>15452.278918680244</v>
      </c>
      <c r="C20" s="202" t="s">
        <v>280</v>
      </c>
      <c r="D20" s="140" t="s">
        <v>275</v>
      </c>
    </row>
    <row r="21" spans="1:9" x14ac:dyDescent="0.25">
      <c r="A21" s="142" t="s">
        <v>288</v>
      </c>
      <c r="B21" s="36">
        <f>SUM(B13:B20)</f>
        <v>5432615.4679282326</v>
      </c>
      <c r="C21" s="145"/>
      <c r="D21" s="146"/>
    </row>
    <row r="22" spans="1:9" x14ac:dyDescent="0.25">
      <c r="A22" s="142"/>
      <c r="B22" s="36"/>
      <c r="C22" s="81"/>
      <c r="D22" s="146"/>
    </row>
    <row r="23" spans="1:9" x14ac:dyDescent="0.25">
      <c r="A23" s="9" t="s">
        <v>271</v>
      </c>
      <c r="B23" s="143" t="s">
        <v>30</v>
      </c>
      <c r="C23" s="9" t="s">
        <v>272</v>
      </c>
      <c r="D23" s="9" t="s">
        <v>273</v>
      </c>
    </row>
    <row r="24" spans="1:9" x14ac:dyDescent="0.25">
      <c r="A24" s="131">
        <v>923</v>
      </c>
      <c r="B24" s="199">
        <v>7621573</v>
      </c>
      <c r="C24" s="200" t="s">
        <v>289</v>
      </c>
      <c r="D24" s="147" t="s">
        <v>290</v>
      </c>
    </row>
    <row r="25" spans="1:9" x14ac:dyDescent="0.25">
      <c r="A25" s="43">
        <v>923</v>
      </c>
      <c r="B25" s="203">
        <v>434</v>
      </c>
      <c r="C25" s="200" t="s">
        <v>91</v>
      </c>
      <c r="D25" s="147" t="s">
        <v>291</v>
      </c>
    </row>
    <row r="26" spans="1:9" x14ac:dyDescent="0.25">
      <c r="A26" s="142" t="s">
        <v>292</v>
      </c>
      <c r="B26" s="199">
        <f>SUM(B24:B25)</f>
        <v>7622007</v>
      </c>
      <c r="C26" s="200"/>
    </row>
    <row r="27" spans="1:9" x14ac:dyDescent="0.25">
      <c r="A27" s="142"/>
      <c r="B27" s="36"/>
      <c r="C27" s="81"/>
      <c r="D27" s="33"/>
    </row>
    <row r="28" spans="1:9" x14ac:dyDescent="0.25">
      <c r="A28" s="9" t="s">
        <v>271</v>
      </c>
      <c r="B28" s="143" t="s">
        <v>30</v>
      </c>
      <c r="C28" s="9" t="s">
        <v>272</v>
      </c>
      <c r="D28" s="9" t="s">
        <v>273</v>
      </c>
    </row>
    <row r="29" spans="1:9" ht="30" customHeight="1" x14ac:dyDescent="0.25">
      <c r="A29" s="131">
        <v>926</v>
      </c>
      <c r="B29" s="201">
        <v>343730.9499999999</v>
      </c>
      <c r="C29" s="202" t="s">
        <v>293</v>
      </c>
      <c r="D29" s="148" t="s">
        <v>294</v>
      </c>
      <c r="E29" s="149"/>
      <c r="F29" s="194"/>
      <c r="G29" s="194"/>
      <c r="H29" s="194"/>
      <c r="I29" s="194"/>
    </row>
    <row r="30" spans="1:9" ht="42.75" customHeight="1" x14ac:dyDescent="0.25">
      <c r="A30" s="131">
        <v>926</v>
      </c>
      <c r="B30" s="201">
        <v>634069.68000000005</v>
      </c>
      <c r="C30" s="204" t="s">
        <v>295</v>
      </c>
      <c r="D30" s="150" t="s">
        <v>296</v>
      </c>
    </row>
    <row r="31" spans="1:9" ht="30" x14ac:dyDescent="0.25">
      <c r="A31" s="12">
        <v>926</v>
      </c>
      <c r="B31" s="201">
        <v>158526.19999999998</v>
      </c>
      <c r="C31" s="202" t="s">
        <v>297</v>
      </c>
      <c r="D31" s="151" t="s">
        <v>298</v>
      </c>
    </row>
    <row r="32" spans="1:9" x14ac:dyDescent="0.25">
      <c r="A32" s="12">
        <v>926</v>
      </c>
      <c r="B32" s="201">
        <v>6564.24</v>
      </c>
      <c r="C32" s="202" t="s">
        <v>299</v>
      </c>
      <c r="D32" s="151" t="s">
        <v>300</v>
      </c>
    </row>
    <row r="33" spans="1:5" s="7" customFormat="1" x14ac:dyDescent="0.25">
      <c r="A33" s="131">
        <v>926</v>
      </c>
      <c r="B33" s="205">
        <v>56.22</v>
      </c>
      <c r="C33" s="206" t="s">
        <v>301</v>
      </c>
      <c r="D33" s="152" t="s">
        <v>302</v>
      </c>
      <c r="E33" s="49"/>
    </row>
    <row r="34" spans="1:5" s="7" customFormat="1" x14ac:dyDescent="0.25">
      <c r="A34" s="131">
        <v>926</v>
      </c>
      <c r="B34" s="207">
        <v>-920033</v>
      </c>
      <c r="C34" s="206" t="s">
        <v>303</v>
      </c>
      <c r="D34" s="152" t="s">
        <v>304</v>
      </c>
    </row>
    <row r="35" spans="1:5" x14ac:dyDescent="0.25">
      <c r="A35" s="142" t="s">
        <v>305</v>
      </c>
      <c r="B35" s="36">
        <f>SUM(B29:B34)</f>
        <v>222914.2899999998</v>
      </c>
    </row>
    <row r="36" spans="1:5" x14ac:dyDescent="0.25">
      <c r="A36" s="142"/>
      <c r="B36" s="36"/>
    </row>
    <row r="37" spans="1:5" x14ac:dyDescent="0.25">
      <c r="A37" s="9" t="s">
        <v>271</v>
      </c>
      <c r="B37" s="143" t="s">
        <v>30</v>
      </c>
      <c r="C37" s="9" t="s">
        <v>272</v>
      </c>
      <c r="D37" s="9" t="s">
        <v>273</v>
      </c>
    </row>
    <row r="38" spans="1:5" ht="17.25" customHeight="1" x14ac:dyDescent="0.4">
      <c r="A38" s="71">
        <v>928</v>
      </c>
      <c r="B38" s="209">
        <v>2612717</v>
      </c>
      <c r="C38" s="208" t="s">
        <v>306</v>
      </c>
      <c r="D38" s="39" t="s">
        <v>307</v>
      </c>
    </row>
    <row r="39" spans="1:5" x14ac:dyDescent="0.25">
      <c r="A39" s="142" t="s">
        <v>308</v>
      </c>
      <c r="B39" s="36">
        <f>B38</f>
        <v>2612717</v>
      </c>
      <c r="C39" s="143"/>
      <c r="D39" s="9"/>
    </row>
    <row r="40" spans="1:5" x14ac:dyDescent="0.25">
      <c r="B40" s="7"/>
    </row>
    <row r="41" spans="1:5" x14ac:dyDescent="0.25">
      <c r="A41" s="9" t="s">
        <v>271</v>
      </c>
      <c r="B41" s="143" t="s">
        <v>30</v>
      </c>
      <c r="C41" s="9" t="s">
        <v>272</v>
      </c>
      <c r="D41" s="9" t="s">
        <v>273</v>
      </c>
    </row>
    <row r="42" spans="1:5" x14ac:dyDescent="0.25">
      <c r="A42" s="12">
        <v>930.2</v>
      </c>
      <c r="B42" s="198">
        <v>1597798.1599999997</v>
      </c>
      <c r="C42" s="210" t="s">
        <v>309</v>
      </c>
      <c r="D42" s="206" t="s">
        <v>310</v>
      </c>
      <c r="E42" s="50"/>
    </row>
    <row r="43" spans="1:5" x14ac:dyDescent="0.25">
      <c r="A43" s="131">
        <v>930.2</v>
      </c>
      <c r="B43" s="211">
        <v>2234679.37</v>
      </c>
      <c r="C43" s="206" t="s">
        <v>311</v>
      </c>
      <c r="D43" s="206" t="s">
        <v>312</v>
      </c>
      <c r="E43" s="50"/>
    </row>
    <row r="44" spans="1:5" x14ac:dyDescent="0.25">
      <c r="A44" s="142" t="s">
        <v>313</v>
      </c>
      <c r="B44" s="199">
        <f>SUM(B42:B43)</f>
        <v>3832477.53</v>
      </c>
      <c r="C44" s="83"/>
      <c r="D44" s="83"/>
    </row>
    <row r="46" spans="1:5" x14ac:dyDescent="0.25">
      <c r="A46" s="1" t="s">
        <v>314</v>
      </c>
      <c r="B46" s="33">
        <f>B10+B21+B26+B35+B39+B44</f>
        <v>21147706.407248229</v>
      </c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</sheetData>
  <mergeCells count="1">
    <mergeCell ref="F29:I29"/>
  </mergeCells>
  <pageMargins left="0.7" right="0.7" top="1.0645833333333301" bottom="0.75" header="0.3" footer="0.3"/>
  <pageSetup scale="69" orientation="landscape" cellComments="asDisplayed" r:id="rId1"/>
  <headerFooter>
    <oddHeader>&amp;RTO2019 Annual Update
Attachment 5-TO13 True Up TRR
WP-TO13-Schedule 20
Page &amp;P of &amp;N</oddHead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3"/>
  <sheetViews>
    <sheetView zoomScaleNormal="100" workbookViewId="0">
      <selection activeCell="A2" sqref="A2"/>
    </sheetView>
  </sheetViews>
  <sheetFormatPr defaultRowHeight="15" x14ac:dyDescent="0.25"/>
  <cols>
    <col min="1" max="1" width="3.5703125" customWidth="1"/>
    <col min="3" max="3" width="64.7109375" customWidth="1"/>
    <col min="4" max="6" width="12.7109375" customWidth="1"/>
    <col min="7" max="7" width="26.28515625" customWidth="1"/>
    <col min="8" max="8" width="3.85546875" customWidth="1"/>
    <col min="9" max="9" width="69" bestFit="1" customWidth="1"/>
  </cols>
  <sheetData>
    <row r="2" spans="1:10" x14ac:dyDescent="0.25">
      <c r="A2" s="1" t="s">
        <v>315</v>
      </c>
      <c r="E2" s="50"/>
    </row>
    <row r="3" spans="1:10" ht="15.75" thickBot="1" x14ac:dyDescent="0.3">
      <c r="D3" s="7"/>
    </row>
    <row r="4" spans="1:10" ht="60" customHeight="1" thickBot="1" x14ac:dyDescent="0.3">
      <c r="B4" s="153" t="s">
        <v>316</v>
      </c>
      <c r="C4" s="154" t="s">
        <v>273</v>
      </c>
      <c r="D4" s="153" t="s">
        <v>317</v>
      </c>
      <c r="E4" s="155" t="s">
        <v>318</v>
      </c>
      <c r="F4" s="156" t="s">
        <v>319</v>
      </c>
      <c r="G4" s="154" t="s">
        <v>320</v>
      </c>
      <c r="H4" s="157"/>
      <c r="I4" s="53"/>
    </row>
    <row r="5" spans="1:10" x14ac:dyDescent="0.25">
      <c r="B5" s="158">
        <v>1</v>
      </c>
      <c r="C5" s="159" t="s">
        <v>321</v>
      </c>
      <c r="D5" s="160">
        <v>2062759</v>
      </c>
      <c r="E5" s="160">
        <v>2062759</v>
      </c>
      <c r="F5" s="161">
        <v>-208296</v>
      </c>
      <c r="G5" s="162" t="s">
        <v>322</v>
      </c>
      <c r="H5" s="163"/>
      <c r="I5" s="127"/>
    </row>
    <row r="6" spans="1:10" x14ac:dyDescent="0.25">
      <c r="B6" s="158">
        <v>2</v>
      </c>
      <c r="C6" s="159" t="s">
        <v>323</v>
      </c>
      <c r="D6" s="164"/>
      <c r="E6" s="164"/>
      <c r="F6" s="165">
        <v>0</v>
      </c>
      <c r="G6" s="166"/>
      <c r="H6" s="163"/>
      <c r="I6" s="127"/>
      <c r="J6" s="61"/>
    </row>
    <row r="7" spans="1:10" x14ac:dyDescent="0.25">
      <c r="B7" s="158">
        <v>3</v>
      </c>
      <c r="C7" s="159" t="s">
        <v>324</v>
      </c>
      <c r="D7" s="164">
        <v>20983266</v>
      </c>
      <c r="E7" s="164">
        <v>0</v>
      </c>
      <c r="F7" s="164">
        <v>20983266</v>
      </c>
      <c r="G7" s="166" t="s">
        <v>322</v>
      </c>
      <c r="H7" s="163"/>
      <c r="I7" s="52"/>
      <c r="J7" s="61"/>
    </row>
    <row r="8" spans="1:10" x14ac:dyDescent="0.25">
      <c r="B8" s="158">
        <v>4</v>
      </c>
      <c r="C8" s="159" t="s">
        <v>325</v>
      </c>
      <c r="D8" s="164">
        <v>622266</v>
      </c>
      <c r="E8" s="164">
        <v>622266</v>
      </c>
      <c r="F8" s="165">
        <v>0</v>
      </c>
      <c r="G8" s="166"/>
      <c r="H8" s="163"/>
      <c r="I8" s="127"/>
      <c r="J8" s="61"/>
    </row>
    <row r="9" spans="1:10" x14ac:dyDescent="0.25">
      <c r="B9" s="158">
        <v>5</v>
      </c>
      <c r="C9" s="159" t="s">
        <v>326</v>
      </c>
      <c r="D9" s="164"/>
      <c r="E9" s="167"/>
      <c r="F9" s="168"/>
      <c r="G9" s="166"/>
      <c r="H9" s="163"/>
      <c r="I9" s="127"/>
      <c r="J9" s="61"/>
    </row>
    <row r="10" spans="1:10" x14ac:dyDescent="0.25">
      <c r="B10" s="158">
        <v>6</v>
      </c>
      <c r="C10" s="169" t="s">
        <v>327</v>
      </c>
      <c r="D10" s="164">
        <v>3769654</v>
      </c>
      <c r="E10" s="164">
        <v>3769654</v>
      </c>
      <c r="F10" s="165">
        <v>0</v>
      </c>
      <c r="G10" s="166"/>
      <c r="H10" s="163"/>
      <c r="I10" s="47"/>
      <c r="J10" s="61"/>
    </row>
    <row r="11" spans="1:10" x14ac:dyDescent="0.25">
      <c r="B11" s="158">
        <v>7</v>
      </c>
      <c r="C11" s="169" t="s">
        <v>328</v>
      </c>
      <c r="D11" s="164">
        <v>2894700</v>
      </c>
      <c r="E11" s="164">
        <v>2894700</v>
      </c>
      <c r="F11" s="165">
        <v>0</v>
      </c>
      <c r="G11" s="166"/>
      <c r="H11" s="163"/>
      <c r="I11" s="127"/>
    </row>
    <row r="12" spans="1:10" x14ac:dyDescent="0.25">
      <c r="B12" s="158">
        <v>8</v>
      </c>
      <c r="C12" s="169" t="s">
        <v>329</v>
      </c>
      <c r="D12" s="164">
        <v>460395</v>
      </c>
      <c r="E12" s="164">
        <v>460395</v>
      </c>
      <c r="F12" s="165">
        <v>0</v>
      </c>
      <c r="G12" s="166"/>
      <c r="H12" s="163"/>
      <c r="I12" s="127"/>
    </row>
    <row r="13" spans="1:10" x14ac:dyDescent="0.25">
      <c r="B13" s="158">
        <v>9</v>
      </c>
      <c r="C13" s="169" t="s">
        <v>330</v>
      </c>
      <c r="D13" s="164">
        <v>1395355</v>
      </c>
      <c r="E13" s="164">
        <v>1395355</v>
      </c>
      <c r="F13" s="165">
        <v>0</v>
      </c>
      <c r="G13" s="166"/>
      <c r="H13" s="163"/>
      <c r="I13" s="127"/>
    </row>
    <row r="14" spans="1:10" x14ac:dyDescent="0.25">
      <c r="B14" s="158">
        <v>10</v>
      </c>
      <c r="C14" s="169" t="s">
        <v>331</v>
      </c>
      <c r="D14" s="164">
        <v>-241090</v>
      </c>
      <c r="E14" s="164">
        <v>0</v>
      </c>
      <c r="F14" s="164">
        <v>-241090</v>
      </c>
      <c r="G14" s="166" t="s">
        <v>322</v>
      </c>
      <c r="H14" s="163"/>
      <c r="I14" s="47"/>
    </row>
    <row r="15" spans="1:10" x14ac:dyDescent="0.25">
      <c r="B15" s="158">
        <v>11</v>
      </c>
      <c r="C15" s="169" t="s">
        <v>332</v>
      </c>
      <c r="D15" s="164">
        <v>-9766562</v>
      </c>
      <c r="E15" s="164">
        <v>-9766562</v>
      </c>
      <c r="F15" s="165">
        <v>0</v>
      </c>
      <c r="G15" s="166"/>
      <c r="H15" s="163"/>
      <c r="I15" s="47"/>
    </row>
    <row r="16" spans="1:10" x14ac:dyDescent="0.25">
      <c r="B16" s="158">
        <v>12</v>
      </c>
      <c r="C16" s="169" t="s">
        <v>333</v>
      </c>
      <c r="D16" s="164">
        <v>-420073</v>
      </c>
      <c r="E16" s="164"/>
      <c r="F16" s="165">
        <v>-420073</v>
      </c>
      <c r="G16" s="166" t="s">
        <v>322</v>
      </c>
      <c r="H16" s="163"/>
      <c r="I16" s="47"/>
    </row>
    <row r="17" spans="2:13" x14ac:dyDescent="0.25">
      <c r="B17" s="158">
        <v>13</v>
      </c>
      <c r="C17" s="169" t="s">
        <v>301</v>
      </c>
      <c r="D17" s="164">
        <v>-1456115</v>
      </c>
      <c r="E17" s="164">
        <f>D17-F17</f>
        <v>-3112624.1599999997</v>
      </c>
      <c r="F17" s="165">
        <v>1656509.1599999997</v>
      </c>
      <c r="G17" s="166" t="s">
        <v>322</v>
      </c>
      <c r="H17" s="163"/>
      <c r="I17" s="47"/>
    </row>
    <row r="18" spans="2:13" x14ac:dyDescent="0.25">
      <c r="B18" s="158">
        <v>14</v>
      </c>
      <c r="D18" s="170"/>
      <c r="E18" s="170"/>
      <c r="F18" s="171"/>
      <c r="G18" s="172"/>
      <c r="H18" s="107"/>
      <c r="I18" s="127"/>
    </row>
    <row r="19" spans="2:13" x14ac:dyDescent="0.25">
      <c r="B19" s="158">
        <v>15</v>
      </c>
      <c r="C19" s="169" t="s">
        <v>334</v>
      </c>
      <c r="D19" s="164">
        <v>0</v>
      </c>
      <c r="E19" s="164"/>
      <c r="F19" s="165">
        <v>0</v>
      </c>
      <c r="G19" s="166" t="s">
        <v>322</v>
      </c>
      <c r="H19" s="163"/>
      <c r="I19" s="52"/>
      <c r="J19" s="52"/>
      <c r="K19" s="52"/>
      <c r="L19" s="52"/>
      <c r="M19" s="52"/>
    </row>
    <row r="20" spans="2:13" x14ac:dyDescent="0.25">
      <c r="B20" s="158">
        <v>16</v>
      </c>
      <c r="C20" s="169" t="s">
        <v>335</v>
      </c>
      <c r="D20" s="164">
        <v>11883138</v>
      </c>
      <c r="E20" s="164">
        <f>D20-F20</f>
        <v>11883138</v>
      </c>
      <c r="F20" s="165">
        <v>0</v>
      </c>
      <c r="G20" s="166" t="s">
        <v>322</v>
      </c>
      <c r="H20" s="163"/>
      <c r="I20" s="47"/>
    </row>
    <row r="21" spans="2:13" x14ac:dyDescent="0.25">
      <c r="B21" s="173">
        <v>17</v>
      </c>
      <c r="C21" s="174" t="s">
        <v>336</v>
      </c>
      <c r="D21" s="164">
        <v>2234679</v>
      </c>
      <c r="E21" s="164">
        <v>0</v>
      </c>
      <c r="F21" s="165">
        <v>2234679.37</v>
      </c>
      <c r="G21" s="166" t="s">
        <v>322</v>
      </c>
      <c r="H21" s="163"/>
      <c r="I21" s="47"/>
    </row>
    <row r="22" spans="2:13" x14ac:dyDescent="0.25">
      <c r="B22" s="158"/>
      <c r="C22" s="174"/>
      <c r="D22" s="164"/>
      <c r="E22" s="175"/>
      <c r="F22" s="165"/>
      <c r="G22" s="172"/>
      <c r="H22" s="107"/>
      <c r="I22" s="127"/>
    </row>
    <row r="23" spans="2:13" ht="15.75" thickBot="1" x14ac:dyDescent="0.3">
      <c r="B23" s="176">
        <v>46</v>
      </c>
      <c r="C23" s="177" t="s">
        <v>10</v>
      </c>
      <c r="D23" s="178">
        <f>SUM(D5:D22)</f>
        <v>34422372</v>
      </c>
      <c r="E23" s="178">
        <f>E5+SUM(E6:E22)</f>
        <v>10209080.84</v>
      </c>
      <c r="F23" s="23">
        <f>F5+SUM(F6:F22)</f>
        <v>24004995.530000001</v>
      </c>
      <c r="G23" s="179"/>
      <c r="H23" s="163"/>
      <c r="I23" s="127"/>
    </row>
    <row r="25" spans="2:13" x14ac:dyDescent="0.25">
      <c r="C25" s="50"/>
      <c r="D25" s="180"/>
      <c r="F25" s="33"/>
    </row>
    <row r="27" spans="2:13" x14ac:dyDescent="0.25">
      <c r="C27" s="181"/>
      <c r="D27" s="182"/>
      <c r="E27" s="182"/>
    </row>
    <row r="28" spans="2:13" x14ac:dyDescent="0.25">
      <c r="C28" s="7"/>
      <c r="D28" s="183"/>
      <c r="E28" s="183"/>
    </row>
    <row r="29" spans="2:13" x14ac:dyDescent="0.25">
      <c r="C29" s="7"/>
      <c r="D29" s="183"/>
      <c r="E29" s="183"/>
    </row>
    <row r="30" spans="2:13" x14ac:dyDescent="0.25">
      <c r="C30" s="7"/>
      <c r="D30" s="183"/>
      <c r="E30" s="183"/>
    </row>
    <row r="31" spans="2:13" x14ac:dyDescent="0.25">
      <c r="C31" s="7"/>
      <c r="D31" s="183"/>
      <c r="E31" s="183"/>
    </row>
    <row r="32" spans="2:13" x14ac:dyDescent="0.25">
      <c r="C32" s="7"/>
      <c r="D32" s="183"/>
      <c r="E32" s="183"/>
    </row>
    <row r="33" spans="3:5" x14ac:dyDescent="0.25">
      <c r="C33" s="7"/>
      <c r="D33" s="183"/>
      <c r="E33" s="183"/>
    </row>
    <row r="34" spans="3:5" x14ac:dyDescent="0.25">
      <c r="C34" s="7"/>
      <c r="D34" s="183"/>
      <c r="E34" s="183"/>
    </row>
    <row r="35" spans="3:5" x14ac:dyDescent="0.25">
      <c r="C35" s="7"/>
      <c r="D35" s="183"/>
      <c r="E35" s="183"/>
    </row>
    <row r="36" spans="3:5" x14ac:dyDescent="0.25">
      <c r="C36" s="7"/>
      <c r="D36" s="183"/>
      <c r="E36" s="183"/>
    </row>
    <row r="37" spans="3:5" x14ac:dyDescent="0.25">
      <c r="C37" s="7"/>
      <c r="D37" s="183"/>
      <c r="E37" s="183"/>
    </row>
    <row r="38" spans="3:5" x14ac:dyDescent="0.25">
      <c r="C38" s="7"/>
      <c r="D38" s="183"/>
      <c r="E38" s="183"/>
    </row>
    <row r="39" spans="3:5" x14ac:dyDescent="0.25">
      <c r="C39" s="7"/>
      <c r="D39" s="183"/>
      <c r="E39" s="183"/>
    </row>
    <row r="40" spans="3:5" x14ac:dyDescent="0.25">
      <c r="C40" s="7"/>
      <c r="D40" s="183"/>
      <c r="E40" s="183"/>
    </row>
    <row r="41" spans="3:5" x14ac:dyDescent="0.25">
      <c r="C41" s="7"/>
      <c r="D41" s="183"/>
      <c r="E41" s="183"/>
    </row>
    <row r="42" spans="3:5" x14ac:dyDescent="0.25">
      <c r="C42" s="7"/>
      <c r="D42" s="7"/>
      <c r="E42" s="184"/>
    </row>
    <row r="43" spans="3:5" x14ac:dyDescent="0.25">
      <c r="C43" s="181"/>
      <c r="D43" s="185"/>
      <c r="E43" s="185"/>
    </row>
  </sheetData>
  <pageMargins left="0.7" right="0.7" top="1.0645833333333301" bottom="0.75" header="0.3" footer="0.3"/>
  <pageSetup scale="86" orientation="landscape" cellComments="asDisplayed" r:id="rId1"/>
  <headerFooter>
    <oddHeader>&amp;RTO2019 Annual Update
Attachment 5-TO13 True Up TRR
WP-TO13-Schedule 20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ExclusionsMatrix</vt:lpstr>
      <vt:lpstr>ShareholderAndOther</vt:lpstr>
      <vt:lpstr>Incentives</vt:lpstr>
      <vt:lpstr>ShareholderExcDetail</vt:lpstr>
      <vt:lpstr>Acct 930.2</vt:lpstr>
      <vt:lpstr>'Acct 930.2'!Print_Area</vt:lpstr>
      <vt:lpstr>ExclusionsMatrix!Print_Area</vt:lpstr>
      <vt:lpstr>Incentives!Print_Area</vt:lpstr>
      <vt:lpstr>ShareholderAndOther!Print_Area</vt:lpstr>
      <vt:lpstr>ShareholderExcDetail!Print_Area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Kim, Jee Young</cp:lastModifiedBy>
  <cp:lastPrinted>2018-06-11T17:57:25Z</cp:lastPrinted>
  <dcterms:created xsi:type="dcterms:W3CDTF">2018-06-06T23:29:38Z</dcterms:created>
  <dcterms:modified xsi:type="dcterms:W3CDTF">2018-11-28T21:28:51Z</dcterms:modified>
</cp:coreProperties>
</file>