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S:\FERC-REG\FERC\FERC Contract &amp; Cost Analysis\2019 FERC Rate Case TO2019\12-Dec 1-Annual Informational Filing\Workpapers\"/>
    </mc:Choice>
  </mc:AlternateContent>
  <bookViews>
    <workbookView xWindow="0" yWindow="0" windowWidth="14400" windowHeight="10050" tabRatio="856"/>
  </bookViews>
  <sheets>
    <sheet name="2017 Summary" sheetId="168" r:id="rId1"/>
    <sheet name="2016 Summary" sheetId="185" r:id="rId2"/>
    <sheet name="TOT032" sheetId="125" r:id="rId3"/>
    <sheet name="TOT041" sheetId="124" r:id="rId4"/>
    <sheet name="TOT135" sheetId="120" r:id="rId5"/>
    <sheet name="TOT175 (adj)" sheetId="177" r:id="rId6"/>
    <sheet name="TOT211" sheetId="171" r:id="rId7"/>
    <sheet name="TOT219" sheetId="133" r:id="rId8"/>
    <sheet name="TOT223" sheetId="152" r:id="rId9"/>
    <sheet name="TOT278" sheetId="119" r:id="rId10"/>
    <sheet name="TOT381" sheetId="169" r:id="rId11"/>
    <sheet name="TOT404" sheetId="186" r:id="rId12"/>
    <sheet name="TOT411 (Phase 1&amp;2)" sheetId="174" r:id="rId13"/>
    <sheet name="TOT455" sheetId="115" r:id="rId14"/>
    <sheet name="TOT508" sheetId="126" r:id="rId15"/>
    <sheet name="TOT522" sheetId="112" r:id="rId16"/>
    <sheet name="TOT544" sheetId="150" r:id="rId17"/>
    <sheet name="TOT545" sheetId="157" r:id="rId18"/>
    <sheet name="TOT573" sheetId="143" r:id="rId19"/>
    <sheet name="TOT581" sheetId="187" r:id="rId20"/>
    <sheet name="TOT585 (Phase 1&amp;2)" sheetId="160" r:id="rId21"/>
    <sheet name="TOT672 (part1)" sheetId="139" r:id="rId22"/>
    <sheet name="WDT1099" sheetId="132" r:id="rId23"/>
    <sheet name="WDT1007-True-up" sheetId="129" r:id="rId24"/>
    <sheet name="TOT516-True-up" sheetId="178" r:id="rId25"/>
    <sheet name="TOT733-True-up" sheetId="179" r:id="rId26"/>
    <sheet name="WDT400-True-up" sheetId="181" r:id="rId27"/>
    <sheet name="FERC Interest Rate" sheetId="116" r:id="rId28"/>
  </sheets>
  <definedNames>
    <definedName name="_xlnm.Print_Area" localSheetId="1">'2016 Summary'!$A$1:$I$107</definedName>
    <definedName name="_xlnm.Print_Area" localSheetId="0">'2017 Summary'!$A$1:$I$146</definedName>
    <definedName name="_xlnm.Print_Area" localSheetId="2">'TOT032'!$A$1:$O$66</definedName>
    <definedName name="_xlnm.Print_Area" localSheetId="3">'TOT041'!$A$1:$O$65</definedName>
    <definedName name="_xlnm.Print_Area" localSheetId="4">'TOT135'!$A$1:$O$443</definedName>
    <definedName name="_xlnm.Print_Area" localSheetId="5">'TOT175 (adj)'!$A$1:$O$93</definedName>
    <definedName name="_xlnm.Print_Area" localSheetId="6">'TOT211'!$A$1:$O$47</definedName>
    <definedName name="_xlnm.Print_Area" localSheetId="7">'TOT219'!$A$1:$O$65</definedName>
    <definedName name="_xlnm.Print_Area" localSheetId="8">'TOT223'!$A$1:$O$36</definedName>
    <definedName name="_xlnm.Print_Area" localSheetId="9">'TOT278'!$A$1:$O$33</definedName>
    <definedName name="_xlnm.Print_Area" localSheetId="10">'TOT381'!$A$1:$O$50</definedName>
    <definedName name="_xlnm.Print_Area" localSheetId="11">'TOT404'!$A$1:$O$61</definedName>
    <definedName name="_xlnm.Print_Area" localSheetId="12">'TOT411 (Phase 1&amp;2)'!$A$1:$O$41</definedName>
    <definedName name="_xlnm.Print_Area" localSheetId="13">'TOT455'!$A$1:$O$89</definedName>
    <definedName name="_xlnm.Print_Area" localSheetId="14">'TOT508'!$A$1:$O$64</definedName>
    <definedName name="_xlnm.Print_Area" localSheetId="24">'TOT516-True-up'!$A$1:$O$31</definedName>
    <definedName name="_xlnm.Print_Area" localSheetId="15">'TOT522'!$A$1:$O$64</definedName>
    <definedName name="_xlnm.Print_Area" localSheetId="16">'TOT544'!$A$1:$O$306</definedName>
    <definedName name="_xlnm.Print_Area" localSheetId="17">'TOT545'!$A$1:$O$305</definedName>
    <definedName name="_xlnm.Print_Area" localSheetId="18">'TOT573'!$A$1:$O$605</definedName>
    <definedName name="_xlnm.Print_Area" localSheetId="19">'TOT581'!$A$1:$O$67</definedName>
    <definedName name="_xlnm.Print_Area" localSheetId="20">'TOT585 (Phase 1&amp;2)'!$A$1:$O$255</definedName>
    <definedName name="_xlnm.Print_Area" localSheetId="21">'TOT672 (part1)'!$A$1:$O$205</definedName>
    <definedName name="_xlnm.Print_Area" localSheetId="25">'TOT733-True-up'!$A$1:$O$35</definedName>
    <definedName name="_xlnm.Print_Area" localSheetId="23">'WDT1007-True-up'!$A$1:$O$65</definedName>
    <definedName name="_xlnm.Print_Area" localSheetId="22">'WDT1099'!$A$1:$O$51</definedName>
    <definedName name="_xlnm.Print_Area" localSheetId="26">'WDT400-True-up'!$A$1:$O$20</definedName>
    <definedName name="_xlnm.Print_Titles" localSheetId="1">'2016 Summary'!$1:$2</definedName>
    <definedName name="_xlnm.Print_Titles" localSheetId="0">'2017 Summary'!$1:$2</definedName>
    <definedName name="_xlnm.Print_Titles" localSheetId="27">'FERC Interest Rate'!$1:$1</definedName>
    <definedName name="_xlnm.Print_Titles" localSheetId="2">'TOT032'!$1:$9</definedName>
    <definedName name="_xlnm.Print_Titles" localSheetId="3">'TOT041'!$1:$8</definedName>
    <definedName name="_xlnm.Print_Titles" localSheetId="5">'TOT175 (adj)'!$1:$9</definedName>
    <definedName name="_xlnm.Print_Titles" localSheetId="6">'TOT211'!$1:$21</definedName>
    <definedName name="_xlnm.Print_Titles" localSheetId="7">'TOT219'!$1:$39</definedName>
    <definedName name="_xlnm.Print_Titles" localSheetId="8">'TOT223'!$1:$9</definedName>
    <definedName name="_xlnm.Print_Titles" localSheetId="9">'TOT278'!$1:$9</definedName>
    <definedName name="_xlnm.Print_Titles" localSheetId="10">'TOT381'!$1:$25</definedName>
    <definedName name="_xlnm.Print_Titles" localSheetId="11">'TOT404'!$1:$32</definedName>
    <definedName name="_xlnm.Print_Titles" localSheetId="12">'TOT411 (Phase 1&amp;2)'!$1:$19</definedName>
    <definedName name="_xlnm.Print_Titles" localSheetId="13">'TOT455'!$1:$27</definedName>
    <definedName name="_xlnm.Print_Titles" localSheetId="14">'TOT508'!$1:$9</definedName>
    <definedName name="_xlnm.Print_Titles" localSheetId="24">'TOT516-True-up'!$1:$21</definedName>
    <definedName name="_xlnm.Print_Titles" localSheetId="15">'TOT522'!$1:$9</definedName>
    <definedName name="_xlnm.Print_Titles" localSheetId="19">'TOT581'!$1:$32</definedName>
    <definedName name="_xlnm.Print_Titles" localSheetId="25">'TOT733-True-up'!$1:$10</definedName>
    <definedName name="_xlnm.Print_Titles" localSheetId="23">'WDT1007-True-up'!$1:$9</definedName>
    <definedName name="_xlnm.Print_Titles" localSheetId="22">'WDT1099'!$1:$30</definedName>
    <definedName name="_xlnm.Print_Titles" localSheetId="26">'WDT400-True-up'!$1:$10</definedName>
    <definedName name="Z_6086CA2F_D319_4FB4_8773_987A9787386E_.wvu.PrintArea" localSheetId="1" hidden="1">'2016 Summary'!$A$1:$I$106</definedName>
    <definedName name="Z_6086CA2F_D319_4FB4_8773_987A9787386E_.wvu.PrintArea" localSheetId="0" hidden="1">'2017 Summary'!$A$1:$I$145</definedName>
    <definedName name="Z_6086CA2F_D319_4FB4_8773_987A9787386E_.wvu.PrintTitles" localSheetId="1" hidden="1">'2016 Summary'!$1:$1</definedName>
    <definedName name="Z_6086CA2F_D319_4FB4_8773_987A9787386E_.wvu.PrintTitles" localSheetId="0" hidden="1">'2017 Summary'!$1:$1</definedName>
  </definedNames>
  <calcPr calcId="152511"/>
  <customWorkbookViews>
    <customWorkbookView name="Standard Configuration - Personal View" guid="{6086CA2F-D319-4FB4-8773-987A9787386E}" mergeInterval="0" personalView="1" maximized="1" windowWidth="1020" windowHeight="578" tabRatio="1000" activeSheetId="1"/>
  </customWorkbookViews>
</workbook>
</file>

<file path=xl/calcChain.xml><?xml version="1.0" encoding="utf-8"?>
<calcChain xmlns="http://schemas.openxmlformats.org/spreadsheetml/2006/main">
  <c r="P31" i="132" l="1"/>
  <c r="E20" i="168" l="1"/>
  <c r="D20" i="168"/>
  <c r="C20" i="168"/>
  <c r="F20" i="168" s="1"/>
  <c r="B20" i="168"/>
  <c r="O104" i="139"/>
  <c r="M104" i="139"/>
  <c r="O132" i="139"/>
  <c r="M132" i="139"/>
  <c r="O159" i="139"/>
  <c r="M159" i="139"/>
  <c r="O186" i="139"/>
  <c r="M186" i="139"/>
  <c r="H73" i="139"/>
  <c r="M22" i="174" l="1"/>
  <c r="J21" i="174"/>
  <c r="H91" i="177" l="1"/>
  <c r="H70" i="177"/>
  <c r="H69" i="177"/>
  <c r="H68" i="177"/>
  <c r="H67" i="177"/>
  <c r="H66" i="177"/>
  <c r="L69" i="177"/>
  <c r="J69" i="177"/>
  <c r="I69" i="177"/>
  <c r="K69" i="177" s="1"/>
  <c r="M69" i="177" s="1"/>
  <c r="L68" i="177"/>
  <c r="J68" i="177"/>
  <c r="I68" i="177"/>
  <c r="L67" i="177"/>
  <c r="J67" i="177"/>
  <c r="I67" i="177"/>
  <c r="L66" i="177"/>
  <c r="J66" i="177"/>
  <c r="I66" i="177"/>
  <c r="C38" i="177"/>
  <c r="K68" i="177" l="1"/>
  <c r="M68" i="177" s="1"/>
  <c r="K66" i="177"/>
  <c r="M66" i="177" s="1"/>
  <c r="K67" i="177"/>
  <c r="M67" i="177" s="1"/>
  <c r="F3" i="132"/>
  <c r="F4" i="132"/>
  <c r="F5" i="132"/>
  <c r="F6" i="132"/>
  <c r="F7" i="132"/>
  <c r="F8" i="132"/>
  <c r="F9" i="132"/>
  <c r="F10" i="132"/>
  <c r="F11" i="132"/>
  <c r="F12" i="132"/>
  <c r="F13" i="132"/>
  <c r="F14" i="132"/>
  <c r="F15" i="132"/>
  <c r="F16" i="132"/>
  <c r="F17" i="132"/>
  <c r="F18" i="132"/>
  <c r="F19" i="132"/>
  <c r="F20" i="132"/>
  <c r="F21" i="132"/>
  <c r="F22" i="132"/>
  <c r="F23" i="132"/>
  <c r="G14" i="171"/>
  <c r="G13" i="171"/>
  <c r="G12" i="171"/>
  <c r="G11" i="171"/>
  <c r="G10" i="171"/>
  <c r="G9" i="171"/>
  <c r="G8" i="171"/>
  <c r="G7" i="171"/>
  <c r="G6" i="171"/>
  <c r="G5" i="171"/>
  <c r="G4" i="171"/>
  <c r="G3" i="171"/>
  <c r="G2" i="171"/>
  <c r="F95" i="168"/>
  <c r="K48" i="187"/>
  <c r="M48" i="187" s="1"/>
  <c r="K47" i="187"/>
  <c r="M47" i="187" s="1"/>
  <c r="K46" i="187"/>
  <c r="M46" i="187" s="1"/>
  <c r="M45" i="187"/>
  <c r="K45" i="187"/>
  <c r="K44" i="187"/>
  <c r="M44" i="187" s="1"/>
  <c r="K43" i="187"/>
  <c r="M43" i="187" s="1"/>
  <c r="K42" i="187"/>
  <c r="M42" i="187" s="1"/>
  <c r="M41" i="187"/>
  <c r="K41" i="187"/>
  <c r="M40" i="187"/>
  <c r="K40" i="187"/>
  <c r="M39" i="187"/>
  <c r="K39" i="187"/>
  <c r="K38" i="187"/>
  <c r="M38" i="187" s="1"/>
  <c r="K37" i="187"/>
  <c r="M37" i="187" s="1"/>
  <c r="K36" i="187"/>
  <c r="M36" i="187" s="1"/>
  <c r="K35" i="187"/>
  <c r="K34" i="187"/>
  <c r="K33" i="187"/>
  <c r="B33" i="187"/>
  <c r="D29" i="187"/>
  <c r="C29" i="187"/>
  <c r="G33" i="187" s="1"/>
  <c r="L63" i="187" s="1"/>
  <c r="L28" i="187"/>
  <c r="C33" i="187" s="1"/>
  <c r="D33" i="187" s="1"/>
  <c r="F28" i="187"/>
  <c r="F27" i="187"/>
  <c r="E26" i="187"/>
  <c r="E29" i="187" s="1"/>
  <c r="D26" i="187"/>
  <c r="C26" i="187"/>
  <c r="F25" i="187"/>
  <c r="F24" i="187"/>
  <c r="F23" i="187"/>
  <c r="F22" i="187"/>
  <c r="F21" i="187"/>
  <c r="F20" i="187"/>
  <c r="F19" i="187"/>
  <c r="F18" i="187"/>
  <c r="F17" i="187"/>
  <c r="F16" i="187"/>
  <c r="F15" i="187"/>
  <c r="F14" i="187"/>
  <c r="F13" i="187"/>
  <c r="F12" i="187"/>
  <c r="F11" i="187"/>
  <c r="F10" i="187"/>
  <c r="F9" i="187"/>
  <c r="F8" i="187"/>
  <c r="F7" i="187"/>
  <c r="F6" i="187"/>
  <c r="F5" i="187"/>
  <c r="F4" i="187"/>
  <c r="F26" i="187" s="1"/>
  <c r="F29" i="187" s="1"/>
  <c r="F3" i="187"/>
  <c r="F2" i="187"/>
  <c r="K48" i="186"/>
  <c r="M48" i="186" s="1"/>
  <c r="K47" i="186"/>
  <c r="M47" i="186" s="1"/>
  <c r="K46" i="186"/>
  <c r="M46" i="186" s="1"/>
  <c r="K45" i="186"/>
  <c r="M45" i="186" s="1"/>
  <c r="K44" i="186"/>
  <c r="M44" i="186" s="1"/>
  <c r="K43" i="186"/>
  <c r="M43" i="186" s="1"/>
  <c r="M42" i="186"/>
  <c r="K42" i="186"/>
  <c r="K41" i="186"/>
  <c r="M41" i="186" s="1"/>
  <c r="K40" i="186"/>
  <c r="M40" i="186" s="1"/>
  <c r="K39" i="186"/>
  <c r="M39" i="186" s="1"/>
  <c r="K38" i="186"/>
  <c r="M38" i="186" s="1"/>
  <c r="M37" i="186"/>
  <c r="K37" i="186"/>
  <c r="M36" i="186"/>
  <c r="K36" i="186"/>
  <c r="K35" i="186"/>
  <c r="K34" i="186"/>
  <c r="K33" i="186"/>
  <c r="C33" i="186"/>
  <c r="B33" i="186" s="1"/>
  <c r="L29" i="186"/>
  <c r="L28" i="186"/>
  <c r="F28" i="186"/>
  <c r="F27" i="186"/>
  <c r="E26" i="186"/>
  <c r="E29" i="186" s="1"/>
  <c r="D26" i="186"/>
  <c r="D29" i="186" s="1"/>
  <c r="C26" i="186"/>
  <c r="C29" i="186" s="1"/>
  <c r="G33" i="186" s="1"/>
  <c r="F25" i="186"/>
  <c r="F24" i="186"/>
  <c r="F23" i="186"/>
  <c r="F22" i="186"/>
  <c r="F21" i="186"/>
  <c r="F20" i="186"/>
  <c r="F19" i="186"/>
  <c r="F18" i="186"/>
  <c r="F17" i="186"/>
  <c r="F16" i="186"/>
  <c r="F15" i="186"/>
  <c r="F14" i="186"/>
  <c r="F13" i="186"/>
  <c r="F12" i="186"/>
  <c r="F11" i="186"/>
  <c r="F10" i="186"/>
  <c r="F9" i="186"/>
  <c r="F8" i="186"/>
  <c r="F7" i="186"/>
  <c r="F6" i="186"/>
  <c r="F5" i="186"/>
  <c r="F4" i="186"/>
  <c r="F3" i="186"/>
  <c r="F2" i="186"/>
  <c r="C34" i="187" l="1"/>
  <c r="D33" i="186"/>
  <c r="F26" i="186"/>
  <c r="F29" i="186" s="1"/>
  <c r="L57" i="186"/>
  <c r="L55" i="186"/>
  <c r="L51" i="186"/>
  <c r="L58" i="186"/>
  <c r="L54" i="186"/>
  <c r="L52" i="186"/>
  <c r="L49" i="186"/>
  <c r="L59" i="186"/>
  <c r="L56" i="186"/>
  <c r="L53" i="186"/>
  <c r="L50" i="186"/>
  <c r="B34" i="187"/>
  <c r="D34" i="187"/>
  <c r="E33" i="187"/>
  <c r="H33" i="187" s="1"/>
  <c r="L65" i="187"/>
  <c r="L61" i="187"/>
  <c r="L57" i="187"/>
  <c r="L53" i="187"/>
  <c r="L49" i="187"/>
  <c r="L60" i="187"/>
  <c r="L58" i="187"/>
  <c r="L51" i="187"/>
  <c r="L64" i="187"/>
  <c r="L62" i="187"/>
  <c r="L55" i="187"/>
  <c r="L56" i="187"/>
  <c r="L59" i="187"/>
  <c r="L50" i="187"/>
  <c r="L52" i="187"/>
  <c r="C34" i="186"/>
  <c r="L54" i="187"/>
  <c r="E33" i="186" l="1"/>
  <c r="H33" i="186" s="1"/>
  <c r="N33" i="186" s="1"/>
  <c r="N33" i="187"/>
  <c r="D34" i="186"/>
  <c r="B34" i="186"/>
  <c r="L67" i="187"/>
  <c r="L61" i="186"/>
  <c r="C35" i="187"/>
  <c r="E34" i="187"/>
  <c r="O33" i="186" l="1"/>
  <c r="O33" i="187"/>
  <c r="D35" i="187"/>
  <c r="B35" i="187"/>
  <c r="C35" i="186"/>
  <c r="E34" i="186"/>
  <c r="G34" i="186" l="1"/>
  <c r="B35" i="186"/>
  <c r="D35" i="186"/>
  <c r="G34" i="187"/>
  <c r="E35" i="187"/>
  <c r="C36" i="187"/>
  <c r="C36" i="186" l="1"/>
  <c r="E35" i="186"/>
  <c r="H34" i="187"/>
  <c r="N34" i="187" s="1"/>
  <c r="H34" i="186"/>
  <c r="N34" i="186" s="1"/>
  <c r="B36" i="187"/>
  <c r="D36" i="187"/>
  <c r="O34" i="186" l="1"/>
  <c r="O34" i="187"/>
  <c r="C37" i="187"/>
  <c r="E36" i="187"/>
  <c r="D36" i="186"/>
  <c r="B36" i="186"/>
  <c r="E36" i="186" l="1"/>
  <c r="C37" i="186"/>
  <c r="G35" i="187"/>
  <c r="B37" i="187"/>
  <c r="D37" i="187"/>
  <c r="G35" i="186"/>
  <c r="C38" i="187" l="1"/>
  <c r="E37" i="187"/>
  <c r="H35" i="186"/>
  <c r="N35" i="186" s="1"/>
  <c r="H35" i="187"/>
  <c r="N35" i="187" s="1"/>
  <c r="D37" i="186"/>
  <c r="B37" i="186"/>
  <c r="O35" i="187" l="1"/>
  <c r="O35" i="186"/>
  <c r="E37" i="186"/>
  <c r="C38" i="186"/>
  <c r="D38" i="187"/>
  <c r="B38" i="187"/>
  <c r="B38" i="186" l="1"/>
  <c r="D38" i="186"/>
  <c r="G36" i="186"/>
  <c r="C39" i="187"/>
  <c r="E38" i="187"/>
  <c r="G36" i="187"/>
  <c r="H36" i="187" l="1"/>
  <c r="N36" i="187" s="1"/>
  <c r="H36" i="186"/>
  <c r="N36" i="186" s="1"/>
  <c r="C39" i="186"/>
  <c r="E38" i="186"/>
  <c r="D39" i="187"/>
  <c r="B39" i="187"/>
  <c r="O36" i="187" l="1"/>
  <c r="B39" i="186"/>
  <c r="D39" i="186"/>
  <c r="C40" i="187"/>
  <c r="E39" i="187"/>
  <c r="O36" i="186"/>
  <c r="G37" i="186" l="1"/>
  <c r="C40" i="186"/>
  <c r="E39" i="186"/>
  <c r="D40" i="187"/>
  <c r="B40" i="187"/>
  <c r="G37" i="187"/>
  <c r="H37" i="187" l="1"/>
  <c r="D40" i="186"/>
  <c r="B40" i="186"/>
  <c r="C41" i="187"/>
  <c r="E40" i="187"/>
  <c r="H37" i="186"/>
  <c r="N37" i="186" s="1"/>
  <c r="C41" i="186" l="1"/>
  <c r="E40" i="186"/>
  <c r="O37" i="186"/>
  <c r="B41" i="187"/>
  <c r="D41" i="187"/>
  <c r="N37" i="187"/>
  <c r="G38" i="186" l="1"/>
  <c r="E41" i="187"/>
  <c r="C42" i="187"/>
  <c r="O37" i="187"/>
  <c r="B41" i="186"/>
  <c r="D41" i="186"/>
  <c r="B42" i="187" l="1"/>
  <c r="D42" i="187"/>
  <c r="G38" i="187"/>
  <c r="C42" i="186"/>
  <c r="E41" i="186"/>
  <c r="H38" i="186"/>
  <c r="N38" i="186" s="1"/>
  <c r="O38" i="186" s="1"/>
  <c r="G39" i="186" s="1"/>
  <c r="C43" i="187" l="1"/>
  <c r="E42" i="187"/>
  <c r="B42" i="186"/>
  <c r="D42" i="186"/>
  <c r="H39" i="186"/>
  <c r="N39" i="186" s="1"/>
  <c r="O39" i="186" s="1"/>
  <c r="G40" i="186" s="1"/>
  <c r="H38" i="187"/>
  <c r="N38" i="187" s="1"/>
  <c r="O38" i="187" s="1"/>
  <c r="G39" i="187" s="1"/>
  <c r="H39" i="187" l="1"/>
  <c r="N39" i="187" s="1"/>
  <c r="O39" i="187" s="1"/>
  <c r="G40" i="187" s="1"/>
  <c r="H40" i="186"/>
  <c r="N40" i="186" s="1"/>
  <c r="O40" i="186" s="1"/>
  <c r="G41" i="186" s="1"/>
  <c r="N41" i="186" s="1"/>
  <c r="O41" i="186" s="1"/>
  <c r="G42" i="186" s="1"/>
  <c r="N42" i="186" s="1"/>
  <c r="O42" i="186" s="1"/>
  <c r="G43" i="186" s="1"/>
  <c r="N43" i="186" s="1"/>
  <c r="O43" i="186" s="1"/>
  <c r="G44" i="186" s="1"/>
  <c r="N44" i="186" s="1"/>
  <c r="O44" i="186" s="1"/>
  <c r="G45" i="186" s="1"/>
  <c r="N45" i="186" s="1"/>
  <c r="O45" i="186" s="1"/>
  <c r="G46" i="186" s="1"/>
  <c r="N46" i="186" s="1"/>
  <c r="O46" i="186" s="1"/>
  <c r="G47" i="186" s="1"/>
  <c r="N47" i="186" s="1"/>
  <c r="O47" i="186" s="1"/>
  <c r="G48" i="186" s="1"/>
  <c r="N48" i="186" s="1"/>
  <c r="O48" i="186" s="1"/>
  <c r="G49" i="186" s="1"/>
  <c r="C43" i="186"/>
  <c r="E42" i="186"/>
  <c r="D43" i="187"/>
  <c r="B43" i="187"/>
  <c r="H40" i="187" l="1"/>
  <c r="N40" i="187" s="1"/>
  <c r="O40" i="187" s="1"/>
  <c r="G41" i="187" s="1"/>
  <c r="E43" i="187"/>
  <c r="C44" i="187"/>
  <c r="I54" i="186"/>
  <c r="I53" i="186"/>
  <c r="I56" i="186"/>
  <c r="I49" i="186"/>
  <c r="I55" i="186"/>
  <c r="I59" i="186"/>
  <c r="I57" i="186"/>
  <c r="I50" i="186"/>
  <c r="I51" i="186"/>
  <c r="H61" i="186"/>
  <c r="I52" i="186"/>
  <c r="I58" i="186"/>
  <c r="B43" i="186"/>
  <c r="D43" i="186"/>
  <c r="I61" i="186" l="1"/>
  <c r="H41" i="187"/>
  <c r="N41" i="187" s="1"/>
  <c r="O41" i="187" s="1"/>
  <c r="G42" i="187" s="1"/>
  <c r="C44" i="186"/>
  <c r="E43" i="186"/>
  <c r="D44" i="187"/>
  <c r="B44" i="187"/>
  <c r="H42" i="187" l="1"/>
  <c r="N42" i="187" s="1"/>
  <c r="O42" i="187" s="1"/>
  <c r="G43" i="187" s="1"/>
  <c r="E44" i="187"/>
  <c r="C45" i="187"/>
  <c r="D44" i="186"/>
  <c r="B44" i="186"/>
  <c r="H43" i="187" l="1"/>
  <c r="N43" i="187" s="1"/>
  <c r="O43" i="187" s="1"/>
  <c r="G44" i="187" s="1"/>
  <c r="C45" i="186"/>
  <c r="E44" i="186"/>
  <c r="D45" i="187"/>
  <c r="B45" i="187"/>
  <c r="H44" i="187" l="1"/>
  <c r="N44" i="187" s="1"/>
  <c r="O44" i="187" s="1"/>
  <c r="G45" i="187" s="1"/>
  <c r="E45" i="187"/>
  <c r="C46" i="187"/>
  <c r="D45" i="186"/>
  <c r="B45" i="186"/>
  <c r="C46" i="186" l="1"/>
  <c r="E45" i="186"/>
  <c r="H45" i="187"/>
  <c r="N45" i="187" s="1"/>
  <c r="O45" i="187" s="1"/>
  <c r="G46" i="187" s="1"/>
  <c r="B46" i="187"/>
  <c r="D46" i="187"/>
  <c r="C47" i="187" l="1"/>
  <c r="H46" i="187"/>
  <c r="E46" i="187"/>
  <c r="D46" i="186"/>
  <c r="B46" i="186"/>
  <c r="I58" i="187" l="1"/>
  <c r="I56" i="187"/>
  <c r="I64" i="187"/>
  <c r="I54" i="187"/>
  <c r="I60" i="187"/>
  <c r="I55" i="187"/>
  <c r="H67" i="187"/>
  <c r="I59" i="187"/>
  <c r="I62" i="187"/>
  <c r="I63" i="187"/>
  <c r="I57" i="187"/>
  <c r="I49" i="187"/>
  <c r="I61" i="187"/>
  <c r="I51" i="187"/>
  <c r="I53" i="187"/>
  <c r="I50" i="187"/>
  <c r="I65" i="187"/>
  <c r="I52" i="187"/>
  <c r="N46" i="187"/>
  <c r="O46" i="187" s="1"/>
  <c r="G47" i="187" s="1"/>
  <c r="N47" i="187" s="1"/>
  <c r="O47" i="187" s="1"/>
  <c r="G48" i="187" s="1"/>
  <c r="N48" i="187" s="1"/>
  <c r="O48" i="187" s="1"/>
  <c r="G49" i="187" s="1"/>
  <c r="D47" i="187"/>
  <c r="B47" i="187"/>
  <c r="E46" i="186"/>
  <c r="C47" i="186"/>
  <c r="C48" i="187" l="1"/>
  <c r="E47" i="187"/>
  <c r="I67" i="187"/>
  <c r="B47" i="186"/>
  <c r="D47" i="186"/>
  <c r="D48" i="187" l="1"/>
  <c r="B48" i="187"/>
  <c r="C48" i="186"/>
  <c r="E47" i="186"/>
  <c r="D48" i="186" l="1"/>
  <c r="B48" i="186"/>
  <c r="C49" i="187"/>
  <c r="E48" i="187"/>
  <c r="D49" i="187" l="1"/>
  <c r="B49" i="187"/>
  <c r="E48" i="186"/>
  <c r="C49" i="186"/>
  <c r="B49" i="186" l="1"/>
  <c r="D49" i="186"/>
  <c r="C50" i="187"/>
  <c r="E49" i="187"/>
  <c r="J49" i="187"/>
  <c r="K49" i="187" l="1"/>
  <c r="N49" i="187"/>
  <c r="B50" i="187"/>
  <c r="D50" i="187"/>
  <c r="E49" i="186"/>
  <c r="C50" i="186"/>
  <c r="J49" i="186"/>
  <c r="N49" i="186" l="1"/>
  <c r="K49" i="186"/>
  <c r="D50" i="186"/>
  <c r="B50" i="186"/>
  <c r="M49" i="187"/>
  <c r="O49" i="187" s="1"/>
  <c r="G50" i="187" s="1"/>
  <c r="E50" i="187"/>
  <c r="C51" i="187"/>
  <c r="J50" i="187" l="1"/>
  <c r="C51" i="186"/>
  <c r="E50" i="186"/>
  <c r="D51" i="187"/>
  <c r="B51" i="187"/>
  <c r="M49" i="186"/>
  <c r="O49" i="186"/>
  <c r="G50" i="186" s="1"/>
  <c r="K50" i="187" l="1"/>
  <c r="J50" i="186"/>
  <c r="N50" i="186" s="1"/>
  <c r="B51" i="186"/>
  <c r="D51" i="186"/>
  <c r="E51" i="187"/>
  <c r="C52" i="187"/>
  <c r="N50" i="187"/>
  <c r="D52" i="187" l="1"/>
  <c r="B52" i="187"/>
  <c r="K50" i="186"/>
  <c r="C52" i="186"/>
  <c r="E51" i="186"/>
  <c r="M50" i="187"/>
  <c r="B52" i="186" l="1"/>
  <c r="D52" i="186"/>
  <c r="O50" i="187"/>
  <c r="G51" i="187" s="1"/>
  <c r="C53" i="187"/>
  <c r="E52" i="187"/>
  <c r="M50" i="186"/>
  <c r="O50" i="186" l="1"/>
  <c r="G51" i="186" s="1"/>
  <c r="J51" i="187"/>
  <c r="C53" i="186"/>
  <c r="E52" i="186"/>
  <c r="D53" i="187"/>
  <c r="B53" i="187"/>
  <c r="C54" i="187" l="1"/>
  <c r="E53" i="187"/>
  <c r="K51" i="187"/>
  <c r="N51" i="187"/>
  <c r="B53" i="186"/>
  <c r="D53" i="186"/>
  <c r="J51" i="186"/>
  <c r="E53" i="186" l="1"/>
  <c r="C54" i="186"/>
  <c r="M51" i="187"/>
  <c r="O51" i="187" s="1"/>
  <c r="G52" i="187" s="1"/>
  <c r="K51" i="186"/>
  <c r="B54" i="187"/>
  <c r="D54" i="187"/>
  <c r="N51" i="186"/>
  <c r="C55" i="187" l="1"/>
  <c r="E54" i="187"/>
  <c r="M51" i="186"/>
  <c r="O51" i="186" s="1"/>
  <c r="G52" i="186" s="1"/>
  <c r="D54" i="186"/>
  <c r="B54" i="186"/>
  <c r="J52" i="187"/>
  <c r="J52" i="186" l="1"/>
  <c r="N52" i="186" s="1"/>
  <c r="K52" i="187"/>
  <c r="M52" i="187" s="1"/>
  <c r="C55" i="186"/>
  <c r="E54" i="186"/>
  <c r="B55" i="187"/>
  <c r="D55" i="187"/>
  <c r="N52" i="187"/>
  <c r="O52" i="187" l="1"/>
  <c r="G53" i="187" s="1"/>
  <c r="J53" i="187" s="1"/>
  <c r="B55" i="186"/>
  <c r="D55" i="186"/>
  <c r="E55" i="187"/>
  <c r="C56" i="187"/>
  <c r="K52" i="186"/>
  <c r="M52" i="186" s="1"/>
  <c r="O52" i="186" s="1"/>
  <c r="G53" i="186" s="1"/>
  <c r="J53" i="186" l="1"/>
  <c r="D56" i="187"/>
  <c r="B56" i="187"/>
  <c r="K53" i="187"/>
  <c r="M53" i="187" s="1"/>
  <c r="C56" i="186"/>
  <c r="E55" i="186"/>
  <c r="N53" i="187"/>
  <c r="O53" i="187" s="1"/>
  <c r="G54" i="187" s="1"/>
  <c r="B56" i="186" l="1"/>
  <c r="D56" i="186"/>
  <c r="C57" i="187"/>
  <c r="E56" i="187"/>
  <c r="J54" i="187"/>
  <c r="K54" i="187" s="1"/>
  <c r="M54" i="187" s="1"/>
  <c r="K53" i="186"/>
  <c r="M53" i="186" s="1"/>
  <c r="N53" i="186"/>
  <c r="N54" i="187" l="1"/>
  <c r="O54" i="187" s="1"/>
  <c r="G55" i="187" s="1"/>
  <c r="J55" i="187"/>
  <c r="K55" i="187" s="1"/>
  <c r="M55" i="187" s="1"/>
  <c r="B57" i="187"/>
  <c r="D57" i="187"/>
  <c r="O53" i="186"/>
  <c r="G54" i="186" s="1"/>
  <c r="E56" i="186"/>
  <c r="C57" i="186"/>
  <c r="C58" i="187" l="1"/>
  <c r="E57" i="187"/>
  <c r="D57" i="186"/>
  <c r="B57" i="186"/>
  <c r="J54" i="186"/>
  <c r="K54" i="186" s="1"/>
  <c r="M54" i="186" s="1"/>
  <c r="N55" i="187"/>
  <c r="O55" i="187" s="1"/>
  <c r="G56" i="187" s="1"/>
  <c r="N54" i="186" l="1"/>
  <c r="O54" i="186" s="1"/>
  <c r="G55" i="186" s="1"/>
  <c r="J55" i="186" s="1"/>
  <c r="J56" i="187"/>
  <c r="K56" i="187" s="1"/>
  <c r="M56" i="187" s="1"/>
  <c r="E57" i="186"/>
  <c r="C58" i="186"/>
  <c r="B58" i="187"/>
  <c r="D58" i="187"/>
  <c r="N56" i="187" l="1"/>
  <c r="O56" i="187" s="1"/>
  <c r="G57" i="187" s="1"/>
  <c r="J57" i="187" s="1"/>
  <c r="K57" i="187" s="1"/>
  <c r="M57" i="187" s="1"/>
  <c r="K55" i="186"/>
  <c r="M55" i="186" s="1"/>
  <c r="N55" i="186"/>
  <c r="B58" i="186"/>
  <c r="D58" i="186"/>
  <c r="C59" i="187"/>
  <c r="E58" i="187"/>
  <c r="O55" i="186" l="1"/>
  <c r="G56" i="186" s="1"/>
  <c r="J56" i="186" s="1"/>
  <c r="K56" i="186" s="1"/>
  <c r="M56" i="186" s="1"/>
  <c r="N57" i="187"/>
  <c r="O57" i="187" s="1"/>
  <c r="G58" i="187" s="1"/>
  <c r="B59" i="187"/>
  <c r="D59" i="187"/>
  <c r="C59" i="186"/>
  <c r="E58" i="186"/>
  <c r="N56" i="186" l="1"/>
  <c r="O56" i="186" s="1"/>
  <c r="G57" i="186" s="1"/>
  <c r="J57" i="186" s="1"/>
  <c r="K57" i="186" s="1"/>
  <c r="M57" i="186" s="1"/>
  <c r="E59" i="187"/>
  <c r="C60" i="187"/>
  <c r="D59" i="186"/>
  <c r="B59" i="186"/>
  <c r="J58" i="187"/>
  <c r="K58" i="187" s="1"/>
  <c r="M58" i="187" s="1"/>
  <c r="N57" i="186" l="1"/>
  <c r="O57" i="186"/>
  <c r="G58" i="186" s="1"/>
  <c r="J58" i="186" s="1"/>
  <c r="K58" i="186" s="1"/>
  <c r="M58" i="186" s="1"/>
  <c r="E59" i="186"/>
  <c r="N58" i="187"/>
  <c r="O58" i="187" s="1"/>
  <c r="G59" i="187" s="1"/>
  <c r="D60" i="187"/>
  <c r="B60" i="187"/>
  <c r="N58" i="186" l="1"/>
  <c r="O58" i="186" s="1"/>
  <c r="G59" i="186" s="1"/>
  <c r="J59" i="186" s="1"/>
  <c r="C61" i="187"/>
  <c r="E60" i="187"/>
  <c r="J59" i="187"/>
  <c r="K59" i="187" s="1"/>
  <c r="M59" i="187" s="1"/>
  <c r="N59" i="187" l="1"/>
  <c r="O59" i="187" s="1"/>
  <c r="G60" i="187" s="1"/>
  <c r="J60" i="187" s="1"/>
  <c r="K60" i="187" s="1"/>
  <c r="M60" i="187" s="1"/>
  <c r="G61" i="186"/>
  <c r="K59" i="186"/>
  <c r="J61" i="186"/>
  <c r="N59" i="186"/>
  <c r="D61" i="187"/>
  <c r="B61" i="187"/>
  <c r="M59" i="186" l="1"/>
  <c r="M61" i="186" s="1"/>
  <c r="K61" i="186"/>
  <c r="E61" i="187"/>
  <c r="C62" i="187"/>
  <c r="N61" i="186"/>
  <c r="N60" i="187"/>
  <c r="O60" i="187" s="1"/>
  <c r="G61" i="187" s="1"/>
  <c r="O59" i="186" l="1"/>
  <c r="O61" i="186" s="1"/>
  <c r="J61" i="187"/>
  <c r="K61" i="187" s="1"/>
  <c r="M61" i="187" s="1"/>
  <c r="B62" i="187"/>
  <c r="D62" i="187"/>
  <c r="N61" i="187" l="1"/>
  <c r="O61" i="187" s="1"/>
  <c r="G62" i="187" s="1"/>
  <c r="C63" i="187"/>
  <c r="E62" i="187"/>
  <c r="J62" i="187" l="1"/>
  <c r="K62" i="187" s="1"/>
  <c r="M62" i="187" s="1"/>
  <c r="D63" i="187"/>
  <c r="B63" i="187"/>
  <c r="N62" i="187" l="1"/>
  <c r="O62" i="187" s="1"/>
  <c r="G63" i="187" s="1"/>
  <c r="E63" i="187"/>
  <c r="C64" i="187"/>
  <c r="J63" i="187"/>
  <c r="K63" i="187" l="1"/>
  <c r="M63" i="187" s="1"/>
  <c r="N63" i="187"/>
  <c r="O63" i="187" s="1"/>
  <c r="G64" i="187" s="1"/>
  <c r="D64" i="187"/>
  <c r="B64" i="187"/>
  <c r="C65" i="187" l="1"/>
  <c r="J64" i="187"/>
  <c r="E64" i="187"/>
  <c r="K64" i="187" l="1"/>
  <c r="M64" i="187" s="1"/>
  <c r="N64" i="187"/>
  <c r="D65" i="187"/>
  <c r="B65" i="187"/>
  <c r="O64" i="187" l="1"/>
  <c r="G65" i="187" s="1"/>
  <c r="E65" i="187"/>
  <c r="J65" i="187" l="1"/>
  <c r="N65" i="187" s="1"/>
  <c r="N67" i="187" s="1"/>
  <c r="G67" i="187"/>
  <c r="K65" i="187" l="1"/>
  <c r="J67" i="187"/>
  <c r="M65" i="187"/>
  <c r="K67" i="187"/>
  <c r="M67" i="187" l="1"/>
  <c r="O65" i="187"/>
  <c r="O67" i="187" s="1"/>
  <c r="A93" i="185" l="1"/>
  <c r="F90" i="185"/>
  <c r="F85" i="185"/>
  <c r="F83" i="185"/>
  <c r="F80" i="185"/>
  <c r="F75" i="185"/>
  <c r="F70" i="185"/>
  <c r="F65" i="185"/>
  <c r="I63" i="185"/>
  <c r="F60" i="185"/>
  <c r="I58" i="185"/>
  <c r="F55" i="185"/>
  <c r="I53" i="185"/>
  <c r="F50" i="185"/>
  <c r="F45" i="185"/>
  <c r="I43" i="185"/>
  <c r="F40" i="185"/>
  <c r="F35" i="185"/>
  <c r="I33" i="185"/>
  <c r="F30" i="185"/>
  <c r="F25" i="185"/>
  <c r="I23" i="185"/>
  <c r="F20" i="185"/>
  <c r="F15" i="185"/>
  <c r="F10" i="185"/>
  <c r="G94" i="185"/>
  <c r="E5" i="185"/>
  <c r="D5" i="185"/>
  <c r="C5" i="185"/>
  <c r="B5" i="185"/>
  <c r="F23" i="185" l="1"/>
  <c r="F14" i="185"/>
  <c r="F63" i="185"/>
  <c r="F18" i="185"/>
  <c r="I88" i="185"/>
  <c r="F9" i="185"/>
  <c r="F49" i="185"/>
  <c r="F78" i="185"/>
  <c r="I83" i="185"/>
  <c r="F69" i="185"/>
  <c r="I68" i="185"/>
  <c r="I48" i="185"/>
  <c r="I38" i="185"/>
  <c r="I28" i="185"/>
  <c r="I18" i="185"/>
  <c r="F84" i="185"/>
  <c r="I73" i="185"/>
  <c r="F58" i="185"/>
  <c r="E94" i="185"/>
  <c r="I13" i="185"/>
  <c r="F53" i="185"/>
  <c r="F54" i="185"/>
  <c r="F73" i="185"/>
  <c r="F74" i="185"/>
  <c r="I78" i="185"/>
  <c r="D94" i="185"/>
  <c r="F59" i="185"/>
  <c r="F79" i="185"/>
  <c r="F88" i="185" l="1"/>
  <c r="E96" i="185"/>
  <c r="C96" i="185"/>
  <c r="F34" i="185"/>
  <c r="E95" i="185"/>
  <c r="F19" i="185"/>
  <c r="D95" i="185"/>
  <c r="F28" i="185"/>
  <c r="D96" i="185"/>
  <c r="C94" i="185"/>
  <c r="F48" i="185"/>
  <c r="F64" i="185"/>
  <c r="F29" i="185"/>
  <c r="F43" i="185"/>
  <c r="B94" i="185"/>
  <c r="C95" i="185"/>
  <c r="F38" i="185"/>
  <c r="F68" i="185"/>
  <c r="F8" i="185"/>
  <c r="F24" i="185"/>
  <c r="F44" i="185"/>
  <c r="H94" i="185"/>
  <c r="F89" i="185"/>
  <c r="F39" i="185"/>
  <c r="B95" i="185"/>
  <c r="F95" i="185" s="1"/>
  <c r="B96" i="185"/>
  <c r="F96" i="185" s="1"/>
  <c r="I8" i="185"/>
  <c r="I94" i="185" s="1"/>
  <c r="F13" i="185"/>
  <c r="F33" i="185"/>
  <c r="F94" i="185" l="1"/>
  <c r="G128" i="168" l="1"/>
  <c r="D128" i="168"/>
  <c r="G11" i="181"/>
  <c r="C11" i="181"/>
  <c r="L7" i="181"/>
  <c r="F6" i="181"/>
  <c r="F5" i="181"/>
  <c r="G123" i="168"/>
  <c r="J18" i="181"/>
  <c r="L16" i="181"/>
  <c r="K15" i="181"/>
  <c r="M15" i="181" s="1"/>
  <c r="K14" i="181"/>
  <c r="M14" i="181" s="1"/>
  <c r="K13" i="181"/>
  <c r="M13" i="181" s="1"/>
  <c r="K12" i="181"/>
  <c r="M12" i="181" s="1"/>
  <c r="K11" i="181"/>
  <c r="M11" i="181" s="1"/>
  <c r="E3" i="181"/>
  <c r="E7" i="181" s="1"/>
  <c r="D3" i="181"/>
  <c r="D7" i="181" s="1"/>
  <c r="C3" i="181"/>
  <c r="C7" i="181" s="1"/>
  <c r="F2" i="181"/>
  <c r="F3" i="181" s="1"/>
  <c r="L18" i="181" l="1"/>
  <c r="F7" i="181"/>
  <c r="H123" i="168"/>
  <c r="I123" i="168" s="1"/>
  <c r="D11" i="181" l="1"/>
  <c r="B11" i="181"/>
  <c r="C12" i="181" l="1"/>
  <c r="E11" i="181"/>
  <c r="D12" i="181" l="1"/>
  <c r="B12" i="181"/>
  <c r="E12" i="181" l="1"/>
  <c r="C13" i="181"/>
  <c r="B13" i="181" l="1"/>
  <c r="D13" i="181"/>
  <c r="C14" i="181" l="1"/>
  <c r="E13" i="181"/>
  <c r="B14" i="181" l="1"/>
  <c r="D14" i="181"/>
  <c r="C15" i="181" l="1"/>
  <c r="E14" i="181"/>
  <c r="D15" i="181" l="1"/>
  <c r="B15" i="181"/>
  <c r="E15" i="181" l="1"/>
  <c r="C16" i="181"/>
  <c r="E16" i="181" l="1"/>
  <c r="B16" i="181"/>
  <c r="F44" i="139" l="1"/>
  <c r="C44" i="139"/>
  <c r="F43" i="139"/>
  <c r="C43" i="139"/>
  <c r="F42" i="139"/>
  <c r="C42" i="139"/>
  <c r="F41" i="139"/>
  <c r="D41" i="139"/>
  <c r="C41" i="139"/>
  <c r="K72" i="139"/>
  <c r="M72" i="139" s="1"/>
  <c r="K71" i="139"/>
  <c r="M71" i="139" s="1"/>
  <c r="K70" i="139"/>
  <c r="M70" i="139" s="1"/>
  <c r="K69" i="139"/>
  <c r="M69" i="139" s="1"/>
  <c r="K68" i="139"/>
  <c r="M68" i="139" s="1"/>
  <c r="G68" i="139"/>
  <c r="L89" i="139" s="1"/>
  <c r="C68" i="139"/>
  <c r="D68" i="139" s="1"/>
  <c r="E41" i="139" l="1"/>
  <c r="L78" i="139"/>
  <c r="L86" i="139"/>
  <c r="L92" i="139"/>
  <c r="L79" i="139"/>
  <c r="L87" i="139"/>
  <c r="L82" i="139"/>
  <c r="L90" i="139"/>
  <c r="L83" i="139"/>
  <c r="L91" i="139"/>
  <c r="L76" i="139"/>
  <c r="L80" i="139"/>
  <c r="L84" i="139"/>
  <c r="L88" i="139"/>
  <c r="L77" i="139"/>
  <c r="L81" i="139"/>
  <c r="L85" i="139"/>
  <c r="E68" i="139"/>
  <c r="D69" i="139"/>
  <c r="F68" i="139"/>
  <c r="C69" i="139"/>
  <c r="B69" i="139" s="1"/>
  <c r="H128" i="168"/>
  <c r="L23" i="179"/>
  <c r="L25" i="179" s="1"/>
  <c r="L31" i="179"/>
  <c r="K30" i="179"/>
  <c r="K29" i="179"/>
  <c r="K28" i="179"/>
  <c r="G28" i="179"/>
  <c r="C28" i="179"/>
  <c r="K22" i="179"/>
  <c r="K21" i="179"/>
  <c r="K20" i="179"/>
  <c r="K19" i="179"/>
  <c r="G19" i="179"/>
  <c r="C19" i="179"/>
  <c r="B19" i="179" s="1"/>
  <c r="H68" i="139" l="1"/>
  <c r="N68" i="139" s="1"/>
  <c r="C70" i="139"/>
  <c r="B70" i="139" s="1"/>
  <c r="F69" i="139"/>
  <c r="D70" i="139"/>
  <c r="E69" i="139"/>
  <c r="L33" i="179"/>
  <c r="D19" i="179"/>
  <c r="B28" i="179"/>
  <c r="D28" i="179"/>
  <c r="O68" i="139" l="1"/>
  <c r="G69" i="139" s="1"/>
  <c r="D71" i="139"/>
  <c r="E70" i="139"/>
  <c r="C71" i="139"/>
  <c r="B71" i="139" s="1"/>
  <c r="F70" i="139"/>
  <c r="C29" i="179"/>
  <c r="E28" i="179"/>
  <c r="E19" i="179"/>
  <c r="C20" i="179"/>
  <c r="H11" i="181" l="1"/>
  <c r="N11" i="181" s="1"/>
  <c r="O11" i="181" s="1"/>
  <c r="G12" i="181" s="1"/>
  <c r="H12" i="181" s="1"/>
  <c r="N12" i="181" s="1"/>
  <c r="O12" i="181" s="1"/>
  <c r="G13" i="181" s="1"/>
  <c r="H13" i="181" s="1"/>
  <c r="N13" i="181" s="1"/>
  <c r="O13" i="181" s="1"/>
  <c r="G14" i="181" s="1"/>
  <c r="H14" i="181" s="1"/>
  <c r="N14" i="181" s="1"/>
  <c r="O14" i="181" s="1"/>
  <c r="G15" i="181" s="1"/>
  <c r="H15" i="181" s="1"/>
  <c r="N15" i="181" s="1"/>
  <c r="O15" i="181" s="1"/>
  <c r="G16" i="181" s="1"/>
  <c r="C72" i="139"/>
  <c r="B72" i="139" s="1"/>
  <c r="F71" i="139"/>
  <c r="D72" i="139"/>
  <c r="E71" i="139"/>
  <c r="H69" i="139"/>
  <c r="H28" i="179"/>
  <c r="N28" i="179" s="1"/>
  <c r="D20" i="179"/>
  <c r="B20" i="179"/>
  <c r="D29" i="179"/>
  <c r="B29" i="179"/>
  <c r="H19" i="179"/>
  <c r="H16" i="181" l="1"/>
  <c r="G18" i="181"/>
  <c r="N69" i="139"/>
  <c r="E72" i="139"/>
  <c r="D73" i="139"/>
  <c r="C73" i="139"/>
  <c r="B73" i="139" s="1"/>
  <c r="F72" i="139"/>
  <c r="O69" i="139"/>
  <c r="O28" i="179"/>
  <c r="E20" i="179"/>
  <c r="C21" i="179"/>
  <c r="N19" i="179"/>
  <c r="E29" i="179"/>
  <c r="C30" i="179"/>
  <c r="N16" i="181" l="1"/>
  <c r="H18" i="181"/>
  <c r="I16" i="181"/>
  <c r="G70" i="139"/>
  <c r="C74" i="139"/>
  <c r="B74" i="139" s="1"/>
  <c r="F73" i="139"/>
  <c r="D74" i="139"/>
  <c r="E73" i="139"/>
  <c r="B30" i="179"/>
  <c r="D30" i="179"/>
  <c r="B21" i="179"/>
  <c r="D21" i="179"/>
  <c r="G29" i="179"/>
  <c r="O19" i="179"/>
  <c r="I18" i="181" l="1"/>
  <c r="K16" i="181"/>
  <c r="D129" i="168" s="1"/>
  <c r="N18" i="181"/>
  <c r="D75" i="139"/>
  <c r="E74" i="139"/>
  <c r="C75" i="139"/>
  <c r="B75" i="139" s="1"/>
  <c r="F74" i="139"/>
  <c r="H70" i="139"/>
  <c r="H29" i="179"/>
  <c r="E30" i="179"/>
  <c r="C31" i="179"/>
  <c r="E21" i="179"/>
  <c r="C22" i="179"/>
  <c r="G20" i="179"/>
  <c r="K18" i="181" l="1"/>
  <c r="M16" i="181"/>
  <c r="N29" i="179"/>
  <c r="O29" i="179" s="1"/>
  <c r="O70" i="139"/>
  <c r="G71" i="139" s="1"/>
  <c r="N70" i="139"/>
  <c r="D76" i="139"/>
  <c r="F75" i="139"/>
  <c r="E75" i="139"/>
  <c r="C76" i="139"/>
  <c r="B76" i="139" s="1"/>
  <c r="D31" i="179"/>
  <c r="B31" i="179"/>
  <c r="D22" i="179"/>
  <c r="B22" i="179"/>
  <c r="H20" i="179"/>
  <c r="N20" i="179" s="1"/>
  <c r="M18" i="181" l="1"/>
  <c r="O16" i="181"/>
  <c r="O18" i="181" s="1"/>
  <c r="F76" i="139"/>
  <c r="C77" i="139"/>
  <c r="B77" i="139" s="1"/>
  <c r="D77" i="139"/>
  <c r="E76" i="139"/>
  <c r="H71" i="139"/>
  <c r="N71" i="139" s="1"/>
  <c r="O20" i="179"/>
  <c r="C23" i="179"/>
  <c r="E22" i="179"/>
  <c r="E31" i="179"/>
  <c r="G30" i="179"/>
  <c r="H30" i="179" s="1"/>
  <c r="O71" i="139" l="1"/>
  <c r="G72" i="139" s="1"/>
  <c r="D78" i="139"/>
  <c r="E77" i="139"/>
  <c r="C78" i="139"/>
  <c r="B78" i="139" s="1"/>
  <c r="F77" i="139"/>
  <c r="G21" i="179"/>
  <c r="B23" i="179"/>
  <c r="D23" i="179"/>
  <c r="C79" i="139" l="1"/>
  <c r="B79" i="139" s="1"/>
  <c r="E78" i="139"/>
  <c r="D79" i="139"/>
  <c r="H72" i="139"/>
  <c r="H21" i="179"/>
  <c r="E23" i="179"/>
  <c r="N30" i="179"/>
  <c r="O72" i="139" l="1"/>
  <c r="G73" i="139" s="1"/>
  <c r="J73" i="139" s="1"/>
  <c r="N72" i="139"/>
  <c r="D80" i="139"/>
  <c r="E79" i="139"/>
  <c r="C80" i="139"/>
  <c r="B80" i="139" s="1"/>
  <c r="N21" i="179"/>
  <c r="O30" i="179"/>
  <c r="K73" i="139" l="1"/>
  <c r="D42" i="139"/>
  <c r="E42" i="139" s="1"/>
  <c r="C81" i="139"/>
  <c r="B81" i="139" s="1"/>
  <c r="E80" i="139"/>
  <c r="D81" i="139"/>
  <c r="N73" i="139"/>
  <c r="O73" i="139" s="1"/>
  <c r="O21" i="179"/>
  <c r="G31" i="179"/>
  <c r="H31" i="179" s="1"/>
  <c r="I31" i="179" s="1"/>
  <c r="I33" i="179" l="1"/>
  <c r="K31" i="179"/>
  <c r="M31" i="179" s="1"/>
  <c r="G74" i="139"/>
  <c r="J74" i="139" s="1"/>
  <c r="D82" i="139"/>
  <c r="E81" i="139"/>
  <c r="C82" i="139"/>
  <c r="B82" i="139" s="1"/>
  <c r="H33" i="179"/>
  <c r="N31" i="179"/>
  <c r="G22" i="179"/>
  <c r="H22" i="179" s="1"/>
  <c r="K74" i="139" l="1"/>
  <c r="C83" i="139"/>
  <c r="B83" i="139" s="1"/>
  <c r="D83" i="139"/>
  <c r="E82" i="139"/>
  <c r="O31" i="179"/>
  <c r="I23" i="179"/>
  <c r="N22" i="179"/>
  <c r="N74" i="139" l="1"/>
  <c r="O74" i="139" s="1"/>
  <c r="G75" i="139" s="1"/>
  <c r="J75" i="139" s="1"/>
  <c r="D84" i="139"/>
  <c r="E83" i="139"/>
  <c r="C84" i="139"/>
  <c r="B84" i="139" s="1"/>
  <c r="O22" i="179"/>
  <c r="K23" i="179"/>
  <c r="I25" i="179"/>
  <c r="K75" i="139" l="1"/>
  <c r="N75" i="139"/>
  <c r="O75" i="139" s="1"/>
  <c r="C85" i="139"/>
  <c r="B85" i="139" s="1"/>
  <c r="D85" i="139"/>
  <c r="E84" i="139"/>
  <c r="G23" i="179"/>
  <c r="H23" i="179" s="1"/>
  <c r="M23" i="179"/>
  <c r="D86" i="139" l="1"/>
  <c r="E85" i="139"/>
  <c r="C86" i="139"/>
  <c r="B86" i="139" s="1"/>
  <c r="H25" i="179"/>
  <c r="C87" i="139" l="1"/>
  <c r="B87" i="139" s="1"/>
  <c r="E86" i="139"/>
  <c r="D87" i="139"/>
  <c r="N23" i="179"/>
  <c r="D88" i="139" l="1"/>
  <c r="E87" i="139"/>
  <c r="C88" i="139"/>
  <c r="B88" i="139" s="1"/>
  <c r="M33" i="179"/>
  <c r="O23" i="179"/>
  <c r="C89" i="139" l="1"/>
  <c r="B89" i="139" s="1"/>
  <c r="E88" i="139"/>
  <c r="D89" i="139"/>
  <c r="O33" i="179"/>
  <c r="D90" i="139" l="1"/>
  <c r="E89" i="139"/>
  <c r="C90" i="139"/>
  <c r="B90" i="139" s="1"/>
  <c r="G33" i="179"/>
  <c r="C91" i="139" l="1"/>
  <c r="B91" i="139" s="1"/>
  <c r="D91" i="139"/>
  <c r="E90" i="139"/>
  <c r="J33" i="179"/>
  <c r="D92" i="139" l="1"/>
  <c r="E91" i="139"/>
  <c r="C92" i="139"/>
  <c r="B92" i="139" s="1"/>
  <c r="N33" i="179"/>
  <c r="K33" i="179"/>
  <c r="M25" i="179"/>
  <c r="E92" i="139" l="1"/>
  <c r="O25" i="179" l="1"/>
  <c r="J25" i="179" l="1"/>
  <c r="K25" i="179" l="1"/>
  <c r="C125" i="168" l="1"/>
  <c r="F125" i="168" s="1"/>
  <c r="G25" i="179"/>
  <c r="N25" i="179" l="1"/>
  <c r="F13" i="178" l="1"/>
  <c r="F12" i="178"/>
  <c r="F11" i="178"/>
  <c r="F9" i="178"/>
  <c r="F8" i="178"/>
  <c r="F7" i="178"/>
  <c r="F5" i="178"/>
  <c r="F4" i="178"/>
  <c r="F3" i="178"/>
  <c r="F2" i="178"/>
  <c r="K12" i="179"/>
  <c r="K11" i="179"/>
  <c r="C11" i="179"/>
  <c r="F6" i="179"/>
  <c r="F5" i="179"/>
  <c r="E4" i="179"/>
  <c r="E7" i="179" s="1"/>
  <c r="D4" i="179"/>
  <c r="D7" i="179" s="1"/>
  <c r="C4" i="179"/>
  <c r="C7" i="179" s="1"/>
  <c r="G11" i="179" s="1"/>
  <c r="L13" i="179" s="1"/>
  <c r="F3" i="179"/>
  <c r="F2" i="179"/>
  <c r="K26" i="178"/>
  <c r="M26" i="178" s="1"/>
  <c r="K25" i="178"/>
  <c r="M25" i="178" s="1"/>
  <c r="K24" i="178"/>
  <c r="K23" i="178"/>
  <c r="K22" i="178"/>
  <c r="C22" i="178"/>
  <c r="F17" i="178"/>
  <c r="F16" i="178"/>
  <c r="E15" i="178"/>
  <c r="E18" i="178" s="1"/>
  <c r="D15" i="178"/>
  <c r="D18" i="178" s="1"/>
  <c r="F14" i="178"/>
  <c r="F10" i="178"/>
  <c r="F6" i="178"/>
  <c r="F130" i="168"/>
  <c r="I128" i="168"/>
  <c r="F120" i="168"/>
  <c r="F4" i="179" l="1"/>
  <c r="F7" i="179" s="1"/>
  <c r="C15" i="178"/>
  <c r="C18" i="178" s="1"/>
  <c r="F15" i="178"/>
  <c r="F18" i="178" s="1"/>
  <c r="B11" i="179"/>
  <c r="D11" i="179"/>
  <c r="D22" i="178"/>
  <c r="B22" i="178"/>
  <c r="G22" i="178" l="1"/>
  <c r="L27" i="178" s="1"/>
  <c r="G118" i="168"/>
  <c r="H118" i="168" s="1"/>
  <c r="L15" i="179"/>
  <c r="C123" i="168" s="1"/>
  <c r="F11" i="179"/>
  <c r="C12" i="179"/>
  <c r="E11" i="179"/>
  <c r="F22" i="178"/>
  <c r="C23" i="178"/>
  <c r="E22" i="178"/>
  <c r="L29" i="178"/>
  <c r="H22" i="178" l="1"/>
  <c r="N22" i="178" s="1"/>
  <c r="H11" i="179"/>
  <c r="N11" i="179" s="1"/>
  <c r="D12" i="179"/>
  <c r="C13" i="179" s="1"/>
  <c r="B12" i="179"/>
  <c r="B23" i="178"/>
  <c r="D23" i="178"/>
  <c r="B13" i="179" l="1"/>
  <c r="D13" i="179"/>
  <c r="O11" i="179"/>
  <c r="F12" i="179"/>
  <c r="E12" i="179"/>
  <c r="F23" i="178"/>
  <c r="C24" i="178"/>
  <c r="E23" i="178"/>
  <c r="O22" i="178"/>
  <c r="E13" i="179" l="1"/>
  <c r="F13" i="179"/>
  <c r="G12" i="179"/>
  <c r="D24" i="178"/>
  <c r="B24" i="178"/>
  <c r="G23" i="178"/>
  <c r="H12" i="179" l="1"/>
  <c r="H23" i="178"/>
  <c r="F24" i="178"/>
  <c r="C25" i="178"/>
  <c r="E24" i="178"/>
  <c r="N12" i="179" l="1"/>
  <c r="O12" i="179" s="1"/>
  <c r="G13" i="179" s="1"/>
  <c r="B25" i="178"/>
  <c r="D25" i="178"/>
  <c r="N23" i="178"/>
  <c r="H13" i="179" l="1"/>
  <c r="N13" i="179" s="1"/>
  <c r="C26" i="178"/>
  <c r="F25" i="178"/>
  <c r="E25" i="178"/>
  <c r="O23" i="178"/>
  <c r="G24" i="178" l="1"/>
  <c r="D26" i="178"/>
  <c r="B26" i="178"/>
  <c r="C27" i="178" l="1"/>
  <c r="E26" i="178"/>
  <c r="F26" i="178"/>
  <c r="H24" i="178"/>
  <c r="N24" i="178" l="1"/>
  <c r="B27" i="178"/>
  <c r="D27" i="178"/>
  <c r="I118" i="168" l="1"/>
  <c r="O24" i="178"/>
  <c r="E27" i="178"/>
  <c r="F27" i="178"/>
  <c r="G25" i="178" l="1"/>
  <c r="H25" i="178" l="1"/>
  <c r="N25" i="178" s="1"/>
  <c r="O25" i="178" l="1"/>
  <c r="G26" i="178" l="1"/>
  <c r="H26" i="178" s="1"/>
  <c r="N26" i="178" l="1"/>
  <c r="O26" i="178" l="1"/>
  <c r="G27" i="178" l="1"/>
  <c r="H27" i="178" s="1"/>
  <c r="I27" i="178" s="1"/>
  <c r="N27" i="178" l="1"/>
  <c r="J15" i="179" l="1"/>
  <c r="C12" i="174" l="1"/>
  <c r="C11" i="174"/>
  <c r="F84" i="139" l="1"/>
  <c r="F79" i="139"/>
  <c r="F83" i="139"/>
  <c r="F87" i="139"/>
  <c r="F80" i="139"/>
  <c r="F88" i="139"/>
  <c r="F81" i="139"/>
  <c r="F85" i="139"/>
  <c r="F89" i="139"/>
  <c r="F78" i="139"/>
  <c r="F82" i="139"/>
  <c r="F86" i="139"/>
  <c r="F90" i="139"/>
  <c r="F91" i="139"/>
  <c r="F92" i="139"/>
  <c r="H89" i="177" l="1"/>
  <c r="H88" i="177"/>
  <c r="H87" i="177"/>
  <c r="H86" i="177"/>
  <c r="H85" i="177"/>
  <c r="H84" i="177"/>
  <c r="H83" i="177"/>
  <c r="H82" i="177"/>
  <c r="H81" i="177"/>
  <c r="H80" i="177"/>
  <c r="H79" i="177"/>
  <c r="H78" i="177"/>
  <c r="H77" i="177"/>
  <c r="H76" i="177"/>
  <c r="H75" i="177"/>
  <c r="H74" i="177"/>
  <c r="H73" i="177"/>
  <c r="H72" i="177"/>
  <c r="H71" i="177"/>
  <c r="J70" i="177"/>
  <c r="G38" i="177"/>
  <c r="K41" i="177"/>
  <c r="F50" i="157"/>
  <c r="D50" i="157"/>
  <c r="C50" i="157"/>
  <c r="F49" i="157"/>
  <c r="D49" i="157"/>
  <c r="C49" i="157"/>
  <c r="F48" i="157"/>
  <c r="D48" i="157"/>
  <c r="C48" i="157"/>
  <c r="L252" i="160"/>
  <c r="L251" i="160"/>
  <c r="L250" i="160"/>
  <c r="L249" i="160"/>
  <c r="L248" i="160"/>
  <c r="L247" i="160"/>
  <c r="L246" i="160"/>
  <c r="L245" i="160"/>
  <c r="L244" i="160"/>
  <c r="L243" i="160"/>
  <c r="L242" i="160"/>
  <c r="L241" i="160"/>
  <c r="L240" i="160"/>
  <c r="L239" i="160"/>
  <c r="L238" i="160"/>
  <c r="L237" i="160"/>
  <c r="L236" i="160"/>
  <c r="L235" i="160"/>
  <c r="L234" i="160"/>
  <c r="L233" i="160"/>
  <c r="L223" i="160"/>
  <c r="L222" i="160"/>
  <c r="L221" i="160"/>
  <c r="L220" i="160"/>
  <c r="L219" i="160"/>
  <c r="L218" i="160"/>
  <c r="L217" i="160"/>
  <c r="L216" i="160"/>
  <c r="L215" i="160"/>
  <c r="L214" i="160"/>
  <c r="L213" i="160"/>
  <c r="L212" i="160"/>
  <c r="L211" i="160"/>
  <c r="L210" i="160"/>
  <c r="L209" i="160"/>
  <c r="L208" i="160"/>
  <c r="L207" i="160"/>
  <c r="L206" i="160"/>
  <c r="L205" i="160"/>
  <c r="L204" i="160"/>
  <c r="K232" i="160"/>
  <c r="M232" i="160" s="1"/>
  <c r="K231" i="160"/>
  <c r="M231" i="160" s="1"/>
  <c r="K230" i="160"/>
  <c r="M230" i="160" s="1"/>
  <c r="K229" i="160"/>
  <c r="M229" i="160" s="1"/>
  <c r="K228" i="160"/>
  <c r="M228" i="160" s="1"/>
  <c r="G228" i="160"/>
  <c r="C228" i="160"/>
  <c r="D228" i="160" s="1"/>
  <c r="C229" i="160" s="1"/>
  <c r="B229" i="160" s="1"/>
  <c r="K203" i="160"/>
  <c r="M203" i="160" s="1"/>
  <c r="K202" i="160"/>
  <c r="M202" i="160" s="1"/>
  <c r="K201" i="160"/>
  <c r="M201" i="160" s="1"/>
  <c r="K200" i="160"/>
  <c r="M200" i="160" s="1"/>
  <c r="K199" i="160"/>
  <c r="M199" i="160" s="1"/>
  <c r="K198" i="160"/>
  <c r="G198" i="160"/>
  <c r="C198" i="160"/>
  <c r="B198" i="160" s="1"/>
  <c r="L174" i="160"/>
  <c r="L193" i="160"/>
  <c r="L192" i="160"/>
  <c r="L143" i="160"/>
  <c r="L162" i="160"/>
  <c r="L161" i="160"/>
  <c r="L130" i="160"/>
  <c r="L129" i="160"/>
  <c r="L128" i="160"/>
  <c r="L111" i="160"/>
  <c r="L97" i="160"/>
  <c r="L96" i="160"/>
  <c r="L78" i="160"/>
  <c r="D53" i="143"/>
  <c r="A53" i="143"/>
  <c r="B53" i="143" s="1"/>
  <c r="L602" i="143"/>
  <c r="L601" i="143"/>
  <c r="L600" i="143"/>
  <c r="L599" i="143"/>
  <c r="L598" i="143"/>
  <c r="L597" i="143"/>
  <c r="L596" i="143"/>
  <c r="L595" i="143"/>
  <c r="L594" i="143"/>
  <c r="L593" i="143"/>
  <c r="L592" i="143"/>
  <c r="L591" i="143"/>
  <c r="L590" i="143"/>
  <c r="L589" i="143"/>
  <c r="L588" i="143"/>
  <c r="L587" i="143"/>
  <c r="L586" i="143"/>
  <c r="L585" i="143"/>
  <c r="L584" i="143"/>
  <c r="L583" i="143"/>
  <c r="L575" i="143"/>
  <c r="L574" i="143"/>
  <c r="L573" i="143"/>
  <c r="L572" i="143"/>
  <c r="L571" i="143"/>
  <c r="L570" i="143"/>
  <c r="L569" i="143"/>
  <c r="L568" i="143"/>
  <c r="L567" i="143"/>
  <c r="L566" i="143"/>
  <c r="L565" i="143"/>
  <c r="L564" i="143"/>
  <c r="L563" i="143"/>
  <c r="L562" i="143"/>
  <c r="L561" i="143"/>
  <c r="L560" i="143"/>
  <c r="L559" i="143"/>
  <c r="L558" i="143"/>
  <c r="L557" i="143"/>
  <c r="L556" i="143"/>
  <c r="L546" i="143"/>
  <c r="L545" i="143"/>
  <c r="L544" i="143"/>
  <c r="L543" i="143"/>
  <c r="L542" i="143"/>
  <c r="L541" i="143"/>
  <c r="L540" i="143"/>
  <c r="L539" i="143"/>
  <c r="L538" i="143"/>
  <c r="L537" i="143"/>
  <c r="L536" i="143"/>
  <c r="L535" i="143"/>
  <c r="L534" i="143"/>
  <c r="L533" i="143"/>
  <c r="L532" i="143"/>
  <c r="L531" i="143"/>
  <c r="L530" i="143"/>
  <c r="L529" i="143"/>
  <c r="L528" i="143"/>
  <c r="L527" i="143"/>
  <c r="L517" i="143"/>
  <c r="L516" i="143"/>
  <c r="L515" i="143"/>
  <c r="L514" i="143"/>
  <c r="L513" i="143"/>
  <c r="L512" i="143"/>
  <c r="L511" i="143"/>
  <c r="L510" i="143"/>
  <c r="L509" i="143"/>
  <c r="L508" i="143"/>
  <c r="L507" i="143"/>
  <c r="L506" i="143"/>
  <c r="L505" i="143"/>
  <c r="L504" i="143"/>
  <c r="L503" i="143"/>
  <c r="L502" i="143"/>
  <c r="L501" i="143"/>
  <c r="L500" i="143"/>
  <c r="L499" i="143"/>
  <c r="L498" i="143"/>
  <c r="L487" i="143"/>
  <c r="L486" i="143"/>
  <c r="L485" i="143"/>
  <c r="L484" i="143"/>
  <c r="L483" i="143"/>
  <c r="L482" i="143"/>
  <c r="L481" i="143"/>
  <c r="L480" i="143"/>
  <c r="L479" i="143"/>
  <c r="L478" i="143"/>
  <c r="L477" i="143"/>
  <c r="L476" i="143"/>
  <c r="L475" i="143"/>
  <c r="L474" i="143"/>
  <c r="L473" i="143"/>
  <c r="L472" i="143"/>
  <c r="L471" i="143"/>
  <c r="L470" i="143"/>
  <c r="L469" i="143"/>
  <c r="L468" i="143"/>
  <c r="L457" i="143"/>
  <c r="L456" i="143"/>
  <c r="L455" i="143"/>
  <c r="L454" i="143"/>
  <c r="L453" i="143"/>
  <c r="L452" i="143"/>
  <c r="L451" i="143"/>
  <c r="L450" i="143"/>
  <c r="L449" i="143"/>
  <c r="L448" i="143"/>
  <c r="L447" i="143"/>
  <c r="L446" i="143"/>
  <c r="L445" i="143"/>
  <c r="L444" i="143"/>
  <c r="L443" i="143"/>
  <c r="L442" i="143"/>
  <c r="L440" i="143"/>
  <c r="L439" i="143"/>
  <c r="L438" i="143"/>
  <c r="L441" i="143"/>
  <c r="L427" i="143"/>
  <c r="L426" i="143"/>
  <c r="L425" i="143"/>
  <c r="L424" i="143"/>
  <c r="L423" i="143"/>
  <c r="L422" i="143"/>
  <c r="L421" i="143"/>
  <c r="L420" i="143"/>
  <c r="L419" i="143"/>
  <c r="L418" i="143"/>
  <c r="L417" i="143"/>
  <c r="L416" i="143"/>
  <c r="L415" i="143"/>
  <c r="L414" i="143"/>
  <c r="L413" i="143"/>
  <c r="L412" i="143"/>
  <c r="L410" i="143"/>
  <c r="L409" i="143"/>
  <c r="L408" i="143"/>
  <c r="L411" i="143"/>
  <c r="L378" i="143"/>
  <c r="L377" i="143"/>
  <c r="L396" i="143"/>
  <c r="L395" i="143"/>
  <c r="L394" i="143"/>
  <c r="L393" i="143"/>
  <c r="L392" i="143"/>
  <c r="L391" i="143"/>
  <c r="L390" i="143"/>
  <c r="L389" i="143"/>
  <c r="L388" i="143"/>
  <c r="L387" i="143"/>
  <c r="L386" i="143"/>
  <c r="L385" i="143"/>
  <c r="L384" i="143"/>
  <c r="L383" i="143"/>
  <c r="L382" i="143"/>
  <c r="L381" i="143"/>
  <c r="L380" i="143"/>
  <c r="L379" i="143"/>
  <c r="L364" i="143"/>
  <c r="L363" i="143"/>
  <c r="L362" i="143"/>
  <c r="L361" i="143"/>
  <c r="L360" i="143"/>
  <c r="L359" i="143"/>
  <c r="L358" i="143"/>
  <c r="L357" i="143"/>
  <c r="L356" i="143"/>
  <c r="L355" i="143"/>
  <c r="L354" i="143"/>
  <c r="L353" i="143"/>
  <c r="L352" i="143"/>
  <c r="L351" i="143"/>
  <c r="L350" i="143"/>
  <c r="L349" i="143"/>
  <c r="L348" i="143"/>
  <c r="L347" i="143"/>
  <c r="L346" i="143"/>
  <c r="L345" i="143"/>
  <c r="L333" i="143"/>
  <c r="L332" i="143"/>
  <c r="L331" i="143"/>
  <c r="L330" i="143"/>
  <c r="L329" i="143"/>
  <c r="L328" i="143"/>
  <c r="L327" i="143"/>
  <c r="L326" i="143"/>
  <c r="L325" i="143"/>
  <c r="L324" i="143"/>
  <c r="L323" i="143"/>
  <c r="L322" i="143"/>
  <c r="L321" i="143"/>
  <c r="L320" i="143"/>
  <c r="L319" i="143"/>
  <c r="L318" i="143"/>
  <c r="L317" i="143"/>
  <c r="L316" i="143"/>
  <c r="L315" i="143"/>
  <c r="L314" i="143"/>
  <c r="K313" i="143"/>
  <c r="K312" i="143"/>
  <c r="K311" i="143"/>
  <c r="L301" i="143"/>
  <c r="L300" i="143"/>
  <c r="L299" i="143"/>
  <c r="L298" i="143"/>
  <c r="L297" i="143"/>
  <c r="L296" i="143"/>
  <c r="L295" i="143"/>
  <c r="L294" i="143"/>
  <c r="L293" i="143"/>
  <c r="L292" i="143"/>
  <c r="L291" i="143"/>
  <c r="L290" i="143"/>
  <c r="L289" i="143"/>
  <c r="L288" i="143"/>
  <c r="L287" i="143"/>
  <c r="L286" i="143"/>
  <c r="L285" i="143"/>
  <c r="L284" i="143"/>
  <c r="L283" i="143"/>
  <c r="L282" i="143"/>
  <c r="L269" i="143"/>
  <c r="L268" i="143"/>
  <c r="L267" i="143"/>
  <c r="L266" i="143"/>
  <c r="L265" i="143"/>
  <c r="L264" i="143"/>
  <c r="L263" i="143"/>
  <c r="L262" i="143"/>
  <c r="L261" i="143"/>
  <c r="L260" i="143"/>
  <c r="L259" i="143"/>
  <c r="L258" i="143"/>
  <c r="L257" i="143"/>
  <c r="L256" i="143"/>
  <c r="L255" i="143"/>
  <c r="L254" i="143"/>
  <c r="L253" i="143"/>
  <c r="L252" i="143"/>
  <c r="L251" i="143"/>
  <c r="L250" i="143"/>
  <c r="L237" i="143"/>
  <c r="L236" i="143"/>
  <c r="L235" i="143"/>
  <c r="L234" i="143"/>
  <c r="L233" i="143"/>
  <c r="L232" i="143"/>
  <c r="L231" i="143"/>
  <c r="L230" i="143"/>
  <c r="L229" i="143"/>
  <c r="L228" i="143"/>
  <c r="L227" i="143"/>
  <c r="L226" i="143"/>
  <c r="L225" i="143"/>
  <c r="L224" i="143"/>
  <c r="L223" i="143"/>
  <c r="L222" i="143"/>
  <c r="L221" i="143"/>
  <c r="L220" i="143"/>
  <c r="L219" i="143"/>
  <c r="L218" i="143"/>
  <c r="L205" i="143"/>
  <c r="L204" i="143"/>
  <c r="L203" i="143"/>
  <c r="L202" i="143"/>
  <c r="L201" i="143"/>
  <c r="L200" i="143"/>
  <c r="L199" i="143"/>
  <c r="L198" i="143"/>
  <c r="L197" i="143"/>
  <c r="L196" i="143"/>
  <c r="L195" i="143"/>
  <c r="L194" i="143"/>
  <c r="L193" i="143"/>
  <c r="L192" i="143"/>
  <c r="L191" i="143"/>
  <c r="L190" i="143"/>
  <c r="L189" i="143"/>
  <c r="L188" i="143"/>
  <c r="L187" i="143"/>
  <c r="L186" i="143"/>
  <c r="L172" i="143"/>
  <c r="L171" i="143"/>
  <c r="L170" i="143"/>
  <c r="L169" i="143"/>
  <c r="L168" i="143"/>
  <c r="L167" i="143"/>
  <c r="L166" i="143"/>
  <c r="L165" i="143"/>
  <c r="L164" i="143"/>
  <c r="L163" i="143"/>
  <c r="L162" i="143"/>
  <c r="L161" i="143"/>
  <c r="L160" i="143"/>
  <c r="L159" i="143"/>
  <c r="L158" i="143"/>
  <c r="L157" i="143"/>
  <c r="L156" i="143"/>
  <c r="L154" i="143"/>
  <c r="L153" i="143"/>
  <c r="L155" i="143"/>
  <c r="L139" i="143"/>
  <c r="L138" i="143"/>
  <c r="L137" i="143"/>
  <c r="L136" i="143"/>
  <c r="L135" i="143"/>
  <c r="L134" i="143"/>
  <c r="L133" i="143"/>
  <c r="L132" i="143"/>
  <c r="L131" i="143"/>
  <c r="L130" i="143"/>
  <c r="L129" i="143"/>
  <c r="L128" i="143"/>
  <c r="L127" i="143"/>
  <c r="L126" i="143"/>
  <c r="L125" i="143"/>
  <c r="L124" i="143"/>
  <c r="L123" i="143"/>
  <c r="L122" i="143"/>
  <c r="L120" i="143"/>
  <c r="L121" i="143"/>
  <c r="L105" i="143"/>
  <c r="L104" i="143"/>
  <c r="L103" i="143"/>
  <c r="L102" i="143"/>
  <c r="L101" i="143"/>
  <c r="L100" i="143"/>
  <c r="L99" i="143"/>
  <c r="L98" i="143"/>
  <c r="L97" i="143"/>
  <c r="L96" i="143"/>
  <c r="L95" i="143"/>
  <c r="L94" i="143"/>
  <c r="L93" i="143"/>
  <c r="L92" i="143"/>
  <c r="L91" i="143"/>
  <c r="L90" i="143"/>
  <c r="L89" i="143"/>
  <c r="L88" i="143"/>
  <c r="L87" i="143"/>
  <c r="L86" i="143"/>
  <c r="K582" i="143"/>
  <c r="M582" i="143" s="1"/>
  <c r="K581" i="143"/>
  <c r="M581" i="143" s="1"/>
  <c r="K580" i="143"/>
  <c r="G580" i="143"/>
  <c r="C580" i="143"/>
  <c r="D580" i="143" s="1"/>
  <c r="E580" i="143" s="1"/>
  <c r="K555" i="143"/>
  <c r="M555" i="143" s="1"/>
  <c r="K554" i="143"/>
  <c r="M554" i="143" s="1"/>
  <c r="K553" i="143"/>
  <c r="M553" i="143" s="1"/>
  <c r="K552" i="143"/>
  <c r="M552" i="143" s="1"/>
  <c r="K551" i="143"/>
  <c r="M551" i="143" s="1"/>
  <c r="G551" i="143"/>
  <c r="C551" i="143"/>
  <c r="D551" i="143" s="1"/>
  <c r="K526" i="143"/>
  <c r="M526" i="143" s="1"/>
  <c r="K525" i="143"/>
  <c r="M525" i="143" s="1"/>
  <c r="K524" i="143"/>
  <c r="M524" i="143" s="1"/>
  <c r="K523" i="143"/>
  <c r="M523" i="143" s="1"/>
  <c r="K522" i="143"/>
  <c r="M522" i="143" s="1"/>
  <c r="G522" i="143"/>
  <c r="C522" i="143"/>
  <c r="D522" i="143" s="1"/>
  <c r="F522" i="143" s="1"/>
  <c r="K497" i="143"/>
  <c r="M497" i="143" s="1"/>
  <c r="K496" i="143"/>
  <c r="M496" i="143" s="1"/>
  <c r="K495" i="143"/>
  <c r="M495" i="143" s="1"/>
  <c r="K494" i="143"/>
  <c r="M494" i="143" s="1"/>
  <c r="K493" i="143"/>
  <c r="M493" i="143" s="1"/>
  <c r="K492" i="143"/>
  <c r="G492" i="143"/>
  <c r="C492" i="143"/>
  <c r="D492" i="143" s="1"/>
  <c r="D493" i="143" s="1"/>
  <c r="K467" i="143"/>
  <c r="M467" i="143" s="1"/>
  <c r="K466" i="143"/>
  <c r="M466" i="143" s="1"/>
  <c r="K465" i="143"/>
  <c r="M465" i="143" s="1"/>
  <c r="K464" i="143"/>
  <c r="M464" i="143" s="1"/>
  <c r="K463" i="143"/>
  <c r="M463" i="143" s="1"/>
  <c r="K462" i="143"/>
  <c r="M462" i="143" s="1"/>
  <c r="G462" i="143"/>
  <c r="C462" i="143"/>
  <c r="D462" i="143" s="1"/>
  <c r="K437" i="143"/>
  <c r="M437" i="143" s="1"/>
  <c r="K436" i="143"/>
  <c r="M436" i="143" s="1"/>
  <c r="K435" i="143"/>
  <c r="M435" i="143" s="1"/>
  <c r="K434" i="143"/>
  <c r="M434" i="143" s="1"/>
  <c r="K433" i="143"/>
  <c r="M433" i="143" s="1"/>
  <c r="K432" i="143"/>
  <c r="M432" i="143" s="1"/>
  <c r="G432" i="143"/>
  <c r="C432" i="143"/>
  <c r="D432" i="143" s="1"/>
  <c r="F432" i="143" s="1"/>
  <c r="K407" i="143"/>
  <c r="M407" i="143" s="1"/>
  <c r="K406" i="143"/>
  <c r="M406" i="143" s="1"/>
  <c r="K405" i="143"/>
  <c r="M405" i="143" s="1"/>
  <c r="K404" i="143"/>
  <c r="M404" i="143" s="1"/>
  <c r="K403" i="143"/>
  <c r="M403" i="143" s="1"/>
  <c r="K402" i="143"/>
  <c r="M402" i="143" s="1"/>
  <c r="K401" i="143"/>
  <c r="M401" i="143" s="1"/>
  <c r="G401" i="143"/>
  <c r="C401" i="143"/>
  <c r="D401" i="143" s="1"/>
  <c r="C402" i="143" s="1"/>
  <c r="K376" i="143"/>
  <c r="M376" i="143" s="1"/>
  <c r="K375" i="143"/>
  <c r="M375" i="143" s="1"/>
  <c r="K374" i="143"/>
  <c r="M374" i="143" s="1"/>
  <c r="K373" i="143"/>
  <c r="M373" i="143" s="1"/>
  <c r="K372" i="143"/>
  <c r="M372" i="143" s="1"/>
  <c r="K371" i="143"/>
  <c r="M371" i="143" s="1"/>
  <c r="K370" i="143"/>
  <c r="G370" i="143"/>
  <c r="C370" i="143"/>
  <c r="D370" i="143" s="1"/>
  <c r="C371" i="143" s="1"/>
  <c r="K344" i="143"/>
  <c r="M344" i="143" s="1"/>
  <c r="K343" i="143"/>
  <c r="M343" i="143" s="1"/>
  <c r="K342" i="143"/>
  <c r="M342" i="143" s="1"/>
  <c r="K341" i="143"/>
  <c r="M341" i="143" s="1"/>
  <c r="K340" i="143"/>
  <c r="M340" i="143" s="1"/>
  <c r="K339" i="143"/>
  <c r="M339" i="143" s="1"/>
  <c r="K338" i="143"/>
  <c r="M338" i="143" s="1"/>
  <c r="G338" i="143"/>
  <c r="C338" i="143"/>
  <c r="D338" i="143" s="1"/>
  <c r="K310" i="143"/>
  <c r="M310" i="143" s="1"/>
  <c r="K309" i="143"/>
  <c r="M309" i="143" s="1"/>
  <c r="K308" i="143"/>
  <c r="M308" i="143" s="1"/>
  <c r="K307" i="143"/>
  <c r="M307" i="143" s="1"/>
  <c r="K306" i="143"/>
  <c r="G306" i="143"/>
  <c r="C306" i="143"/>
  <c r="D306" i="143" s="1"/>
  <c r="E306" i="143" s="1"/>
  <c r="K279" i="143"/>
  <c r="M279" i="143" s="1"/>
  <c r="K278" i="143"/>
  <c r="M278" i="143" s="1"/>
  <c r="K277" i="143"/>
  <c r="M277" i="143" s="1"/>
  <c r="K276" i="143"/>
  <c r="M276" i="143" s="1"/>
  <c r="K275" i="143"/>
  <c r="M275" i="143" s="1"/>
  <c r="K274" i="143"/>
  <c r="M274" i="143" s="1"/>
  <c r="G274" i="143"/>
  <c r="C274" i="143"/>
  <c r="D274" i="143" s="1"/>
  <c r="E274" i="143" s="1"/>
  <c r="K248" i="143"/>
  <c r="M248" i="143" s="1"/>
  <c r="K247" i="143"/>
  <c r="M247" i="143" s="1"/>
  <c r="K246" i="143"/>
  <c r="M246" i="143" s="1"/>
  <c r="K245" i="143"/>
  <c r="M245" i="143" s="1"/>
  <c r="K244" i="143"/>
  <c r="M244" i="143" s="1"/>
  <c r="K243" i="143"/>
  <c r="M243" i="143" s="1"/>
  <c r="K242" i="143"/>
  <c r="M242" i="143" s="1"/>
  <c r="G242" i="143"/>
  <c r="C242" i="143"/>
  <c r="D242" i="143" s="1"/>
  <c r="F242" i="143" s="1"/>
  <c r="K217" i="143"/>
  <c r="M217" i="143" s="1"/>
  <c r="K216" i="143"/>
  <c r="M216" i="143" s="1"/>
  <c r="K215" i="143"/>
  <c r="M215" i="143" s="1"/>
  <c r="K214" i="143"/>
  <c r="M214" i="143" s="1"/>
  <c r="K213" i="143"/>
  <c r="M213" i="143" s="1"/>
  <c r="K212" i="143"/>
  <c r="M212" i="143" s="1"/>
  <c r="K211" i="143"/>
  <c r="M211" i="143" s="1"/>
  <c r="K210" i="143"/>
  <c r="G210" i="143"/>
  <c r="C210" i="143"/>
  <c r="D210" i="143" s="1"/>
  <c r="C211" i="143" s="1"/>
  <c r="K185" i="143"/>
  <c r="M185" i="143" s="1"/>
  <c r="K184" i="143"/>
  <c r="M184" i="143" s="1"/>
  <c r="K183" i="143"/>
  <c r="M183" i="143" s="1"/>
  <c r="K182" i="143"/>
  <c r="M182" i="143" s="1"/>
  <c r="K181" i="143"/>
  <c r="M181" i="143" s="1"/>
  <c r="K180" i="143"/>
  <c r="M180" i="143" s="1"/>
  <c r="K179" i="143"/>
  <c r="M179" i="143" s="1"/>
  <c r="K178" i="143"/>
  <c r="M178" i="143" s="1"/>
  <c r="K177" i="143"/>
  <c r="G177" i="143"/>
  <c r="C177" i="143"/>
  <c r="D177" i="143" s="1"/>
  <c r="E177" i="143" s="1"/>
  <c r="K152" i="143"/>
  <c r="M152" i="143" s="1"/>
  <c r="K151" i="143"/>
  <c r="M151" i="143" s="1"/>
  <c r="K150" i="143"/>
  <c r="M150" i="143" s="1"/>
  <c r="K149" i="143"/>
  <c r="M149" i="143" s="1"/>
  <c r="K148" i="143"/>
  <c r="M148" i="143" s="1"/>
  <c r="K147" i="143"/>
  <c r="M147" i="143" s="1"/>
  <c r="K146" i="143"/>
  <c r="M146" i="143" s="1"/>
  <c r="K145" i="143"/>
  <c r="M145" i="143" s="1"/>
  <c r="K144" i="143"/>
  <c r="G144" i="143"/>
  <c r="C144" i="143"/>
  <c r="D144" i="143" s="1"/>
  <c r="K119" i="143"/>
  <c r="M119" i="143" s="1"/>
  <c r="K118" i="143"/>
  <c r="M118" i="143" s="1"/>
  <c r="K117" i="143"/>
  <c r="M117" i="143" s="1"/>
  <c r="K116" i="143"/>
  <c r="M116" i="143" s="1"/>
  <c r="K115" i="143"/>
  <c r="M115" i="143" s="1"/>
  <c r="K114" i="143"/>
  <c r="M114" i="143" s="1"/>
  <c r="K113" i="143"/>
  <c r="M113" i="143" s="1"/>
  <c r="K112" i="143"/>
  <c r="M112" i="143" s="1"/>
  <c r="K111" i="143"/>
  <c r="G111" i="143"/>
  <c r="C111" i="143"/>
  <c r="D111" i="143" s="1"/>
  <c r="K85" i="143"/>
  <c r="M85" i="143" s="1"/>
  <c r="K84" i="143"/>
  <c r="M84" i="143" s="1"/>
  <c r="K83" i="143"/>
  <c r="M83" i="143" s="1"/>
  <c r="K82" i="143"/>
  <c r="M82" i="143" s="1"/>
  <c r="K81" i="143"/>
  <c r="M81" i="143" s="1"/>
  <c r="K80" i="143"/>
  <c r="M80" i="143" s="1"/>
  <c r="K79" i="143"/>
  <c r="M79" i="143" s="1"/>
  <c r="K78" i="143"/>
  <c r="M78" i="143" s="1"/>
  <c r="K77" i="143"/>
  <c r="M77" i="143" s="1"/>
  <c r="G77" i="143"/>
  <c r="C77" i="143"/>
  <c r="D77" i="143" s="1"/>
  <c r="F54" i="143" l="1"/>
  <c r="F58" i="143"/>
  <c r="F62" i="143"/>
  <c r="F66" i="143"/>
  <c r="F70" i="143"/>
  <c r="F56" i="143"/>
  <c r="F60" i="143"/>
  <c r="F64" i="143"/>
  <c r="F68" i="143"/>
  <c r="F72" i="143"/>
  <c r="F55" i="143"/>
  <c r="F59" i="143"/>
  <c r="F63" i="143"/>
  <c r="F67" i="143"/>
  <c r="F71" i="143"/>
  <c r="F53" i="143"/>
  <c r="F57" i="143"/>
  <c r="F61" i="143"/>
  <c r="F65" i="143"/>
  <c r="F69" i="143"/>
  <c r="E49" i="157"/>
  <c r="E50" i="157"/>
  <c r="F62" i="160"/>
  <c r="F43" i="160"/>
  <c r="F61" i="160"/>
  <c r="E48" i="157"/>
  <c r="E228" i="160"/>
  <c r="F228" i="160"/>
  <c r="D229" i="160"/>
  <c r="E229" i="160" s="1"/>
  <c r="B228" i="160"/>
  <c r="M198" i="160"/>
  <c r="D198" i="160"/>
  <c r="L225" i="160"/>
  <c r="L254" i="160"/>
  <c r="B54" i="143"/>
  <c r="A54" i="143"/>
  <c r="L398" i="143"/>
  <c r="L141" i="143"/>
  <c r="D371" i="143"/>
  <c r="E371" i="143" s="1"/>
  <c r="E492" i="143"/>
  <c r="F462" i="143"/>
  <c r="C463" i="143"/>
  <c r="E462" i="143"/>
  <c r="E401" i="143"/>
  <c r="F401" i="143"/>
  <c r="D463" i="143"/>
  <c r="D464" i="143" s="1"/>
  <c r="D465" i="143" s="1"/>
  <c r="L107" i="143"/>
  <c r="M580" i="143"/>
  <c r="D581" i="143"/>
  <c r="F580" i="143"/>
  <c r="H580" i="143" s="1"/>
  <c r="C581" i="143"/>
  <c r="D339" i="143"/>
  <c r="F338" i="143"/>
  <c r="E338" i="143"/>
  <c r="D494" i="143"/>
  <c r="F493" i="143"/>
  <c r="C494" i="143"/>
  <c r="C339" i="143"/>
  <c r="E370" i="143"/>
  <c r="M370" i="143"/>
  <c r="F370" i="143"/>
  <c r="C433" i="143"/>
  <c r="E432" i="143"/>
  <c r="H432" i="143" s="1"/>
  <c r="D433" i="143"/>
  <c r="D402" i="143"/>
  <c r="C552" i="143"/>
  <c r="E551" i="143"/>
  <c r="C493" i="143"/>
  <c r="E493" i="143" s="1"/>
  <c r="F492" i="143"/>
  <c r="M492" i="143"/>
  <c r="F551" i="143"/>
  <c r="D552" i="143"/>
  <c r="D523" i="143"/>
  <c r="E522" i="143"/>
  <c r="H522" i="143" s="1"/>
  <c r="C523" i="143"/>
  <c r="F144" i="143"/>
  <c r="D145" i="143"/>
  <c r="F145" i="143" s="1"/>
  <c r="C145" i="143"/>
  <c r="E144" i="143"/>
  <c r="C178" i="143"/>
  <c r="F177" i="143"/>
  <c r="H177" i="143" s="1"/>
  <c r="E210" i="143"/>
  <c r="D211" i="143"/>
  <c r="D212" i="143" s="1"/>
  <c r="C213" i="143" s="1"/>
  <c r="D275" i="143"/>
  <c r="C276" i="143" s="1"/>
  <c r="F210" i="143"/>
  <c r="D112" i="143"/>
  <c r="F111" i="143"/>
  <c r="E111" i="143"/>
  <c r="C112" i="143"/>
  <c r="C78" i="143"/>
  <c r="E77" i="143"/>
  <c r="D78" i="143"/>
  <c r="F77" i="143"/>
  <c r="M210" i="143"/>
  <c r="M111" i="143"/>
  <c r="M144" i="143"/>
  <c r="D178" i="143"/>
  <c r="M177" i="143"/>
  <c r="C275" i="143"/>
  <c r="F274" i="143"/>
  <c r="H274" i="143" s="1"/>
  <c r="C243" i="143"/>
  <c r="E242" i="143"/>
  <c r="H242" i="143" s="1"/>
  <c r="D243" i="143"/>
  <c r="M306" i="143"/>
  <c r="D307" i="143"/>
  <c r="F306" i="143"/>
  <c r="H306" i="143" s="1"/>
  <c r="C307" i="143"/>
  <c r="H228" i="160" l="1"/>
  <c r="N228" i="160" s="1"/>
  <c r="C230" i="160"/>
  <c r="B230" i="160" s="1"/>
  <c r="D230" i="160"/>
  <c r="C231" i="160" s="1"/>
  <c r="B231" i="160" s="1"/>
  <c r="F229" i="160"/>
  <c r="C199" i="160"/>
  <c r="B199" i="160" s="1"/>
  <c r="F198" i="160"/>
  <c r="E198" i="160"/>
  <c r="D199" i="160"/>
  <c r="B55" i="143"/>
  <c r="A55" i="143"/>
  <c r="C372" i="143"/>
  <c r="F371" i="143"/>
  <c r="D372" i="143"/>
  <c r="D373" i="143" s="1"/>
  <c r="H492" i="143"/>
  <c r="H401" i="143"/>
  <c r="F464" i="143"/>
  <c r="H370" i="143"/>
  <c r="H462" i="143"/>
  <c r="F463" i="143"/>
  <c r="E463" i="143"/>
  <c r="D276" i="143"/>
  <c r="C277" i="143" s="1"/>
  <c r="C464" i="143"/>
  <c r="E464" i="143" s="1"/>
  <c r="C465" i="143"/>
  <c r="E465" i="143" s="1"/>
  <c r="C582" i="143"/>
  <c r="E581" i="143"/>
  <c r="F581" i="143"/>
  <c r="D582" i="143"/>
  <c r="O580" i="143"/>
  <c r="N580" i="143"/>
  <c r="N432" i="143"/>
  <c r="O432" i="143"/>
  <c r="C524" i="143"/>
  <c r="E523" i="143"/>
  <c r="D524" i="143"/>
  <c r="F523" i="143"/>
  <c r="O522" i="143"/>
  <c r="N522" i="143"/>
  <c r="D434" i="143"/>
  <c r="C434" i="143"/>
  <c r="F433" i="143"/>
  <c r="E433" i="143"/>
  <c r="D495" i="143"/>
  <c r="F494" i="143"/>
  <c r="C495" i="143"/>
  <c r="E494" i="143"/>
  <c r="C340" i="143"/>
  <c r="E339" i="143"/>
  <c r="F339" i="143"/>
  <c r="D340" i="143"/>
  <c r="F552" i="143"/>
  <c r="D553" i="143"/>
  <c r="E552" i="143"/>
  <c r="C553" i="143"/>
  <c r="D403" i="143"/>
  <c r="F402" i="143"/>
  <c r="E402" i="143"/>
  <c r="C403" i="143"/>
  <c r="C466" i="143"/>
  <c r="F465" i="143"/>
  <c r="D466" i="143"/>
  <c r="H551" i="143"/>
  <c r="H338" i="143"/>
  <c r="D213" i="143"/>
  <c r="D214" i="143" s="1"/>
  <c r="H144" i="143"/>
  <c r="F275" i="143"/>
  <c r="C212" i="143"/>
  <c r="E212" i="143" s="1"/>
  <c r="F211" i="143"/>
  <c r="F212" i="143"/>
  <c r="H77" i="143"/>
  <c r="O77" i="143" s="1"/>
  <c r="H210" i="143"/>
  <c r="E145" i="143"/>
  <c r="E211" i="143"/>
  <c r="C146" i="143"/>
  <c r="E275" i="143"/>
  <c r="D146" i="143"/>
  <c r="F146" i="143" s="1"/>
  <c r="N242" i="143"/>
  <c r="O242" i="143"/>
  <c r="D308" i="143"/>
  <c r="C308" i="143"/>
  <c r="F307" i="143"/>
  <c r="E307" i="143"/>
  <c r="O177" i="143"/>
  <c r="N177" i="143"/>
  <c r="C79" i="143"/>
  <c r="F78" i="143"/>
  <c r="E78" i="143"/>
  <c r="D79" i="143"/>
  <c r="H111" i="143"/>
  <c r="N306" i="143"/>
  <c r="O306" i="143"/>
  <c r="O274" i="143"/>
  <c r="D179" i="143"/>
  <c r="F178" i="143"/>
  <c r="E178" i="143"/>
  <c r="C179" i="143"/>
  <c r="D244" i="143"/>
  <c r="C244" i="143"/>
  <c r="E243" i="143"/>
  <c r="F243" i="143"/>
  <c r="N274" i="143"/>
  <c r="C113" i="143"/>
  <c r="F112" i="143"/>
  <c r="E112" i="143"/>
  <c r="D113" i="143"/>
  <c r="O228" i="160" l="1"/>
  <c r="G229" i="160" s="1"/>
  <c r="E230" i="160"/>
  <c r="F230" i="160"/>
  <c r="D231" i="160"/>
  <c r="D232" i="160" s="1"/>
  <c r="H198" i="160"/>
  <c r="D200" i="160"/>
  <c r="F199" i="160"/>
  <c r="E199" i="160"/>
  <c r="C200" i="160"/>
  <c r="B200" i="160" s="1"/>
  <c r="B56" i="143"/>
  <c r="A56" i="143"/>
  <c r="O492" i="143"/>
  <c r="G493" i="143" s="1"/>
  <c r="N462" i="143"/>
  <c r="N401" i="143"/>
  <c r="O370" i="143"/>
  <c r="G371" i="143" s="1"/>
  <c r="N210" i="143"/>
  <c r="N144" i="143"/>
  <c r="C373" i="143"/>
  <c r="E373" i="143" s="1"/>
  <c r="E372" i="143"/>
  <c r="F372" i="143"/>
  <c r="N492" i="143"/>
  <c r="N370" i="143"/>
  <c r="O401" i="143"/>
  <c r="G402" i="143" s="1"/>
  <c r="D277" i="143"/>
  <c r="F277" i="143" s="1"/>
  <c r="O462" i="143"/>
  <c r="G463" i="143" s="1"/>
  <c r="H463" i="143" s="1"/>
  <c r="O463" i="143" s="1"/>
  <c r="G464" i="143" s="1"/>
  <c r="F213" i="143"/>
  <c r="C214" i="143"/>
  <c r="E214" i="143" s="1"/>
  <c r="F276" i="143"/>
  <c r="E213" i="143"/>
  <c r="E276" i="143"/>
  <c r="C147" i="143"/>
  <c r="N77" i="143"/>
  <c r="D583" i="143"/>
  <c r="F582" i="143"/>
  <c r="C583" i="143"/>
  <c r="B583" i="143" s="1"/>
  <c r="E582" i="143"/>
  <c r="G581" i="143"/>
  <c r="O338" i="143"/>
  <c r="N338" i="143"/>
  <c r="O551" i="143"/>
  <c r="N551" i="143"/>
  <c r="C554" i="143"/>
  <c r="E553" i="143"/>
  <c r="F553" i="143"/>
  <c r="D554" i="143"/>
  <c r="G523" i="143"/>
  <c r="F403" i="143"/>
  <c r="E403" i="143"/>
  <c r="D404" i="143"/>
  <c r="C404" i="143"/>
  <c r="C374" i="143"/>
  <c r="F373" i="143"/>
  <c r="D374" i="143"/>
  <c r="G433" i="143"/>
  <c r="D341" i="143"/>
  <c r="F340" i="143"/>
  <c r="C341" i="143"/>
  <c r="E340" i="143"/>
  <c r="D496" i="143"/>
  <c r="F495" i="143"/>
  <c r="C496" i="143"/>
  <c r="E495" i="143"/>
  <c r="C435" i="143"/>
  <c r="E434" i="143"/>
  <c r="D435" i="143"/>
  <c r="F434" i="143"/>
  <c r="E466" i="143"/>
  <c r="C467" i="143"/>
  <c r="F466" i="143"/>
  <c r="D467" i="143"/>
  <c r="D525" i="143"/>
  <c r="E524" i="143"/>
  <c r="C525" i="143"/>
  <c r="F524" i="143"/>
  <c r="O144" i="143"/>
  <c r="G145" i="143" s="1"/>
  <c r="H145" i="143" s="1"/>
  <c r="N145" i="143" s="1"/>
  <c r="O210" i="143"/>
  <c r="G211" i="143" s="1"/>
  <c r="D147" i="143"/>
  <c r="F147" i="143" s="1"/>
  <c r="E146" i="143"/>
  <c r="D114" i="143"/>
  <c r="F113" i="143"/>
  <c r="C114" i="143"/>
  <c r="E113" i="143"/>
  <c r="D309" i="143"/>
  <c r="F308" i="143"/>
  <c r="C309" i="143"/>
  <c r="E308" i="143"/>
  <c r="G243" i="143"/>
  <c r="C245" i="143"/>
  <c r="E244" i="143"/>
  <c r="D245" i="143"/>
  <c r="F244" i="143"/>
  <c r="C180" i="143"/>
  <c r="F179" i="143"/>
  <c r="E179" i="143"/>
  <c r="D180" i="143"/>
  <c r="O111" i="143"/>
  <c r="N111" i="143"/>
  <c r="G78" i="143"/>
  <c r="G275" i="143"/>
  <c r="C80" i="143"/>
  <c r="E79" i="143"/>
  <c r="F79" i="143"/>
  <c r="D80" i="143"/>
  <c r="C215" i="143"/>
  <c r="F214" i="143"/>
  <c r="D215" i="143"/>
  <c r="G307" i="143"/>
  <c r="G178" i="143"/>
  <c r="F231" i="160" l="1"/>
  <c r="E231" i="160"/>
  <c r="C232" i="160"/>
  <c r="B232" i="160" s="1"/>
  <c r="F200" i="160"/>
  <c r="D201" i="160"/>
  <c r="E200" i="160"/>
  <c r="C201" i="160"/>
  <c r="B201" i="160" s="1"/>
  <c r="H229" i="160"/>
  <c r="D233" i="160"/>
  <c r="F232" i="160"/>
  <c r="C233" i="160"/>
  <c r="B233" i="160" s="1"/>
  <c r="N198" i="160"/>
  <c r="O198" i="160"/>
  <c r="B57" i="143"/>
  <c r="A57" i="143"/>
  <c r="D278" i="143"/>
  <c r="D279" i="143" s="1"/>
  <c r="E277" i="143"/>
  <c r="C278" i="143"/>
  <c r="N463" i="143"/>
  <c r="H581" i="143"/>
  <c r="C584" i="143"/>
  <c r="B584" i="143" s="1"/>
  <c r="E583" i="143"/>
  <c r="D584" i="143"/>
  <c r="F583" i="143"/>
  <c r="H371" i="143"/>
  <c r="F374" i="143"/>
  <c r="E374" i="143"/>
  <c r="C375" i="143"/>
  <c r="D375" i="143"/>
  <c r="F554" i="143"/>
  <c r="D555" i="143"/>
  <c r="E554" i="143"/>
  <c r="C555" i="143"/>
  <c r="H464" i="143"/>
  <c r="C526" i="143"/>
  <c r="E525" i="143"/>
  <c r="D526" i="143"/>
  <c r="F525" i="143"/>
  <c r="C468" i="143"/>
  <c r="B468" i="143" s="1"/>
  <c r="E467" i="143"/>
  <c r="F467" i="143"/>
  <c r="D468" i="143"/>
  <c r="D436" i="143"/>
  <c r="C436" i="143"/>
  <c r="E435" i="143"/>
  <c r="F435" i="143"/>
  <c r="H493" i="143"/>
  <c r="D405" i="143"/>
  <c r="F404" i="143"/>
  <c r="E404" i="143"/>
  <c r="C405" i="143"/>
  <c r="G552" i="143"/>
  <c r="H433" i="143"/>
  <c r="H523" i="143"/>
  <c r="G339" i="143"/>
  <c r="H402" i="143"/>
  <c r="E496" i="143"/>
  <c r="C497" i="143"/>
  <c r="F496" i="143"/>
  <c r="D497" i="143"/>
  <c r="C342" i="143"/>
  <c r="E341" i="143"/>
  <c r="D342" i="143"/>
  <c r="F341" i="143"/>
  <c r="D148" i="143"/>
  <c r="C149" i="143" s="1"/>
  <c r="E147" i="143"/>
  <c r="C148" i="143"/>
  <c r="O145" i="143"/>
  <c r="G146" i="143" s="1"/>
  <c r="H78" i="143"/>
  <c r="G112" i="143"/>
  <c r="H243" i="143"/>
  <c r="H178" i="143"/>
  <c r="C216" i="143"/>
  <c r="E215" i="143"/>
  <c r="F215" i="143"/>
  <c r="D216" i="143"/>
  <c r="C81" i="143"/>
  <c r="F80" i="143"/>
  <c r="E80" i="143"/>
  <c r="D81" i="143"/>
  <c r="H275" i="143"/>
  <c r="D181" i="143"/>
  <c r="F180" i="143"/>
  <c r="C181" i="143"/>
  <c r="E180" i="143"/>
  <c r="H211" i="143"/>
  <c r="E309" i="143"/>
  <c r="D310" i="143"/>
  <c r="C310" i="143"/>
  <c r="F309" i="143"/>
  <c r="H307" i="143"/>
  <c r="D246" i="143"/>
  <c r="C246" i="143"/>
  <c r="F245" i="143"/>
  <c r="E245" i="143"/>
  <c r="D115" i="143"/>
  <c r="C115" i="143"/>
  <c r="F114" i="143"/>
  <c r="E114" i="143"/>
  <c r="E232" i="160" l="1"/>
  <c r="O229" i="160"/>
  <c r="E201" i="160"/>
  <c r="D202" i="160"/>
  <c r="F201" i="160"/>
  <c r="C202" i="160"/>
  <c r="B202" i="160" s="1"/>
  <c r="G199" i="160"/>
  <c r="E233" i="160"/>
  <c r="C234" i="160"/>
  <c r="B234" i="160" s="1"/>
  <c r="D234" i="160"/>
  <c r="F233" i="160"/>
  <c r="N229" i="160"/>
  <c r="B58" i="143"/>
  <c r="A58" i="143"/>
  <c r="N581" i="143"/>
  <c r="N523" i="143"/>
  <c r="O493" i="143"/>
  <c r="G494" i="143" s="1"/>
  <c r="O464" i="143"/>
  <c r="G465" i="143" s="1"/>
  <c r="O433" i="143"/>
  <c r="G434" i="143" s="1"/>
  <c r="N371" i="143"/>
  <c r="N307" i="143"/>
  <c r="O275" i="143"/>
  <c r="G276" i="143" s="1"/>
  <c r="N243" i="143"/>
  <c r="O211" i="143"/>
  <c r="G212" i="143" s="1"/>
  <c r="F278" i="143"/>
  <c r="C279" i="143"/>
  <c r="E279" i="143" s="1"/>
  <c r="E278" i="143"/>
  <c r="D149" i="143"/>
  <c r="F149" i="143" s="1"/>
  <c r="F148" i="143"/>
  <c r="O371" i="143"/>
  <c r="G372" i="143" s="1"/>
  <c r="E148" i="143"/>
  <c r="N78" i="143"/>
  <c r="D585" i="143"/>
  <c r="C585" i="143"/>
  <c r="B585" i="143" s="1"/>
  <c r="F584" i="143"/>
  <c r="E584" i="143"/>
  <c r="O581" i="143"/>
  <c r="D527" i="143"/>
  <c r="C527" i="143"/>
  <c r="B527" i="143" s="1"/>
  <c r="E526" i="143"/>
  <c r="F526" i="143"/>
  <c r="C376" i="143"/>
  <c r="E375" i="143"/>
  <c r="F375" i="143"/>
  <c r="D376" i="143"/>
  <c r="N402" i="143"/>
  <c r="D498" i="143"/>
  <c r="F497" i="143"/>
  <c r="E497" i="143"/>
  <c r="C498" i="143"/>
  <c r="B498" i="143" s="1"/>
  <c r="H339" i="143"/>
  <c r="O523" i="143"/>
  <c r="H552" i="143"/>
  <c r="C406" i="143"/>
  <c r="F405" i="143"/>
  <c r="E405" i="143"/>
  <c r="D406" i="143"/>
  <c r="C437" i="143"/>
  <c r="E436" i="143"/>
  <c r="D437" i="143"/>
  <c r="F436" i="143"/>
  <c r="N464" i="143"/>
  <c r="E555" i="143"/>
  <c r="F555" i="143"/>
  <c r="C556" i="143"/>
  <c r="B556" i="143" s="1"/>
  <c r="D556" i="143"/>
  <c r="D343" i="143"/>
  <c r="F342" i="143"/>
  <c r="C343" i="143"/>
  <c r="E342" i="143"/>
  <c r="O402" i="143"/>
  <c r="N433" i="143"/>
  <c r="N493" i="143"/>
  <c r="E468" i="143"/>
  <c r="C469" i="143"/>
  <c r="B469" i="143" s="1"/>
  <c r="D469" i="143"/>
  <c r="F468" i="143"/>
  <c r="N275" i="143"/>
  <c r="O78" i="143"/>
  <c r="G79" i="143" s="1"/>
  <c r="C247" i="143"/>
  <c r="E246" i="143"/>
  <c r="D247" i="143"/>
  <c r="F246" i="143"/>
  <c r="C311" i="143"/>
  <c r="F310" i="143"/>
  <c r="E310" i="143"/>
  <c r="D311" i="143"/>
  <c r="H146" i="143"/>
  <c r="O307" i="143"/>
  <c r="D182" i="143"/>
  <c r="C182" i="143"/>
  <c r="F181" i="143"/>
  <c r="E181" i="143"/>
  <c r="N178" i="143"/>
  <c r="H112" i="143"/>
  <c r="C280" i="143"/>
  <c r="F279" i="143"/>
  <c r="D280" i="143"/>
  <c r="D116" i="143"/>
  <c r="F115" i="143"/>
  <c r="C116" i="143"/>
  <c r="E115" i="143"/>
  <c r="N211" i="143"/>
  <c r="C82" i="143"/>
  <c r="E81" i="143"/>
  <c r="F81" i="143"/>
  <c r="D82" i="143"/>
  <c r="C217" i="143"/>
  <c r="F216" i="143"/>
  <c r="E216" i="143"/>
  <c r="D217" i="143"/>
  <c r="O178" i="143"/>
  <c r="O243" i="143"/>
  <c r="H199" i="160" l="1"/>
  <c r="G230" i="160"/>
  <c r="C235" i="160"/>
  <c r="B235" i="160" s="1"/>
  <c r="F234" i="160"/>
  <c r="D235" i="160"/>
  <c r="E234" i="160"/>
  <c r="C203" i="160"/>
  <c r="B203" i="160" s="1"/>
  <c r="F202" i="160"/>
  <c r="D203" i="160"/>
  <c r="E202" i="160"/>
  <c r="A59" i="143"/>
  <c r="B59" i="143"/>
  <c r="N552" i="143"/>
  <c r="N339" i="143"/>
  <c r="C150" i="143"/>
  <c r="D150" i="143"/>
  <c r="F150" i="143" s="1"/>
  <c r="E149" i="143"/>
  <c r="O552" i="143"/>
  <c r="G553" i="143" s="1"/>
  <c r="G582" i="143"/>
  <c r="F585" i="143"/>
  <c r="C586" i="143"/>
  <c r="B586" i="143" s="1"/>
  <c r="D586" i="143"/>
  <c r="E585" i="143"/>
  <c r="E469" i="143"/>
  <c r="D470" i="143"/>
  <c r="F469" i="143"/>
  <c r="C470" i="143"/>
  <c r="B470" i="143" s="1"/>
  <c r="D557" i="143"/>
  <c r="F556" i="143"/>
  <c r="E556" i="143"/>
  <c r="C557" i="143"/>
  <c r="B557" i="143" s="1"/>
  <c r="G403" i="143"/>
  <c r="C344" i="143"/>
  <c r="E343" i="143"/>
  <c r="D344" i="143"/>
  <c r="F343" i="143"/>
  <c r="H494" i="143"/>
  <c r="D438" i="143"/>
  <c r="C438" i="143"/>
  <c r="B438" i="143" s="1"/>
  <c r="F437" i="143"/>
  <c r="E437" i="143"/>
  <c r="D407" i="143"/>
  <c r="F406" i="143"/>
  <c r="C407" i="143"/>
  <c r="E406" i="143"/>
  <c r="F376" i="143"/>
  <c r="E376" i="143"/>
  <c r="D377" i="143"/>
  <c r="C377" i="143"/>
  <c r="B377" i="143" s="1"/>
  <c r="H372" i="143"/>
  <c r="G524" i="143"/>
  <c r="O339" i="143"/>
  <c r="F498" i="143"/>
  <c r="E498" i="143"/>
  <c r="C499" i="143"/>
  <c r="B499" i="143" s="1"/>
  <c r="D499" i="143"/>
  <c r="H434" i="143"/>
  <c r="H465" i="143"/>
  <c r="E527" i="143"/>
  <c r="C528" i="143"/>
  <c r="B528" i="143" s="1"/>
  <c r="D528" i="143"/>
  <c r="F527" i="143"/>
  <c r="G179" i="143"/>
  <c r="E280" i="143"/>
  <c r="D281" i="143"/>
  <c r="C281" i="143"/>
  <c r="F280" i="143"/>
  <c r="E217" i="143"/>
  <c r="D218" i="143"/>
  <c r="F217" i="143"/>
  <c r="C218" i="143"/>
  <c r="B218" i="143" s="1"/>
  <c r="C83" i="143"/>
  <c r="F82" i="143"/>
  <c r="E82" i="143"/>
  <c r="D83" i="143"/>
  <c r="O112" i="143"/>
  <c r="O146" i="143"/>
  <c r="H276" i="143"/>
  <c r="H79" i="143"/>
  <c r="N146" i="143"/>
  <c r="E311" i="143"/>
  <c r="F311" i="143"/>
  <c r="D312" i="143"/>
  <c r="C312" i="143"/>
  <c r="D248" i="143"/>
  <c r="C248" i="143"/>
  <c r="E247" i="143"/>
  <c r="F247" i="143"/>
  <c r="G308" i="143"/>
  <c r="G244" i="143"/>
  <c r="E116" i="143"/>
  <c r="D117" i="143"/>
  <c r="C117" i="143"/>
  <c r="F116" i="143"/>
  <c r="N112" i="143"/>
  <c r="D183" i="143"/>
  <c r="F182" i="143"/>
  <c r="C183" i="143"/>
  <c r="E182" i="143"/>
  <c r="H212" i="143"/>
  <c r="O199" i="160" l="1"/>
  <c r="G200" i="160" s="1"/>
  <c r="D204" i="160"/>
  <c r="C204" i="160"/>
  <c r="B204" i="160" s="1"/>
  <c r="F203" i="160"/>
  <c r="E203" i="160"/>
  <c r="E235" i="160"/>
  <c r="D236" i="160"/>
  <c r="C236" i="160"/>
  <c r="B236" i="160" s="1"/>
  <c r="F235" i="160"/>
  <c r="H230" i="160"/>
  <c r="N199" i="160"/>
  <c r="B60" i="143"/>
  <c r="A60" i="143"/>
  <c r="N494" i="143"/>
  <c r="O465" i="143"/>
  <c r="G466" i="143" s="1"/>
  <c r="N434" i="143"/>
  <c r="O372" i="143"/>
  <c r="G373" i="143" s="1"/>
  <c r="N276" i="143"/>
  <c r="C151" i="143"/>
  <c r="D151" i="143"/>
  <c r="C152" i="143" s="1"/>
  <c r="E150" i="143"/>
  <c r="N372" i="143"/>
  <c r="N79" i="143"/>
  <c r="O434" i="143"/>
  <c r="G435" i="143" s="1"/>
  <c r="N465" i="143"/>
  <c r="F586" i="143"/>
  <c r="D587" i="143"/>
  <c r="E586" i="143"/>
  <c r="C587" i="143"/>
  <c r="B587" i="143" s="1"/>
  <c r="H582" i="143"/>
  <c r="C500" i="143"/>
  <c r="B500" i="143" s="1"/>
  <c r="E499" i="143"/>
  <c r="F499" i="143"/>
  <c r="D500" i="143"/>
  <c r="G340" i="143"/>
  <c r="H553" i="143"/>
  <c r="D529" i="143"/>
  <c r="F528" i="143"/>
  <c r="C529" i="143"/>
  <c r="B529" i="143" s="1"/>
  <c r="E528" i="143"/>
  <c r="D408" i="143"/>
  <c r="C408" i="143"/>
  <c r="B408" i="143" s="1"/>
  <c r="F407" i="143"/>
  <c r="E407" i="143"/>
  <c r="C439" i="143"/>
  <c r="B439" i="143" s="1"/>
  <c r="E438" i="143"/>
  <c r="D439" i="143"/>
  <c r="F438" i="143"/>
  <c r="O494" i="143"/>
  <c r="C558" i="143"/>
  <c r="B558" i="143" s="1"/>
  <c r="D558" i="143"/>
  <c r="E557" i="143"/>
  <c r="F557" i="143"/>
  <c r="D471" i="143"/>
  <c r="F470" i="143"/>
  <c r="C471" i="143"/>
  <c r="B471" i="143" s="1"/>
  <c r="E470" i="143"/>
  <c r="H524" i="143"/>
  <c r="C378" i="143"/>
  <c r="B378" i="143" s="1"/>
  <c r="E377" i="143"/>
  <c r="F377" i="143"/>
  <c r="D378" i="143"/>
  <c r="D345" i="143"/>
  <c r="F344" i="143"/>
  <c r="C345" i="143"/>
  <c r="B345" i="143" s="1"/>
  <c r="E344" i="143"/>
  <c r="H403" i="143"/>
  <c r="O79" i="143"/>
  <c r="G80" i="143" s="1"/>
  <c r="O276" i="143"/>
  <c r="G277" i="143" s="1"/>
  <c r="H244" i="143"/>
  <c r="D313" i="143"/>
  <c r="E312" i="143"/>
  <c r="C313" i="143"/>
  <c r="F312" i="143"/>
  <c r="C84" i="143"/>
  <c r="E83" i="143"/>
  <c r="F83" i="143"/>
  <c r="D84" i="143"/>
  <c r="D282" i="143"/>
  <c r="E281" i="143"/>
  <c r="C282" i="143"/>
  <c r="B282" i="143" s="1"/>
  <c r="F281" i="143"/>
  <c r="E183" i="143"/>
  <c r="D184" i="143"/>
  <c r="C184" i="143"/>
  <c r="F183" i="143"/>
  <c r="H308" i="143"/>
  <c r="E248" i="143"/>
  <c r="C249" i="143"/>
  <c r="D249" i="143"/>
  <c r="F248" i="143"/>
  <c r="G113" i="143"/>
  <c r="D219" i="143"/>
  <c r="F218" i="143"/>
  <c r="C219" i="143"/>
  <c r="B219" i="143" s="1"/>
  <c r="E218" i="143"/>
  <c r="N212" i="143"/>
  <c r="D118" i="143"/>
  <c r="F117" i="143"/>
  <c r="E117" i="143"/>
  <c r="C118" i="143"/>
  <c r="G147" i="143"/>
  <c r="O212" i="143"/>
  <c r="H179" i="143"/>
  <c r="N230" i="160" l="1"/>
  <c r="D237" i="160"/>
  <c r="E236" i="160"/>
  <c r="F236" i="160"/>
  <c r="C237" i="160"/>
  <c r="B237" i="160" s="1"/>
  <c r="C205" i="160"/>
  <c r="B205" i="160" s="1"/>
  <c r="E204" i="160"/>
  <c r="F204" i="160"/>
  <c r="D205" i="160"/>
  <c r="O230" i="160"/>
  <c r="H200" i="160"/>
  <c r="N200" i="160" s="1"/>
  <c r="B61" i="143"/>
  <c r="A61" i="143"/>
  <c r="O582" i="143"/>
  <c r="O524" i="143"/>
  <c r="G525" i="143" s="1"/>
  <c r="N403" i="143"/>
  <c r="N308" i="143"/>
  <c r="D152" i="143"/>
  <c r="C153" i="143" s="1"/>
  <c r="B153" i="143" s="1"/>
  <c r="F151" i="143"/>
  <c r="E151" i="143"/>
  <c r="N524" i="143"/>
  <c r="G583" i="143"/>
  <c r="D588" i="143"/>
  <c r="E587" i="143"/>
  <c r="C588" i="143"/>
  <c r="B588" i="143" s="1"/>
  <c r="F587" i="143"/>
  <c r="N582" i="143"/>
  <c r="F378" i="143"/>
  <c r="E378" i="143"/>
  <c r="D379" i="143"/>
  <c r="C379" i="143"/>
  <c r="B379" i="143" s="1"/>
  <c r="F558" i="143"/>
  <c r="C559" i="143"/>
  <c r="B559" i="143" s="1"/>
  <c r="D559" i="143"/>
  <c r="E558" i="143"/>
  <c r="D440" i="143"/>
  <c r="C440" i="143"/>
  <c r="B440" i="143" s="1"/>
  <c r="E439" i="143"/>
  <c r="F439" i="143"/>
  <c r="H373" i="143"/>
  <c r="C472" i="143"/>
  <c r="B472" i="143" s="1"/>
  <c r="F471" i="143"/>
  <c r="E471" i="143"/>
  <c r="D472" i="143"/>
  <c r="H466" i="143"/>
  <c r="G495" i="143"/>
  <c r="D409" i="143"/>
  <c r="F408" i="143"/>
  <c r="C409" i="143"/>
  <c r="B409" i="143" s="1"/>
  <c r="E408" i="143"/>
  <c r="O553" i="143"/>
  <c r="H340" i="143"/>
  <c r="H435" i="143"/>
  <c r="O403" i="143"/>
  <c r="C346" i="143"/>
  <c r="B346" i="143" s="1"/>
  <c r="E345" i="143"/>
  <c r="D346" i="143"/>
  <c r="F345" i="143"/>
  <c r="C530" i="143"/>
  <c r="B530" i="143" s="1"/>
  <c r="E529" i="143"/>
  <c r="D530" i="143"/>
  <c r="F529" i="143"/>
  <c r="N553" i="143"/>
  <c r="C501" i="143"/>
  <c r="B501" i="143" s="1"/>
  <c r="F500" i="143"/>
  <c r="D501" i="143"/>
  <c r="E500" i="143"/>
  <c r="O308" i="143"/>
  <c r="G309" i="143" s="1"/>
  <c r="H80" i="143"/>
  <c r="H147" i="143"/>
  <c r="H113" i="143"/>
  <c r="D250" i="143"/>
  <c r="F249" i="143"/>
  <c r="C250" i="143"/>
  <c r="B250" i="143" s="1"/>
  <c r="E249" i="143"/>
  <c r="C85" i="143"/>
  <c r="F84" i="143"/>
  <c r="E84" i="143"/>
  <c r="D85" i="143"/>
  <c r="O179" i="143"/>
  <c r="C314" i="143"/>
  <c r="B314" i="143" s="1"/>
  <c r="E313" i="143"/>
  <c r="D314" i="143"/>
  <c r="F313" i="143"/>
  <c r="G213" i="143"/>
  <c r="C220" i="143"/>
  <c r="B220" i="143" s="1"/>
  <c r="D220" i="143"/>
  <c r="F219" i="143"/>
  <c r="E219" i="143"/>
  <c r="D185" i="143"/>
  <c r="F184" i="143"/>
  <c r="E184" i="143"/>
  <c r="C185" i="143"/>
  <c r="F118" i="143"/>
  <c r="E118" i="143"/>
  <c r="D119" i="143"/>
  <c r="C119" i="143"/>
  <c r="H277" i="143"/>
  <c r="O244" i="143"/>
  <c r="N179" i="143"/>
  <c r="C283" i="143"/>
  <c r="B283" i="143" s="1"/>
  <c r="E282" i="143"/>
  <c r="D283" i="143"/>
  <c r="F282" i="143"/>
  <c r="N244" i="143"/>
  <c r="C238" i="160" l="1"/>
  <c r="B238" i="160" s="1"/>
  <c r="D238" i="160"/>
  <c r="E237" i="160"/>
  <c r="F237" i="160"/>
  <c r="G231" i="160"/>
  <c r="O200" i="160"/>
  <c r="E205" i="160"/>
  <c r="D206" i="160"/>
  <c r="C206" i="160"/>
  <c r="B206" i="160" s="1"/>
  <c r="F205" i="160"/>
  <c r="B62" i="143"/>
  <c r="A62" i="143"/>
  <c r="O466" i="143"/>
  <c r="G467" i="143" s="1"/>
  <c r="N435" i="143"/>
  <c r="N373" i="143"/>
  <c r="O340" i="143"/>
  <c r="G341" i="143" s="1"/>
  <c r="D153" i="143"/>
  <c r="C154" i="143" s="1"/>
  <c r="B154" i="143" s="1"/>
  <c r="E152" i="143"/>
  <c r="F152" i="143"/>
  <c r="N277" i="143"/>
  <c r="N147" i="143"/>
  <c r="N113" i="143"/>
  <c r="O435" i="143"/>
  <c r="G436" i="143" s="1"/>
  <c r="N466" i="143"/>
  <c r="O80" i="143"/>
  <c r="G81" i="143" s="1"/>
  <c r="C589" i="143"/>
  <c r="B589" i="143" s="1"/>
  <c r="D589" i="143"/>
  <c r="E588" i="143"/>
  <c r="F588" i="143"/>
  <c r="H583" i="143"/>
  <c r="F559" i="143"/>
  <c r="C560" i="143"/>
  <c r="B560" i="143" s="1"/>
  <c r="E559" i="143"/>
  <c r="D560" i="143"/>
  <c r="F501" i="143"/>
  <c r="D502" i="143"/>
  <c r="E501" i="143"/>
  <c r="C502" i="143"/>
  <c r="B502" i="143" s="1"/>
  <c r="H495" i="143"/>
  <c r="O373" i="143"/>
  <c r="E379" i="143"/>
  <c r="D380" i="143"/>
  <c r="F379" i="143"/>
  <c r="C380" i="143"/>
  <c r="B380" i="143" s="1"/>
  <c r="C531" i="143"/>
  <c r="B531" i="143" s="1"/>
  <c r="F530" i="143"/>
  <c r="E530" i="143"/>
  <c r="D531" i="143"/>
  <c r="G404" i="143"/>
  <c r="N340" i="143"/>
  <c r="D473" i="143"/>
  <c r="F472" i="143"/>
  <c r="C473" i="143"/>
  <c r="B473" i="143" s="1"/>
  <c r="E472" i="143"/>
  <c r="E440" i="143"/>
  <c r="C441" i="143"/>
  <c r="B441" i="143" s="1"/>
  <c r="D441" i="143"/>
  <c r="F440" i="143"/>
  <c r="D347" i="143"/>
  <c r="F346" i="143"/>
  <c r="C347" i="143"/>
  <c r="B347" i="143" s="1"/>
  <c r="E346" i="143"/>
  <c r="G554" i="143"/>
  <c r="E409" i="143"/>
  <c r="D410" i="143"/>
  <c r="C410" i="143"/>
  <c r="B410" i="143" s="1"/>
  <c r="F409" i="143"/>
  <c r="H525" i="143"/>
  <c r="O113" i="143"/>
  <c r="G114" i="143" s="1"/>
  <c r="O277" i="143"/>
  <c r="G278" i="143" s="1"/>
  <c r="O147" i="143"/>
  <c r="G148" i="143" s="1"/>
  <c r="D221" i="143"/>
  <c r="F220" i="143"/>
  <c r="C221" i="143"/>
  <c r="B221" i="143" s="1"/>
  <c r="E220" i="143"/>
  <c r="H213" i="143"/>
  <c r="D284" i="143"/>
  <c r="F283" i="143"/>
  <c r="E283" i="143"/>
  <c r="C284" i="143"/>
  <c r="B284" i="143" s="1"/>
  <c r="G245" i="143"/>
  <c r="D120" i="143"/>
  <c r="F119" i="143"/>
  <c r="E119" i="143"/>
  <c r="C120" i="143"/>
  <c r="B120" i="143" s="1"/>
  <c r="G180" i="143"/>
  <c r="D315" i="143"/>
  <c r="F314" i="143"/>
  <c r="C315" i="143"/>
  <c r="B315" i="143" s="1"/>
  <c r="E314" i="143"/>
  <c r="C86" i="143"/>
  <c r="B86" i="143" s="1"/>
  <c r="E85" i="143"/>
  <c r="F85" i="143"/>
  <c r="D86" i="143"/>
  <c r="C251" i="143"/>
  <c r="B251" i="143" s="1"/>
  <c r="E250" i="143"/>
  <c r="D251" i="143"/>
  <c r="F250" i="143"/>
  <c r="N80" i="143"/>
  <c r="F185" i="143"/>
  <c r="D186" i="143"/>
  <c r="E185" i="143"/>
  <c r="C186" i="143"/>
  <c r="B186" i="143" s="1"/>
  <c r="H309" i="143"/>
  <c r="D207" i="160" l="1"/>
  <c r="F206" i="160"/>
  <c r="C207" i="160"/>
  <c r="B207" i="160" s="1"/>
  <c r="E206" i="160"/>
  <c r="H231" i="160"/>
  <c r="C239" i="160"/>
  <c r="B239" i="160" s="1"/>
  <c r="D239" i="160"/>
  <c r="E238" i="160"/>
  <c r="F238" i="160"/>
  <c r="G201" i="160"/>
  <c r="B63" i="143"/>
  <c r="A63" i="143"/>
  <c r="I595" i="143"/>
  <c r="I590" i="143"/>
  <c r="I584" i="143"/>
  <c r="I593" i="143"/>
  <c r="I600" i="143"/>
  <c r="I592" i="143"/>
  <c r="I591" i="143"/>
  <c r="I598" i="143"/>
  <c r="I599" i="143"/>
  <c r="I585" i="143"/>
  <c r="I589" i="143"/>
  <c r="I601" i="143"/>
  <c r="I583" i="143"/>
  <c r="K583" i="143" s="1"/>
  <c r="M583" i="143" s="1"/>
  <c r="I594" i="143"/>
  <c r="I596" i="143"/>
  <c r="I587" i="143"/>
  <c r="I597" i="143"/>
  <c r="I588" i="143"/>
  <c r="I602" i="143"/>
  <c r="I586" i="143"/>
  <c r="O525" i="143"/>
  <c r="G526" i="143" s="1"/>
  <c r="N495" i="143"/>
  <c r="D154" i="143"/>
  <c r="C155" i="143" s="1"/>
  <c r="B155" i="143" s="1"/>
  <c r="F153" i="143"/>
  <c r="E153" i="143"/>
  <c r="N309" i="143"/>
  <c r="O213" i="143"/>
  <c r="G214" i="143" s="1"/>
  <c r="O495" i="143"/>
  <c r="G496" i="143" s="1"/>
  <c r="N583" i="143"/>
  <c r="F589" i="143"/>
  <c r="D590" i="143"/>
  <c r="C590" i="143"/>
  <c r="B590" i="143" s="1"/>
  <c r="E589" i="143"/>
  <c r="C411" i="143"/>
  <c r="B411" i="143" s="1"/>
  <c r="F410" i="143"/>
  <c r="E410" i="143"/>
  <c r="D411" i="143"/>
  <c r="H436" i="143"/>
  <c r="N525" i="143"/>
  <c r="D442" i="143"/>
  <c r="F441" i="143"/>
  <c r="C442" i="143"/>
  <c r="B442" i="143" s="1"/>
  <c r="E441" i="143"/>
  <c r="D381" i="143"/>
  <c r="F380" i="143"/>
  <c r="E380" i="143"/>
  <c r="C381" i="143"/>
  <c r="B381" i="143" s="1"/>
  <c r="D561" i="143"/>
  <c r="E560" i="143"/>
  <c r="F560" i="143"/>
  <c r="C561" i="143"/>
  <c r="B561" i="143" s="1"/>
  <c r="H404" i="143"/>
  <c r="H341" i="143"/>
  <c r="H554" i="143"/>
  <c r="E347" i="143"/>
  <c r="F347" i="143"/>
  <c r="D348" i="143"/>
  <c r="C348" i="143"/>
  <c r="B348" i="143" s="1"/>
  <c r="F473" i="143"/>
  <c r="E473" i="143"/>
  <c r="D474" i="143"/>
  <c r="C474" i="143"/>
  <c r="B474" i="143" s="1"/>
  <c r="F531" i="143"/>
  <c r="D532" i="143"/>
  <c r="E531" i="143"/>
  <c r="C532" i="143"/>
  <c r="B532" i="143" s="1"/>
  <c r="G374" i="143"/>
  <c r="D503" i="143"/>
  <c r="E502" i="143"/>
  <c r="C503" i="143"/>
  <c r="B503" i="143" s="1"/>
  <c r="F502" i="143"/>
  <c r="H467" i="143"/>
  <c r="O309" i="143"/>
  <c r="G310" i="143" s="1"/>
  <c r="N213" i="143"/>
  <c r="H278" i="143"/>
  <c r="D87" i="143"/>
  <c r="F86" i="143"/>
  <c r="E86" i="143"/>
  <c r="C87" i="143"/>
  <c r="B87" i="143" s="1"/>
  <c r="F315" i="143"/>
  <c r="C316" i="143"/>
  <c r="B316" i="143" s="1"/>
  <c r="E315" i="143"/>
  <c r="D316" i="143"/>
  <c r="H114" i="143"/>
  <c r="H245" i="143"/>
  <c r="D285" i="143"/>
  <c r="C285" i="143"/>
  <c r="B285" i="143" s="1"/>
  <c r="F284" i="143"/>
  <c r="E284" i="143"/>
  <c r="H81" i="143"/>
  <c r="C187" i="143"/>
  <c r="B187" i="143" s="1"/>
  <c r="E186" i="143"/>
  <c r="F186" i="143"/>
  <c r="D187" i="143"/>
  <c r="D252" i="143"/>
  <c r="F251" i="143"/>
  <c r="E251" i="143"/>
  <c r="C252" i="143"/>
  <c r="B252" i="143" s="1"/>
  <c r="H180" i="143"/>
  <c r="F120" i="143"/>
  <c r="D121" i="143"/>
  <c r="E120" i="143"/>
  <c r="C121" i="143"/>
  <c r="B121" i="143" s="1"/>
  <c r="H148" i="143"/>
  <c r="F221" i="143"/>
  <c r="D222" i="143"/>
  <c r="E221" i="143"/>
  <c r="C222" i="143"/>
  <c r="B222" i="143" s="1"/>
  <c r="N231" i="160" l="1"/>
  <c r="F239" i="160"/>
  <c r="C240" i="160"/>
  <c r="B240" i="160" s="1"/>
  <c r="D240" i="160"/>
  <c r="E239" i="160"/>
  <c r="O231" i="160"/>
  <c r="H201" i="160"/>
  <c r="C208" i="160"/>
  <c r="B208" i="160" s="1"/>
  <c r="D208" i="160"/>
  <c r="F207" i="160"/>
  <c r="E207" i="160"/>
  <c r="B64" i="143"/>
  <c r="A64" i="143"/>
  <c r="O583" i="143"/>
  <c r="G584" i="143" s="1"/>
  <c r="J584" i="143" s="1"/>
  <c r="K584" i="143" s="1"/>
  <c r="M584" i="143" s="1"/>
  <c r="N554" i="143"/>
  <c r="E154" i="143"/>
  <c r="O467" i="143"/>
  <c r="G468" i="143" s="1"/>
  <c r="H468" i="143" s="1"/>
  <c r="I474" i="143" s="1"/>
  <c r="F154" i="143"/>
  <c r="D155" i="143"/>
  <c r="C156" i="143" s="1"/>
  <c r="B156" i="143" s="1"/>
  <c r="N436" i="143"/>
  <c r="O404" i="143"/>
  <c r="G405" i="143" s="1"/>
  <c r="N341" i="143"/>
  <c r="N278" i="143"/>
  <c r="N245" i="143"/>
  <c r="O180" i="143"/>
  <c r="G181" i="143" s="1"/>
  <c r="O148" i="143"/>
  <c r="G149" i="143" s="1"/>
  <c r="N114" i="143"/>
  <c r="N467" i="143"/>
  <c r="O436" i="143"/>
  <c r="G437" i="143" s="1"/>
  <c r="O554" i="143"/>
  <c r="G555" i="143" s="1"/>
  <c r="O81" i="143"/>
  <c r="G82" i="143" s="1"/>
  <c r="F590" i="143"/>
  <c r="D591" i="143"/>
  <c r="E590" i="143"/>
  <c r="C591" i="143"/>
  <c r="B591" i="143" s="1"/>
  <c r="D533" i="143"/>
  <c r="E532" i="143"/>
  <c r="C533" i="143"/>
  <c r="B533" i="143" s="1"/>
  <c r="F532" i="143"/>
  <c r="H374" i="143"/>
  <c r="O341" i="143"/>
  <c r="N404" i="143"/>
  <c r="E411" i="143"/>
  <c r="D412" i="143"/>
  <c r="C412" i="143"/>
  <c r="B412" i="143" s="1"/>
  <c r="F411" i="143"/>
  <c r="C504" i="143"/>
  <c r="B504" i="143" s="1"/>
  <c r="E503" i="143"/>
  <c r="F503" i="143"/>
  <c r="D504" i="143"/>
  <c r="D475" i="143"/>
  <c r="E474" i="143"/>
  <c r="F474" i="143"/>
  <c r="C475" i="143"/>
  <c r="B475" i="143" s="1"/>
  <c r="D349" i="143"/>
  <c r="F348" i="143"/>
  <c r="C349" i="143"/>
  <c r="B349" i="143" s="1"/>
  <c r="E348" i="143"/>
  <c r="H496" i="143"/>
  <c r="C562" i="143"/>
  <c r="B562" i="143" s="1"/>
  <c r="F561" i="143"/>
  <c r="E561" i="143"/>
  <c r="D562" i="143"/>
  <c r="C382" i="143"/>
  <c r="B382" i="143" s="1"/>
  <c r="D382" i="143"/>
  <c r="F381" i="143"/>
  <c r="E381" i="143"/>
  <c r="C443" i="143"/>
  <c r="B443" i="143" s="1"/>
  <c r="E442" i="143"/>
  <c r="D443" i="143"/>
  <c r="F442" i="143"/>
  <c r="H526" i="143"/>
  <c r="O245" i="143"/>
  <c r="G246" i="143" s="1"/>
  <c r="N81" i="143"/>
  <c r="O114" i="143"/>
  <c r="G115" i="143" s="1"/>
  <c r="N148" i="143"/>
  <c r="D317" i="143"/>
  <c r="E316" i="143"/>
  <c r="F316" i="143"/>
  <c r="C317" i="143"/>
  <c r="B317" i="143" s="1"/>
  <c r="D188" i="143"/>
  <c r="F187" i="143"/>
  <c r="C188" i="143"/>
  <c r="B188" i="143" s="1"/>
  <c r="E187" i="143"/>
  <c r="H310" i="143"/>
  <c r="C88" i="143"/>
  <c r="B88" i="143" s="1"/>
  <c r="F87" i="143"/>
  <c r="E87" i="143"/>
  <c r="D88" i="143"/>
  <c r="O278" i="143"/>
  <c r="N180" i="143"/>
  <c r="F252" i="143"/>
  <c r="C253" i="143"/>
  <c r="B253" i="143" s="1"/>
  <c r="E252" i="143"/>
  <c r="D253" i="143"/>
  <c r="D223" i="143"/>
  <c r="E222" i="143"/>
  <c r="C223" i="143"/>
  <c r="B223" i="143" s="1"/>
  <c r="F222" i="143"/>
  <c r="C122" i="143"/>
  <c r="B122" i="143" s="1"/>
  <c r="E121" i="143"/>
  <c r="D122" i="143"/>
  <c r="F121" i="143"/>
  <c r="C286" i="143"/>
  <c r="B286" i="143" s="1"/>
  <c r="D286" i="143"/>
  <c r="E285" i="143"/>
  <c r="F285" i="143"/>
  <c r="H214" i="143"/>
  <c r="N201" i="160" l="1"/>
  <c r="E208" i="160"/>
  <c r="D209" i="160"/>
  <c r="F208" i="160"/>
  <c r="C209" i="160"/>
  <c r="B209" i="160" s="1"/>
  <c r="O201" i="160"/>
  <c r="D241" i="160"/>
  <c r="E240" i="160"/>
  <c r="F240" i="160"/>
  <c r="C241" i="160"/>
  <c r="B241" i="160" s="1"/>
  <c r="G232" i="160"/>
  <c r="N584" i="143"/>
  <c r="B65" i="143"/>
  <c r="A65" i="143"/>
  <c r="O526" i="143"/>
  <c r="G527" i="143" s="1"/>
  <c r="E155" i="143"/>
  <c r="F155" i="143"/>
  <c r="N496" i="143"/>
  <c r="I468" i="143"/>
  <c r="K468" i="143" s="1"/>
  <c r="M468" i="143" s="1"/>
  <c r="I485" i="143"/>
  <c r="I481" i="143"/>
  <c r="I487" i="143"/>
  <c r="I482" i="143"/>
  <c r="I479" i="143"/>
  <c r="D156" i="143"/>
  <c r="D157" i="143" s="1"/>
  <c r="I471" i="143"/>
  <c r="I478" i="143"/>
  <c r="I472" i="143"/>
  <c r="I477" i="143"/>
  <c r="I484" i="143"/>
  <c r="N468" i="143"/>
  <c r="I476" i="143"/>
  <c r="I473" i="143"/>
  <c r="I483" i="143"/>
  <c r="I470" i="143"/>
  <c r="I486" i="143"/>
  <c r="I469" i="143"/>
  <c r="I475" i="143"/>
  <c r="I480" i="143"/>
  <c r="N374" i="143"/>
  <c r="O310" i="143"/>
  <c r="G311" i="143" s="1"/>
  <c r="N214" i="143"/>
  <c r="O468" i="143"/>
  <c r="G469" i="143" s="1"/>
  <c r="O584" i="143"/>
  <c r="D592" i="143"/>
  <c r="E591" i="143"/>
  <c r="C592" i="143"/>
  <c r="B592" i="143" s="1"/>
  <c r="F591" i="143"/>
  <c r="D383" i="143"/>
  <c r="C383" i="143"/>
  <c r="B383" i="143" s="1"/>
  <c r="F382" i="143"/>
  <c r="E382" i="143"/>
  <c r="D413" i="143"/>
  <c r="E412" i="143"/>
  <c r="C413" i="143"/>
  <c r="B413" i="143" s="1"/>
  <c r="F412" i="143"/>
  <c r="H437" i="143"/>
  <c r="O437" i="143" s="1"/>
  <c r="G438" i="143" s="1"/>
  <c r="N526" i="143"/>
  <c r="O496" i="143"/>
  <c r="C350" i="143"/>
  <c r="B350" i="143" s="1"/>
  <c r="F349" i="143"/>
  <c r="D350" i="143"/>
  <c r="E349" i="143"/>
  <c r="C476" i="143"/>
  <c r="B476" i="143" s="1"/>
  <c r="E475" i="143"/>
  <c r="F475" i="143"/>
  <c r="D476" i="143"/>
  <c r="O374" i="143"/>
  <c r="D563" i="143"/>
  <c r="C563" i="143"/>
  <c r="B563" i="143" s="1"/>
  <c r="E562" i="143"/>
  <c r="F562" i="143"/>
  <c r="E504" i="143"/>
  <c r="C505" i="143"/>
  <c r="B505" i="143" s="1"/>
  <c r="D505" i="143"/>
  <c r="F504" i="143"/>
  <c r="H555" i="143"/>
  <c r="C534" i="143"/>
  <c r="B534" i="143" s="1"/>
  <c r="E533" i="143"/>
  <c r="D534" i="143"/>
  <c r="F533" i="143"/>
  <c r="C444" i="143"/>
  <c r="B444" i="143" s="1"/>
  <c r="F443" i="143"/>
  <c r="E443" i="143"/>
  <c r="D444" i="143"/>
  <c r="G342" i="143"/>
  <c r="H405" i="143"/>
  <c r="O214" i="143"/>
  <c r="G215" i="143" s="1"/>
  <c r="N310" i="143"/>
  <c r="F286" i="143"/>
  <c r="D287" i="143"/>
  <c r="E286" i="143"/>
  <c r="C287" i="143"/>
  <c r="B287" i="143" s="1"/>
  <c r="H115" i="143"/>
  <c r="D123" i="143"/>
  <c r="C123" i="143"/>
  <c r="B123" i="143" s="1"/>
  <c r="F122" i="143"/>
  <c r="E122" i="143"/>
  <c r="H149" i="143"/>
  <c r="C224" i="143"/>
  <c r="B224" i="143" s="1"/>
  <c r="E223" i="143"/>
  <c r="D224" i="143"/>
  <c r="F223" i="143"/>
  <c r="G279" i="143"/>
  <c r="D254" i="143"/>
  <c r="E253" i="143"/>
  <c r="C254" i="143"/>
  <c r="B254" i="143" s="1"/>
  <c r="F253" i="143"/>
  <c r="F88" i="143"/>
  <c r="D89" i="143"/>
  <c r="C89" i="143"/>
  <c r="B89" i="143" s="1"/>
  <c r="E88" i="143"/>
  <c r="H246" i="143"/>
  <c r="F188" i="143"/>
  <c r="C189" i="143"/>
  <c r="B189" i="143" s="1"/>
  <c r="E188" i="143"/>
  <c r="D189" i="143"/>
  <c r="C318" i="143"/>
  <c r="B318" i="143" s="1"/>
  <c r="D318" i="143"/>
  <c r="F317" i="143"/>
  <c r="E317" i="143"/>
  <c r="H82" i="143"/>
  <c r="N82" i="143" s="1"/>
  <c r="H181" i="143"/>
  <c r="H232" i="160" l="1"/>
  <c r="C242" i="160"/>
  <c r="B242" i="160" s="1"/>
  <c r="D242" i="160"/>
  <c r="E241" i="160"/>
  <c r="F241" i="160"/>
  <c r="F209" i="160"/>
  <c r="D210" i="160"/>
  <c r="C210" i="160"/>
  <c r="B210" i="160" s="1"/>
  <c r="E209" i="160"/>
  <c r="G202" i="160"/>
  <c r="B66" i="143"/>
  <c r="A66" i="143"/>
  <c r="O555" i="143"/>
  <c r="G556" i="143" s="1"/>
  <c r="F156" i="143"/>
  <c r="E156" i="143"/>
  <c r="C157" i="143"/>
  <c r="B157" i="143" s="1"/>
  <c r="O469" i="143"/>
  <c r="G470" i="143" s="1"/>
  <c r="J469" i="143"/>
  <c r="K469" i="143" s="1"/>
  <c r="M469" i="143" s="1"/>
  <c r="O405" i="143"/>
  <c r="G406" i="143" s="1"/>
  <c r="O246" i="143"/>
  <c r="G247" i="143" s="1"/>
  <c r="O181" i="143"/>
  <c r="G182" i="143" s="1"/>
  <c r="N149" i="143"/>
  <c r="O115" i="143"/>
  <c r="G116" i="143" s="1"/>
  <c r="N246" i="143"/>
  <c r="N405" i="143"/>
  <c r="N555" i="143"/>
  <c r="N181" i="143"/>
  <c r="C593" i="143"/>
  <c r="B593" i="143" s="1"/>
  <c r="F592" i="143"/>
  <c r="E592" i="143"/>
  <c r="D593" i="143"/>
  <c r="G585" i="143"/>
  <c r="J470" i="143"/>
  <c r="H489" i="143"/>
  <c r="H438" i="143"/>
  <c r="F563" i="143"/>
  <c r="D564" i="143"/>
  <c r="C564" i="143"/>
  <c r="B564" i="143" s="1"/>
  <c r="E563" i="143"/>
  <c r="H342" i="143"/>
  <c r="G375" i="143"/>
  <c r="N437" i="143"/>
  <c r="C414" i="143"/>
  <c r="B414" i="143" s="1"/>
  <c r="E413" i="143"/>
  <c r="D414" i="143"/>
  <c r="F413" i="143"/>
  <c r="F383" i="143"/>
  <c r="C384" i="143"/>
  <c r="B384" i="143" s="1"/>
  <c r="E383" i="143"/>
  <c r="D384" i="143"/>
  <c r="F444" i="143"/>
  <c r="D445" i="143"/>
  <c r="C445" i="143"/>
  <c r="B445" i="143" s="1"/>
  <c r="E444" i="143"/>
  <c r="F505" i="143"/>
  <c r="D506" i="143"/>
  <c r="C506" i="143"/>
  <c r="B506" i="143" s="1"/>
  <c r="E505" i="143"/>
  <c r="C477" i="143"/>
  <c r="B477" i="143" s="1"/>
  <c r="F476" i="143"/>
  <c r="D477" i="143"/>
  <c r="E476" i="143"/>
  <c r="G497" i="143"/>
  <c r="E534" i="143"/>
  <c r="F534" i="143"/>
  <c r="D535" i="143"/>
  <c r="C535" i="143"/>
  <c r="B535" i="143" s="1"/>
  <c r="F350" i="143"/>
  <c r="E350" i="143"/>
  <c r="D351" i="143"/>
  <c r="C351" i="143"/>
  <c r="B351" i="143" s="1"/>
  <c r="H527" i="143"/>
  <c r="O82" i="143"/>
  <c r="G83" i="143" s="1"/>
  <c r="H83" i="143" s="1"/>
  <c r="N83" i="143" s="1"/>
  <c r="O149" i="143"/>
  <c r="G150" i="143" s="1"/>
  <c r="H150" i="143" s="1"/>
  <c r="N150" i="143" s="1"/>
  <c r="H279" i="143"/>
  <c r="N279" i="143" s="1"/>
  <c r="F123" i="143"/>
  <c r="C124" i="143"/>
  <c r="B124" i="143" s="1"/>
  <c r="E123" i="143"/>
  <c r="D124" i="143"/>
  <c r="H311" i="143"/>
  <c r="F157" i="143"/>
  <c r="D158" i="143"/>
  <c r="C158" i="143"/>
  <c r="B158" i="143" s="1"/>
  <c r="D319" i="143"/>
  <c r="F318" i="143"/>
  <c r="C319" i="143"/>
  <c r="B319" i="143" s="1"/>
  <c r="E318" i="143"/>
  <c r="D90" i="143"/>
  <c r="E89" i="143"/>
  <c r="C90" i="143"/>
  <c r="B90" i="143" s="1"/>
  <c r="F89" i="143"/>
  <c r="F287" i="143"/>
  <c r="D288" i="143"/>
  <c r="E287" i="143"/>
  <c r="C288" i="143"/>
  <c r="B288" i="143" s="1"/>
  <c r="C255" i="143"/>
  <c r="B255" i="143" s="1"/>
  <c r="D255" i="143"/>
  <c r="F254" i="143"/>
  <c r="E254" i="143"/>
  <c r="D225" i="143"/>
  <c r="F224" i="143"/>
  <c r="C225" i="143"/>
  <c r="B225" i="143" s="1"/>
  <c r="E224" i="143"/>
  <c r="N115" i="143"/>
  <c r="H215" i="143"/>
  <c r="O215" i="143" s="1"/>
  <c r="G216" i="143" s="1"/>
  <c r="D190" i="143"/>
  <c r="E189" i="143"/>
  <c r="C190" i="143"/>
  <c r="B190" i="143" s="1"/>
  <c r="F189" i="143"/>
  <c r="O232" i="160" l="1"/>
  <c r="G233" i="160" s="1"/>
  <c r="N232" i="160"/>
  <c r="C211" i="160"/>
  <c r="B211" i="160" s="1"/>
  <c r="D211" i="160"/>
  <c r="E210" i="160"/>
  <c r="F210" i="160"/>
  <c r="C243" i="160"/>
  <c r="B243" i="160" s="1"/>
  <c r="F242" i="160"/>
  <c r="D243" i="160"/>
  <c r="E242" i="160"/>
  <c r="H202" i="160"/>
  <c r="B67" i="143"/>
  <c r="A67" i="143"/>
  <c r="N527" i="143"/>
  <c r="I540" i="143"/>
  <c r="I529" i="143"/>
  <c r="I537" i="143"/>
  <c r="I545" i="143"/>
  <c r="I534" i="143"/>
  <c r="I542" i="143"/>
  <c r="I531" i="143"/>
  <c r="I539" i="143"/>
  <c r="I528" i="143"/>
  <c r="I536" i="143"/>
  <c r="I544" i="143"/>
  <c r="I533" i="143"/>
  <c r="I541" i="143"/>
  <c r="I530" i="143"/>
  <c r="I538" i="143"/>
  <c r="I546" i="143"/>
  <c r="I535" i="143"/>
  <c r="I543" i="143"/>
  <c r="I532" i="143"/>
  <c r="N469" i="143"/>
  <c r="E157" i="143"/>
  <c r="N438" i="143"/>
  <c r="I454" i="143"/>
  <c r="I446" i="143"/>
  <c r="I455" i="143"/>
  <c r="I448" i="143"/>
  <c r="I442" i="143"/>
  <c r="I444" i="143"/>
  <c r="I457" i="143"/>
  <c r="I450" i="143"/>
  <c r="I441" i="143"/>
  <c r="I456" i="143"/>
  <c r="I439" i="143"/>
  <c r="I440" i="143"/>
  <c r="I443" i="143"/>
  <c r="I449" i="143"/>
  <c r="I445" i="143"/>
  <c r="I453" i="143"/>
  <c r="I447" i="143"/>
  <c r="I451" i="143"/>
  <c r="I452" i="143"/>
  <c r="O342" i="143"/>
  <c r="G343" i="143" s="1"/>
  <c r="N342" i="143"/>
  <c r="D594" i="143"/>
  <c r="E593" i="143"/>
  <c r="F593" i="143"/>
  <c r="C594" i="143"/>
  <c r="B594" i="143" s="1"/>
  <c r="H604" i="143"/>
  <c r="J585" i="143"/>
  <c r="D507" i="143"/>
  <c r="E506" i="143"/>
  <c r="C507" i="143"/>
  <c r="B507" i="143" s="1"/>
  <c r="F506" i="143"/>
  <c r="D446" i="143"/>
  <c r="E445" i="143"/>
  <c r="C446" i="143"/>
  <c r="B446" i="143" s="1"/>
  <c r="F445" i="143"/>
  <c r="H375" i="143"/>
  <c r="O375" i="143" s="1"/>
  <c r="G376" i="143" s="1"/>
  <c r="F351" i="143"/>
  <c r="D352" i="143"/>
  <c r="E351" i="143"/>
  <c r="C352" i="143"/>
  <c r="B352" i="143" s="1"/>
  <c r="F535" i="143"/>
  <c r="D536" i="143"/>
  <c r="E535" i="143"/>
  <c r="C536" i="143"/>
  <c r="B536" i="143" s="1"/>
  <c r="H497" i="143"/>
  <c r="O497" i="143" s="1"/>
  <c r="G498" i="143" s="1"/>
  <c r="N470" i="143"/>
  <c r="D385" i="143"/>
  <c r="E384" i="143"/>
  <c r="C385" i="143"/>
  <c r="B385" i="143" s="1"/>
  <c r="F384" i="143"/>
  <c r="H556" i="143"/>
  <c r="F477" i="143"/>
  <c r="D478" i="143"/>
  <c r="E477" i="143"/>
  <c r="C478" i="143"/>
  <c r="B478" i="143" s="1"/>
  <c r="C415" i="143"/>
  <c r="B415" i="143" s="1"/>
  <c r="F414" i="143"/>
  <c r="E414" i="143"/>
  <c r="D415" i="143"/>
  <c r="D565" i="143"/>
  <c r="E564" i="143"/>
  <c r="C565" i="143"/>
  <c r="B565" i="143" s="1"/>
  <c r="F564" i="143"/>
  <c r="H406" i="143"/>
  <c r="N406" i="143" s="1"/>
  <c r="N215" i="143"/>
  <c r="H216" i="143"/>
  <c r="N216" i="143" s="1"/>
  <c r="D125" i="143"/>
  <c r="E124" i="143"/>
  <c r="C125" i="143"/>
  <c r="B125" i="143" s="1"/>
  <c r="F124" i="143"/>
  <c r="N311" i="143"/>
  <c r="O279" i="143"/>
  <c r="G280" i="143" s="1"/>
  <c r="O83" i="143"/>
  <c r="G84" i="143" s="1"/>
  <c r="H182" i="143"/>
  <c r="N182" i="143" s="1"/>
  <c r="O150" i="143"/>
  <c r="G151" i="143" s="1"/>
  <c r="C256" i="143"/>
  <c r="B256" i="143" s="1"/>
  <c r="E255" i="143"/>
  <c r="D256" i="143"/>
  <c r="F255" i="143"/>
  <c r="D289" i="143"/>
  <c r="E288" i="143"/>
  <c r="C289" i="143"/>
  <c r="B289" i="143" s="1"/>
  <c r="F288" i="143"/>
  <c r="D159" i="143"/>
  <c r="E158" i="143"/>
  <c r="C159" i="143"/>
  <c r="B159" i="143" s="1"/>
  <c r="F158" i="143"/>
  <c r="C191" i="143"/>
  <c r="B191" i="143" s="1"/>
  <c r="D191" i="143"/>
  <c r="F190" i="143"/>
  <c r="E190" i="143"/>
  <c r="F225" i="143"/>
  <c r="C226" i="143"/>
  <c r="B226" i="143" s="1"/>
  <c r="E225" i="143"/>
  <c r="D226" i="143"/>
  <c r="C91" i="143"/>
  <c r="B91" i="143" s="1"/>
  <c r="D91" i="143"/>
  <c r="F90" i="143"/>
  <c r="E90" i="143"/>
  <c r="F319" i="143"/>
  <c r="D320" i="143"/>
  <c r="C320" i="143"/>
  <c r="B320" i="143" s="1"/>
  <c r="E319" i="143"/>
  <c r="H247" i="143"/>
  <c r="N247" i="143" s="1"/>
  <c r="H116" i="143"/>
  <c r="O116" i="143" s="1"/>
  <c r="G117" i="143" s="1"/>
  <c r="O202" i="160" l="1"/>
  <c r="G203" i="160" s="1"/>
  <c r="N202" i="160"/>
  <c r="C212" i="160"/>
  <c r="B212" i="160" s="1"/>
  <c r="D212" i="160"/>
  <c r="E211" i="160"/>
  <c r="F211" i="160"/>
  <c r="F243" i="160"/>
  <c r="E243" i="160"/>
  <c r="D244" i="160"/>
  <c r="C244" i="160"/>
  <c r="B244" i="160" s="1"/>
  <c r="H233" i="160"/>
  <c r="B68" i="143"/>
  <c r="A68" i="143"/>
  <c r="H577" i="143"/>
  <c r="I573" i="143"/>
  <c r="I559" i="143"/>
  <c r="I571" i="143"/>
  <c r="I569" i="143"/>
  <c r="I566" i="143"/>
  <c r="I561" i="143"/>
  <c r="I562" i="143"/>
  <c r="I567" i="143"/>
  <c r="I556" i="143"/>
  <c r="I560" i="143"/>
  <c r="I568" i="143"/>
  <c r="I572" i="143"/>
  <c r="I575" i="143"/>
  <c r="I565" i="143"/>
  <c r="I557" i="143"/>
  <c r="I563" i="143"/>
  <c r="I570" i="143"/>
  <c r="I574" i="143"/>
  <c r="I558" i="143"/>
  <c r="I564" i="143"/>
  <c r="N585" i="143"/>
  <c r="N497" i="143"/>
  <c r="O406" i="143"/>
  <c r="G407" i="143" s="1"/>
  <c r="H407" i="143" s="1"/>
  <c r="N407" i="143" s="1"/>
  <c r="O216" i="143"/>
  <c r="G217" i="143" s="1"/>
  <c r="H217" i="143" s="1"/>
  <c r="O217" i="143" s="1"/>
  <c r="G218" i="143" s="1"/>
  <c r="F594" i="143"/>
  <c r="C595" i="143"/>
  <c r="B595" i="143" s="1"/>
  <c r="D595" i="143"/>
  <c r="E594" i="143"/>
  <c r="H376" i="143"/>
  <c r="N376" i="143" s="1"/>
  <c r="D479" i="143"/>
  <c r="E478" i="143"/>
  <c r="C479" i="143"/>
  <c r="B479" i="143" s="1"/>
  <c r="F478" i="143"/>
  <c r="N375" i="143"/>
  <c r="C447" i="143"/>
  <c r="B447" i="143" s="1"/>
  <c r="D447" i="143"/>
  <c r="F446" i="143"/>
  <c r="E446" i="143"/>
  <c r="C508" i="143"/>
  <c r="B508" i="143" s="1"/>
  <c r="D508" i="143"/>
  <c r="E507" i="143"/>
  <c r="F507" i="143"/>
  <c r="C566" i="143"/>
  <c r="B566" i="143" s="1"/>
  <c r="E565" i="143"/>
  <c r="F565" i="143"/>
  <c r="D566" i="143"/>
  <c r="N556" i="143"/>
  <c r="C386" i="143"/>
  <c r="B386" i="143" s="1"/>
  <c r="F385" i="143"/>
  <c r="E385" i="143"/>
  <c r="D386" i="143"/>
  <c r="H498" i="143"/>
  <c r="F415" i="143"/>
  <c r="D416" i="143"/>
  <c r="C416" i="143"/>
  <c r="B416" i="143" s="1"/>
  <c r="E415" i="143"/>
  <c r="E536" i="143"/>
  <c r="D537" i="143"/>
  <c r="C537" i="143"/>
  <c r="B537" i="143" s="1"/>
  <c r="F536" i="143"/>
  <c r="D353" i="143"/>
  <c r="E352" i="143"/>
  <c r="C353" i="143"/>
  <c r="B353" i="143" s="1"/>
  <c r="F352" i="143"/>
  <c r="H343" i="143"/>
  <c r="O343" i="143" s="1"/>
  <c r="G344" i="143" s="1"/>
  <c r="O247" i="143"/>
  <c r="G248" i="143" s="1"/>
  <c r="H248" i="143" s="1"/>
  <c r="N248" i="143" s="1"/>
  <c r="O182" i="143"/>
  <c r="G183" i="143" s="1"/>
  <c r="H183" i="143" s="1"/>
  <c r="O183" i="143" s="1"/>
  <c r="G184" i="143" s="1"/>
  <c r="N116" i="143"/>
  <c r="H117" i="143"/>
  <c r="N117" i="143" s="1"/>
  <c r="C126" i="143"/>
  <c r="B126" i="143" s="1"/>
  <c r="D126" i="143"/>
  <c r="F125" i="143"/>
  <c r="E125" i="143"/>
  <c r="D227" i="143"/>
  <c r="E226" i="143"/>
  <c r="C227" i="143"/>
  <c r="B227" i="143" s="1"/>
  <c r="F226" i="143"/>
  <c r="C160" i="143"/>
  <c r="B160" i="143" s="1"/>
  <c r="D160" i="143"/>
  <c r="F159" i="143"/>
  <c r="E159" i="143"/>
  <c r="C290" i="143"/>
  <c r="B290" i="143" s="1"/>
  <c r="E289" i="143"/>
  <c r="D290" i="143"/>
  <c r="F289" i="143"/>
  <c r="H151" i="143"/>
  <c r="N151" i="143" s="1"/>
  <c r="H84" i="143"/>
  <c r="N84" i="143" s="1"/>
  <c r="D321" i="143"/>
  <c r="E320" i="143"/>
  <c r="C321" i="143"/>
  <c r="B321" i="143" s="1"/>
  <c r="F320" i="143"/>
  <c r="C92" i="143"/>
  <c r="B92" i="143" s="1"/>
  <c r="F91" i="143"/>
  <c r="E91" i="143"/>
  <c r="D92" i="143"/>
  <c r="D192" i="143"/>
  <c r="F191" i="143"/>
  <c r="C192" i="143"/>
  <c r="B192" i="143" s="1"/>
  <c r="E191" i="143"/>
  <c r="F256" i="143"/>
  <c r="D257" i="143"/>
  <c r="C257" i="143"/>
  <c r="B257" i="143" s="1"/>
  <c r="E256" i="143"/>
  <c r="H280" i="143"/>
  <c r="N233" i="160" l="1"/>
  <c r="I251" i="160"/>
  <c r="I240" i="160"/>
  <c r="I237" i="160"/>
  <c r="I241" i="160"/>
  <c r="I239" i="160"/>
  <c r="I248" i="160"/>
  <c r="I252" i="160"/>
  <c r="I243" i="160"/>
  <c r="I247" i="160"/>
  <c r="I245" i="160"/>
  <c r="I244" i="160"/>
  <c r="I233" i="160"/>
  <c r="K233" i="160" s="1"/>
  <c r="M233" i="160" s="1"/>
  <c r="I234" i="160"/>
  <c r="I246" i="160"/>
  <c r="I250" i="160"/>
  <c r="I249" i="160"/>
  <c r="I236" i="160"/>
  <c r="I242" i="160"/>
  <c r="I235" i="160"/>
  <c r="I238" i="160"/>
  <c r="F212" i="160"/>
  <c r="D213" i="160"/>
  <c r="C213" i="160"/>
  <c r="B213" i="160" s="1"/>
  <c r="E212" i="160"/>
  <c r="D245" i="160"/>
  <c r="E244" i="160"/>
  <c r="F244" i="160"/>
  <c r="C245" i="160"/>
  <c r="B245" i="160" s="1"/>
  <c r="H203" i="160"/>
  <c r="N203" i="160" s="1"/>
  <c r="B69" i="143"/>
  <c r="A69" i="143"/>
  <c r="I506" i="143"/>
  <c r="I514" i="143"/>
  <c r="I503" i="143"/>
  <c r="I511" i="143"/>
  <c r="I500" i="143"/>
  <c r="I517" i="143"/>
  <c r="I508" i="143"/>
  <c r="I516" i="143"/>
  <c r="I505" i="143"/>
  <c r="I513" i="143"/>
  <c r="I502" i="143"/>
  <c r="I510" i="143"/>
  <c r="I499" i="143"/>
  <c r="I507" i="143"/>
  <c r="I515" i="143"/>
  <c r="I504" i="143"/>
  <c r="I512" i="143"/>
  <c r="I501" i="143"/>
  <c r="I509" i="143"/>
  <c r="I498" i="143"/>
  <c r="K498" i="143" s="1"/>
  <c r="M498" i="143" s="1"/>
  <c r="N343" i="143"/>
  <c r="N498" i="143"/>
  <c r="O407" i="143"/>
  <c r="G408" i="143" s="1"/>
  <c r="N217" i="143"/>
  <c r="D596" i="143"/>
  <c r="E595" i="143"/>
  <c r="C596" i="143"/>
  <c r="B596" i="143" s="1"/>
  <c r="F595" i="143"/>
  <c r="H344" i="143"/>
  <c r="N344" i="143" s="1"/>
  <c r="H519" i="143"/>
  <c r="C354" i="143"/>
  <c r="B354" i="143" s="1"/>
  <c r="D354" i="143"/>
  <c r="E353" i="143"/>
  <c r="F353" i="143"/>
  <c r="D387" i="143"/>
  <c r="C387" i="143"/>
  <c r="B387" i="143" s="1"/>
  <c r="F386" i="143"/>
  <c r="E386" i="143"/>
  <c r="C567" i="143"/>
  <c r="B567" i="143" s="1"/>
  <c r="F566" i="143"/>
  <c r="D567" i="143"/>
  <c r="E566" i="143"/>
  <c r="C509" i="143"/>
  <c r="B509" i="143" s="1"/>
  <c r="D509" i="143"/>
  <c r="F508" i="143"/>
  <c r="E508" i="143"/>
  <c r="E447" i="143"/>
  <c r="D448" i="143"/>
  <c r="C448" i="143"/>
  <c r="B448" i="143" s="1"/>
  <c r="F447" i="143"/>
  <c r="O376" i="143"/>
  <c r="G377" i="143" s="1"/>
  <c r="D538" i="143"/>
  <c r="E537" i="143"/>
  <c r="C538" i="143"/>
  <c r="B538" i="143" s="1"/>
  <c r="F537" i="143"/>
  <c r="D417" i="143"/>
  <c r="E416" i="143"/>
  <c r="C417" i="143"/>
  <c r="B417" i="143" s="1"/>
  <c r="F416" i="143"/>
  <c r="C480" i="143"/>
  <c r="B480" i="143" s="1"/>
  <c r="E479" i="143"/>
  <c r="F479" i="143"/>
  <c r="D480" i="143"/>
  <c r="O84" i="143"/>
  <c r="G85" i="143" s="1"/>
  <c r="H85" i="143" s="1"/>
  <c r="O85" i="143" s="1"/>
  <c r="G86" i="143" s="1"/>
  <c r="N183" i="143"/>
  <c r="N280" i="143"/>
  <c r="O117" i="143"/>
  <c r="G118" i="143" s="1"/>
  <c r="H218" i="143"/>
  <c r="D258" i="143"/>
  <c r="E257" i="143"/>
  <c r="C258" i="143"/>
  <c r="B258" i="143" s="1"/>
  <c r="F257" i="143"/>
  <c r="F290" i="143"/>
  <c r="C291" i="143"/>
  <c r="B291" i="143" s="1"/>
  <c r="D291" i="143"/>
  <c r="E290" i="143"/>
  <c r="D127" i="143"/>
  <c r="C127" i="143"/>
  <c r="B127" i="143" s="1"/>
  <c r="F126" i="143"/>
  <c r="E126" i="143"/>
  <c r="H184" i="143"/>
  <c r="N184" i="143" s="1"/>
  <c r="F192" i="143"/>
  <c r="D193" i="143"/>
  <c r="C193" i="143"/>
  <c r="B193" i="143" s="1"/>
  <c r="E192" i="143"/>
  <c r="C322" i="143"/>
  <c r="B322" i="143" s="1"/>
  <c r="D322" i="143"/>
  <c r="F321" i="143"/>
  <c r="E321" i="143"/>
  <c r="D161" i="143"/>
  <c r="F160" i="143"/>
  <c r="C161" i="143"/>
  <c r="B161" i="143" s="1"/>
  <c r="E160" i="143"/>
  <c r="O248" i="143"/>
  <c r="G249" i="143" s="1"/>
  <c r="F92" i="143"/>
  <c r="D93" i="143"/>
  <c r="C93" i="143"/>
  <c r="B93" i="143" s="1"/>
  <c r="E92" i="143"/>
  <c r="O151" i="143"/>
  <c r="G152" i="143" s="1"/>
  <c r="D228" i="143"/>
  <c r="F227" i="143"/>
  <c r="E227" i="143"/>
  <c r="C228" i="143"/>
  <c r="B228" i="143" s="1"/>
  <c r="O233" i="160" l="1"/>
  <c r="G234" i="160" s="1"/>
  <c r="J234" i="160" s="1"/>
  <c r="K234" i="160" s="1"/>
  <c r="M234" i="160" s="1"/>
  <c r="O203" i="160"/>
  <c r="G204" i="160" s="1"/>
  <c r="H204" i="160" s="1"/>
  <c r="C246" i="160"/>
  <c r="B246" i="160" s="1"/>
  <c r="D246" i="160"/>
  <c r="E245" i="160"/>
  <c r="F245" i="160"/>
  <c r="D214" i="160"/>
  <c r="E213" i="160"/>
  <c r="F213" i="160"/>
  <c r="C214" i="160"/>
  <c r="B214" i="160" s="1"/>
  <c r="B70" i="143"/>
  <c r="A70" i="143"/>
  <c r="O498" i="143"/>
  <c r="G499" i="143" s="1"/>
  <c r="J499" i="143" s="1"/>
  <c r="H239" i="143"/>
  <c r="I231" i="143"/>
  <c r="I229" i="143"/>
  <c r="I232" i="143"/>
  <c r="I218" i="143"/>
  <c r="I225" i="143"/>
  <c r="I233" i="143"/>
  <c r="I226" i="143"/>
  <c r="I224" i="143"/>
  <c r="I219" i="143"/>
  <c r="I227" i="143"/>
  <c r="I220" i="143"/>
  <c r="I228" i="143"/>
  <c r="I236" i="143"/>
  <c r="I234" i="143"/>
  <c r="I237" i="143"/>
  <c r="I222" i="143"/>
  <c r="I230" i="143"/>
  <c r="I235" i="143"/>
  <c r="I223" i="143"/>
  <c r="I221" i="143"/>
  <c r="H408" i="143"/>
  <c r="C597" i="143"/>
  <c r="B597" i="143" s="1"/>
  <c r="F596" i="143"/>
  <c r="D597" i="143"/>
  <c r="E596" i="143"/>
  <c r="E480" i="143"/>
  <c r="C481" i="143"/>
  <c r="B481" i="143" s="1"/>
  <c r="D481" i="143"/>
  <c r="F480" i="143"/>
  <c r="O344" i="143"/>
  <c r="G345" i="143" s="1"/>
  <c r="C418" i="143"/>
  <c r="B418" i="143" s="1"/>
  <c r="D418" i="143"/>
  <c r="F417" i="143"/>
  <c r="E417" i="143"/>
  <c r="C539" i="143"/>
  <c r="B539" i="143" s="1"/>
  <c r="E538" i="143"/>
  <c r="F538" i="143"/>
  <c r="D539" i="143"/>
  <c r="F448" i="143"/>
  <c r="D449" i="143"/>
  <c r="C449" i="143"/>
  <c r="B449" i="143" s="1"/>
  <c r="E448" i="143"/>
  <c r="F509" i="143"/>
  <c r="C510" i="143"/>
  <c r="B510" i="143" s="1"/>
  <c r="E509" i="143"/>
  <c r="D510" i="143"/>
  <c r="F567" i="143"/>
  <c r="C568" i="143"/>
  <c r="B568" i="143" s="1"/>
  <c r="D568" i="143"/>
  <c r="E567" i="143"/>
  <c r="F387" i="143"/>
  <c r="E387" i="143"/>
  <c r="D388" i="143"/>
  <c r="C388" i="143"/>
  <c r="B388" i="143" s="1"/>
  <c r="H377" i="143"/>
  <c r="F354" i="143"/>
  <c r="D355" i="143"/>
  <c r="C355" i="143"/>
  <c r="B355" i="143" s="1"/>
  <c r="E354" i="143"/>
  <c r="O184" i="143"/>
  <c r="G185" i="143" s="1"/>
  <c r="H185" i="143" s="1"/>
  <c r="N185" i="143" s="1"/>
  <c r="N85" i="143"/>
  <c r="H118" i="143"/>
  <c r="O118" i="143" s="1"/>
  <c r="G119" i="143" s="1"/>
  <c r="H119" i="143" s="1"/>
  <c r="O119" i="143" s="1"/>
  <c r="G120" i="143" s="1"/>
  <c r="H86" i="143"/>
  <c r="F291" i="143"/>
  <c r="D292" i="143"/>
  <c r="E291" i="143"/>
  <c r="C292" i="143"/>
  <c r="B292" i="143" s="1"/>
  <c r="D94" i="143"/>
  <c r="E93" i="143"/>
  <c r="C94" i="143"/>
  <c r="B94" i="143" s="1"/>
  <c r="F93" i="143"/>
  <c r="C229" i="143"/>
  <c r="B229" i="143" s="1"/>
  <c r="D229" i="143"/>
  <c r="F228" i="143"/>
  <c r="E228" i="143"/>
  <c r="C323" i="143"/>
  <c r="B323" i="143" s="1"/>
  <c r="E322" i="143"/>
  <c r="D323" i="143"/>
  <c r="F322" i="143"/>
  <c r="D194" i="143"/>
  <c r="E193" i="143"/>
  <c r="C194" i="143"/>
  <c r="B194" i="143" s="1"/>
  <c r="F193" i="143"/>
  <c r="F127" i="143"/>
  <c r="C128" i="143"/>
  <c r="B128" i="143" s="1"/>
  <c r="E127" i="143"/>
  <c r="D128" i="143"/>
  <c r="C259" i="143"/>
  <c r="B259" i="143" s="1"/>
  <c r="D259" i="143"/>
  <c r="F258" i="143"/>
  <c r="E258" i="143"/>
  <c r="H152" i="143"/>
  <c r="N152" i="143" s="1"/>
  <c r="H249" i="143"/>
  <c r="F161" i="143"/>
  <c r="D162" i="143"/>
  <c r="C162" i="143"/>
  <c r="B162" i="143" s="1"/>
  <c r="E161" i="143"/>
  <c r="N218" i="143"/>
  <c r="N234" i="160" l="1"/>
  <c r="I222" i="160"/>
  <c r="I213" i="160"/>
  <c r="I219" i="160"/>
  <c r="I215" i="160"/>
  <c r="I216" i="160"/>
  <c r="I206" i="160"/>
  <c r="I217" i="160"/>
  <c r="I207" i="160"/>
  <c r="I214" i="160"/>
  <c r="I208" i="160"/>
  <c r="I210" i="160"/>
  <c r="I212" i="160"/>
  <c r="I205" i="160"/>
  <c r="I221" i="160"/>
  <c r="I211" i="160"/>
  <c r="I220" i="160"/>
  <c r="I223" i="160"/>
  <c r="I218" i="160"/>
  <c r="I204" i="160"/>
  <c r="K204" i="160" s="1"/>
  <c r="M204" i="160" s="1"/>
  <c r="I209" i="160"/>
  <c r="N204" i="160"/>
  <c r="C215" i="160"/>
  <c r="B215" i="160" s="1"/>
  <c r="D215" i="160"/>
  <c r="E214" i="160"/>
  <c r="F214" i="160"/>
  <c r="O234" i="160"/>
  <c r="G235" i="160" s="1"/>
  <c r="J235" i="160" s="1"/>
  <c r="C247" i="160"/>
  <c r="B247" i="160" s="1"/>
  <c r="D247" i="160"/>
  <c r="E246" i="160"/>
  <c r="F246" i="160"/>
  <c r="B71" i="143"/>
  <c r="A71" i="143"/>
  <c r="N499" i="143"/>
  <c r="N408" i="143"/>
  <c r="I419" i="143"/>
  <c r="I417" i="143"/>
  <c r="I423" i="143"/>
  <c r="I426" i="143"/>
  <c r="I411" i="143"/>
  <c r="I421" i="143"/>
  <c r="I416" i="143"/>
  <c r="I427" i="143"/>
  <c r="I413" i="143"/>
  <c r="I409" i="143"/>
  <c r="I410" i="143"/>
  <c r="I414" i="143"/>
  <c r="I412" i="143"/>
  <c r="I418" i="143"/>
  <c r="I425" i="143"/>
  <c r="I424" i="143"/>
  <c r="I420" i="143"/>
  <c r="I415" i="143"/>
  <c r="I422" i="143"/>
  <c r="I408" i="143"/>
  <c r="K408" i="143" s="1"/>
  <c r="M408" i="143" s="1"/>
  <c r="N377" i="143"/>
  <c r="I378" i="143"/>
  <c r="I377" i="143"/>
  <c r="K377" i="143" s="1"/>
  <c r="M377" i="143" s="1"/>
  <c r="I105" i="143"/>
  <c r="I100" i="143"/>
  <c r="I104" i="143"/>
  <c r="I86" i="143"/>
  <c r="I102" i="143"/>
  <c r="I96" i="143"/>
  <c r="I91" i="143"/>
  <c r="I98" i="143"/>
  <c r="I101" i="143"/>
  <c r="I94" i="143"/>
  <c r="I89" i="143"/>
  <c r="I92" i="143"/>
  <c r="I103" i="143"/>
  <c r="I97" i="143"/>
  <c r="I99" i="143"/>
  <c r="I88" i="143"/>
  <c r="I90" i="143"/>
  <c r="I95" i="143"/>
  <c r="I93" i="143"/>
  <c r="E597" i="143"/>
  <c r="F597" i="143"/>
  <c r="D598" i="143"/>
  <c r="C598" i="143"/>
  <c r="B598" i="143" s="1"/>
  <c r="D569" i="143"/>
  <c r="E568" i="143"/>
  <c r="C569" i="143"/>
  <c r="B569" i="143" s="1"/>
  <c r="F568" i="143"/>
  <c r="F481" i="143"/>
  <c r="D482" i="143"/>
  <c r="C482" i="143"/>
  <c r="B482" i="143" s="1"/>
  <c r="E481" i="143"/>
  <c r="F355" i="143"/>
  <c r="D356" i="143"/>
  <c r="E355" i="143"/>
  <c r="C356" i="143"/>
  <c r="B356" i="143" s="1"/>
  <c r="D511" i="143"/>
  <c r="E510" i="143"/>
  <c r="F510" i="143"/>
  <c r="C511" i="143"/>
  <c r="B511" i="143" s="1"/>
  <c r="C540" i="143"/>
  <c r="B540" i="143" s="1"/>
  <c r="F539" i="143"/>
  <c r="D540" i="143"/>
  <c r="E539" i="143"/>
  <c r="H345" i="143"/>
  <c r="D389" i="143"/>
  <c r="E388" i="143"/>
  <c r="C389" i="143"/>
  <c r="B389" i="143" s="1"/>
  <c r="F388" i="143"/>
  <c r="D450" i="143"/>
  <c r="E449" i="143"/>
  <c r="F449" i="143"/>
  <c r="C450" i="143"/>
  <c r="B450" i="143" s="1"/>
  <c r="E418" i="143"/>
  <c r="D419" i="143"/>
  <c r="C419" i="143"/>
  <c r="B419" i="143" s="1"/>
  <c r="F418" i="143"/>
  <c r="N86" i="143"/>
  <c r="N118" i="143"/>
  <c r="I87" i="143"/>
  <c r="H120" i="143"/>
  <c r="D129" i="143"/>
  <c r="E128" i="143"/>
  <c r="C129" i="143"/>
  <c r="B129" i="143" s="1"/>
  <c r="F128" i="143"/>
  <c r="D163" i="143"/>
  <c r="E162" i="143"/>
  <c r="C163" i="143"/>
  <c r="B163" i="143" s="1"/>
  <c r="F162" i="143"/>
  <c r="O152" i="143"/>
  <c r="G153" i="143" s="1"/>
  <c r="F323" i="143"/>
  <c r="D324" i="143"/>
  <c r="C324" i="143"/>
  <c r="B324" i="143" s="1"/>
  <c r="E323" i="143"/>
  <c r="C95" i="143"/>
  <c r="B95" i="143" s="1"/>
  <c r="D95" i="143"/>
  <c r="F94" i="143"/>
  <c r="E94" i="143"/>
  <c r="D293" i="143"/>
  <c r="E292" i="143"/>
  <c r="C293" i="143"/>
  <c r="B293" i="143" s="1"/>
  <c r="F292" i="143"/>
  <c r="O185" i="143"/>
  <c r="G186" i="143" s="1"/>
  <c r="N249" i="143"/>
  <c r="C260" i="143"/>
  <c r="B260" i="143" s="1"/>
  <c r="E259" i="143"/>
  <c r="D260" i="143"/>
  <c r="F259" i="143"/>
  <c r="C230" i="143"/>
  <c r="B230" i="143" s="1"/>
  <c r="E229" i="143"/>
  <c r="D230" i="143"/>
  <c r="F229" i="143"/>
  <c r="N119" i="143"/>
  <c r="C195" i="143"/>
  <c r="B195" i="143" s="1"/>
  <c r="D195" i="143"/>
  <c r="F194" i="143"/>
  <c r="E194" i="143"/>
  <c r="O204" i="160" l="1"/>
  <c r="G205" i="160" s="1"/>
  <c r="H225" i="160"/>
  <c r="H254" i="160"/>
  <c r="F247" i="160"/>
  <c r="C248" i="160"/>
  <c r="B248" i="160" s="1"/>
  <c r="D248" i="160"/>
  <c r="E247" i="160"/>
  <c r="C216" i="160"/>
  <c r="B216" i="160" s="1"/>
  <c r="D216" i="160"/>
  <c r="E215" i="160"/>
  <c r="F215" i="160"/>
  <c r="K86" i="143"/>
  <c r="B72" i="143"/>
  <c r="A72" i="143"/>
  <c r="O408" i="143"/>
  <c r="G409" i="143" s="1"/>
  <c r="J409" i="143" s="1"/>
  <c r="K409" i="143" s="1"/>
  <c r="M409" i="143" s="1"/>
  <c r="O377" i="143"/>
  <c r="G378" i="143" s="1"/>
  <c r="J378" i="143" s="1"/>
  <c r="K378" i="143" s="1"/>
  <c r="M378" i="143" s="1"/>
  <c r="N345" i="143"/>
  <c r="I349" i="143"/>
  <c r="I357" i="143"/>
  <c r="I346" i="143"/>
  <c r="I354" i="143"/>
  <c r="I362" i="143"/>
  <c r="I351" i="143"/>
  <c r="I359" i="143"/>
  <c r="I348" i="143"/>
  <c r="I356" i="143"/>
  <c r="I364" i="143"/>
  <c r="I353" i="143"/>
  <c r="I361" i="143"/>
  <c r="I350" i="143"/>
  <c r="I358" i="143"/>
  <c r="I347" i="143"/>
  <c r="I355" i="143"/>
  <c r="I363" i="143"/>
  <c r="I352" i="143"/>
  <c r="I360" i="143"/>
  <c r="I126" i="143"/>
  <c r="I120" i="143"/>
  <c r="K120" i="143" s="1"/>
  <c r="M120" i="143" s="1"/>
  <c r="I122" i="143"/>
  <c r="I138" i="143"/>
  <c r="I127" i="143"/>
  <c r="I137" i="143"/>
  <c r="I121" i="143"/>
  <c r="I130" i="143"/>
  <c r="I132" i="143"/>
  <c r="I131" i="143"/>
  <c r="I136" i="143"/>
  <c r="I133" i="143"/>
  <c r="I124" i="143"/>
  <c r="I128" i="143"/>
  <c r="I139" i="143"/>
  <c r="I125" i="143"/>
  <c r="I134" i="143"/>
  <c r="I129" i="143"/>
  <c r="I135" i="143"/>
  <c r="I123" i="143"/>
  <c r="O86" i="143"/>
  <c r="G87" i="143" s="1"/>
  <c r="J87" i="143" s="1"/>
  <c r="F598" i="143"/>
  <c r="C599" i="143"/>
  <c r="B599" i="143" s="1"/>
  <c r="D599" i="143"/>
  <c r="E598" i="143"/>
  <c r="C451" i="143"/>
  <c r="B451" i="143" s="1"/>
  <c r="D451" i="143"/>
  <c r="F450" i="143"/>
  <c r="E450" i="143"/>
  <c r="C512" i="143"/>
  <c r="B512" i="143" s="1"/>
  <c r="D512" i="143"/>
  <c r="F511" i="143"/>
  <c r="E511" i="143"/>
  <c r="C570" i="143"/>
  <c r="B570" i="143" s="1"/>
  <c r="E569" i="143"/>
  <c r="D570" i="143"/>
  <c r="F569" i="143"/>
  <c r="D357" i="143"/>
  <c r="E356" i="143"/>
  <c r="C357" i="143"/>
  <c r="B357" i="143" s="1"/>
  <c r="F356" i="143"/>
  <c r="F419" i="143"/>
  <c r="D420" i="143"/>
  <c r="C420" i="143"/>
  <c r="B420" i="143" s="1"/>
  <c r="E419" i="143"/>
  <c r="D483" i="143"/>
  <c r="E482" i="143"/>
  <c r="C483" i="143"/>
  <c r="B483" i="143" s="1"/>
  <c r="F482" i="143"/>
  <c r="C390" i="143"/>
  <c r="B390" i="143" s="1"/>
  <c r="E389" i="143"/>
  <c r="F389" i="143"/>
  <c r="D390" i="143"/>
  <c r="F540" i="143"/>
  <c r="C541" i="143"/>
  <c r="B541" i="143" s="1"/>
  <c r="D541" i="143"/>
  <c r="E540" i="143"/>
  <c r="N120" i="143"/>
  <c r="H141" i="143"/>
  <c r="H153" i="143"/>
  <c r="C164" i="143"/>
  <c r="B164" i="143" s="1"/>
  <c r="E163" i="143"/>
  <c r="D164" i="143"/>
  <c r="F163" i="143"/>
  <c r="K249" i="143"/>
  <c r="C196" i="143"/>
  <c r="B196" i="143" s="1"/>
  <c r="E195" i="143"/>
  <c r="F195" i="143"/>
  <c r="D196" i="143"/>
  <c r="D96" i="143"/>
  <c r="C96" i="143"/>
  <c r="B96" i="143" s="1"/>
  <c r="F95" i="143"/>
  <c r="E95" i="143"/>
  <c r="F324" i="143"/>
  <c r="D325" i="143"/>
  <c r="E324" i="143"/>
  <c r="C325" i="143"/>
  <c r="B325" i="143" s="1"/>
  <c r="F230" i="143"/>
  <c r="D231" i="143"/>
  <c r="C231" i="143"/>
  <c r="B231" i="143" s="1"/>
  <c r="E230" i="143"/>
  <c r="F260" i="143"/>
  <c r="D261" i="143"/>
  <c r="C261" i="143"/>
  <c r="B261" i="143" s="1"/>
  <c r="E260" i="143"/>
  <c r="H186" i="143"/>
  <c r="F293" i="143"/>
  <c r="D294" i="143"/>
  <c r="E293" i="143"/>
  <c r="C294" i="143"/>
  <c r="B294" i="143" s="1"/>
  <c r="C130" i="143"/>
  <c r="B130" i="143" s="1"/>
  <c r="D130" i="143"/>
  <c r="F129" i="143"/>
  <c r="E129" i="143"/>
  <c r="H107" i="143"/>
  <c r="J205" i="160" l="1"/>
  <c r="K205" i="160" s="1"/>
  <c r="M205" i="160" s="1"/>
  <c r="O205" i="160"/>
  <c r="G206" i="160" s="1"/>
  <c r="J206" i="160" s="1"/>
  <c r="N235" i="160"/>
  <c r="D249" i="160"/>
  <c r="E248" i="160"/>
  <c r="F248" i="160"/>
  <c r="C249" i="160"/>
  <c r="B249" i="160" s="1"/>
  <c r="F216" i="160"/>
  <c r="D217" i="160"/>
  <c r="E216" i="160"/>
  <c r="C217" i="160"/>
  <c r="B217" i="160" s="1"/>
  <c r="M86" i="143"/>
  <c r="O409" i="143"/>
  <c r="G410" i="143" s="1"/>
  <c r="O410" i="143" s="1"/>
  <c r="G411" i="143" s="1"/>
  <c r="H429" i="143" s="1"/>
  <c r="O378" i="143"/>
  <c r="G379" i="143" s="1"/>
  <c r="J379" i="143" s="1"/>
  <c r="N409" i="143"/>
  <c r="N378" i="143"/>
  <c r="I391" i="143"/>
  <c r="I380" i="143"/>
  <c r="I388" i="143"/>
  <c r="I396" i="143"/>
  <c r="I381" i="143"/>
  <c r="I389" i="143"/>
  <c r="I379" i="143"/>
  <c r="I386" i="143"/>
  <c r="I394" i="143"/>
  <c r="I387" i="143"/>
  <c r="I395" i="143"/>
  <c r="I384" i="143"/>
  <c r="I392" i="143"/>
  <c r="I385" i="143"/>
  <c r="I393" i="143"/>
  <c r="I382" i="143"/>
  <c r="I390" i="143"/>
  <c r="I383" i="143"/>
  <c r="N87" i="143"/>
  <c r="I203" i="143"/>
  <c r="I204" i="143"/>
  <c r="I205" i="143"/>
  <c r="H207" i="143"/>
  <c r="I200" i="143"/>
  <c r="I199" i="143"/>
  <c r="I190" i="143"/>
  <c r="I193" i="143"/>
  <c r="I196" i="143"/>
  <c r="I195" i="143"/>
  <c r="I191" i="143"/>
  <c r="I186" i="143"/>
  <c r="I197" i="143"/>
  <c r="I192" i="143"/>
  <c r="I202" i="143"/>
  <c r="I201" i="143"/>
  <c r="I198" i="143"/>
  <c r="I187" i="143"/>
  <c r="I194" i="143"/>
  <c r="I189" i="143"/>
  <c r="I188" i="143"/>
  <c r="N153" i="143"/>
  <c r="I164" i="143"/>
  <c r="I163" i="143"/>
  <c r="I156" i="143"/>
  <c r="I168" i="143"/>
  <c r="I165" i="143"/>
  <c r="I166" i="143"/>
  <c r="I160" i="143"/>
  <c r="I161" i="143"/>
  <c r="I167" i="143"/>
  <c r="I162" i="143"/>
  <c r="I157" i="143"/>
  <c r="I170" i="143"/>
  <c r="I169" i="143"/>
  <c r="I155" i="143"/>
  <c r="I172" i="143"/>
  <c r="I159" i="143"/>
  <c r="I158" i="143"/>
  <c r="I171" i="143"/>
  <c r="O120" i="143"/>
  <c r="G121" i="143" s="1"/>
  <c r="J121" i="143" s="1"/>
  <c r="D600" i="143"/>
  <c r="E599" i="143"/>
  <c r="C600" i="143"/>
  <c r="B600" i="143" s="1"/>
  <c r="F599" i="143"/>
  <c r="H398" i="143"/>
  <c r="C484" i="143"/>
  <c r="B484" i="143" s="1"/>
  <c r="D484" i="143"/>
  <c r="E483" i="143"/>
  <c r="F483" i="143"/>
  <c r="E570" i="143"/>
  <c r="C571" i="143"/>
  <c r="B571" i="143" s="1"/>
  <c r="F570" i="143"/>
  <c r="D571" i="143"/>
  <c r="E512" i="143"/>
  <c r="D513" i="143"/>
  <c r="F512" i="143"/>
  <c r="C513" i="143"/>
  <c r="B513" i="143" s="1"/>
  <c r="D452" i="143"/>
  <c r="E451" i="143"/>
  <c r="C452" i="143"/>
  <c r="B452" i="143" s="1"/>
  <c r="F451" i="143"/>
  <c r="D542" i="143"/>
  <c r="E541" i="143"/>
  <c r="C542" i="143"/>
  <c r="B542" i="143" s="1"/>
  <c r="F541" i="143"/>
  <c r="C391" i="143"/>
  <c r="B391" i="143" s="1"/>
  <c r="F390" i="143"/>
  <c r="E390" i="143"/>
  <c r="D391" i="143"/>
  <c r="D421" i="143"/>
  <c r="E420" i="143"/>
  <c r="F420" i="143"/>
  <c r="C421" i="143"/>
  <c r="B421" i="143" s="1"/>
  <c r="C358" i="143"/>
  <c r="B358" i="143" s="1"/>
  <c r="F357" i="143"/>
  <c r="D358" i="143"/>
  <c r="E357" i="143"/>
  <c r="D131" i="143"/>
  <c r="C131" i="143"/>
  <c r="B131" i="143" s="1"/>
  <c r="F130" i="143"/>
  <c r="E130" i="143"/>
  <c r="F196" i="143"/>
  <c r="D197" i="143"/>
  <c r="C197" i="143"/>
  <c r="B197" i="143" s="1"/>
  <c r="E196" i="143"/>
  <c r="D295" i="143"/>
  <c r="E294" i="143"/>
  <c r="C295" i="143"/>
  <c r="B295" i="143" s="1"/>
  <c r="F294" i="143"/>
  <c r="D262" i="143"/>
  <c r="E261" i="143"/>
  <c r="C262" i="143"/>
  <c r="B262" i="143" s="1"/>
  <c r="F261" i="143"/>
  <c r="D232" i="143"/>
  <c r="E231" i="143"/>
  <c r="C232" i="143"/>
  <c r="B232" i="143" s="1"/>
  <c r="F231" i="143"/>
  <c r="F96" i="143"/>
  <c r="D97" i="143"/>
  <c r="C97" i="143"/>
  <c r="B97" i="143" s="1"/>
  <c r="E96" i="143"/>
  <c r="N186" i="143"/>
  <c r="D326" i="143"/>
  <c r="E325" i="143"/>
  <c r="C326" i="143"/>
  <c r="B326" i="143" s="1"/>
  <c r="F325" i="143"/>
  <c r="D165" i="143"/>
  <c r="F164" i="143"/>
  <c r="C165" i="143"/>
  <c r="B165" i="143" s="1"/>
  <c r="E164" i="143"/>
  <c r="N205" i="160" l="1"/>
  <c r="N206" i="160"/>
  <c r="D218" i="160"/>
  <c r="E217" i="160"/>
  <c r="F217" i="160"/>
  <c r="C218" i="160"/>
  <c r="B218" i="160" s="1"/>
  <c r="C250" i="160"/>
  <c r="B250" i="160" s="1"/>
  <c r="D250" i="160"/>
  <c r="E249" i="160"/>
  <c r="F249" i="160"/>
  <c r="J410" i="143"/>
  <c r="K410" i="143" s="1"/>
  <c r="M410" i="143" s="1"/>
  <c r="N379" i="143"/>
  <c r="K379" i="143"/>
  <c r="M379" i="143" s="1"/>
  <c r="J411" i="143"/>
  <c r="N411" i="143" s="1"/>
  <c r="O379" i="143"/>
  <c r="G380" i="143" s="1"/>
  <c r="J380" i="143" s="1"/>
  <c r="K380" i="143" s="1"/>
  <c r="O121" i="143"/>
  <c r="G122" i="143" s="1"/>
  <c r="O122" i="143" s="1"/>
  <c r="G123" i="143" s="1"/>
  <c r="K218" i="143"/>
  <c r="N121" i="143"/>
  <c r="I398" i="143"/>
  <c r="C601" i="143"/>
  <c r="B601" i="143" s="1"/>
  <c r="F600" i="143"/>
  <c r="D601" i="143"/>
  <c r="E600" i="143"/>
  <c r="F452" i="143"/>
  <c r="C453" i="143"/>
  <c r="B453" i="143" s="1"/>
  <c r="E452" i="143"/>
  <c r="D453" i="143"/>
  <c r="C422" i="143"/>
  <c r="B422" i="143" s="1"/>
  <c r="D422" i="143"/>
  <c r="F421" i="143"/>
  <c r="E421" i="143"/>
  <c r="C543" i="143"/>
  <c r="B543" i="143" s="1"/>
  <c r="F542" i="143"/>
  <c r="D543" i="143"/>
  <c r="E542" i="143"/>
  <c r="C485" i="143"/>
  <c r="B485" i="143" s="1"/>
  <c r="D485" i="143"/>
  <c r="F484" i="143"/>
  <c r="E484" i="143"/>
  <c r="F391" i="143"/>
  <c r="D392" i="143"/>
  <c r="C392" i="143"/>
  <c r="B392" i="143" s="1"/>
  <c r="E391" i="143"/>
  <c r="F513" i="143"/>
  <c r="D514" i="143"/>
  <c r="E513" i="143"/>
  <c r="C514" i="143"/>
  <c r="B514" i="143" s="1"/>
  <c r="F358" i="143"/>
  <c r="E358" i="143"/>
  <c r="D359" i="143"/>
  <c r="C359" i="143"/>
  <c r="B359" i="143" s="1"/>
  <c r="F571" i="143"/>
  <c r="D572" i="143"/>
  <c r="C572" i="143"/>
  <c r="B572" i="143" s="1"/>
  <c r="E571" i="143"/>
  <c r="C296" i="143"/>
  <c r="B296" i="143" s="1"/>
  <c r="E295" i="143"/>
  <c r="D296" i="143"/>
  <c r="F295" i="143"/>
  <c r="C327" i="143"/>
  <c r="B327" i="143" s="1"/>
  <c r="D327" i="143"/>
  <c r="F326" i="143"/>
  <c r="E326" i="143"/>
  <c r="F165" i="143"/>
  <c r="D166" i="143"/>
  <c r="C166" i="143"/>
  <c r="B166" i="143" s="1"/>
  <c r="E165" i="143"/>
  <c r="D98" i="143"/>
  <c r="E97" i="143"/>
  <c r="C98" i="143"/>
  <c r="B98" i="143" s="1"/>
  <c r="F97" i="143"/>
  <c r="D198" i="143"/>
  <c r="E197" i="143"/>
  <c r="C198" i="143"/>
  <c r="B198" i="143" s="1"/>
  <c r="F197" i="143"/>
  <c r="C233" i="143"/>
  <c r="B233" i="143" s="1"/>
  <c r="D233" i="143"/>
  <c r="F232" i="143"/>
  <c r="E232" i="143"/>
  <c r="C263" i="143"/>
  <c r="B263" i="143" s="1"/>
  <c r="D263" i="143"/>
  <c r="F262" i="143"/>
  <c r="E262" i="143"/>
  <c r="K121" i="143"/>
  <c r="I141" i="143"/>
  <c r="F131" i="143"/>
  <c r="C132" i="143"/>
  <c r="B132" i="143" s="1"/>
  <c r="E131" i="143"/>
  <c r="D132" i="143"/>
  <c r="C251" i="160" l="1"/>
  <c r="B251" i="160" s="1"/>
  <c r="F250" i="160"/>
  <c r="E250" i="160"/>
  <c r="D251" i="160"/>
  <c r="C219" i="160"/>
  <c r="B219" i="160" s="1"/>
  <c r="D219" i="160"/>
  <c r="E218" i="160"/>
  <c r="F218" i="160"/>
  <c r="C602" i="143"/>
  <c r="B602" i="143" s="1"/>
  <c r="D602" i="143"/>
  <c r="D573" i="143"/>
  <c r="C573" i="143"/>
  <c r="B573" i="143" s="1"/>
  <c r="N410" i="143"/>
  <c r="N380" i="143"/>
  <c r="O380" i="143"/>
  <c r="G381" i="143" s="1"/>
  <c r="J381" i="143" s="1"/>
  <c r="C328" i="143"/>
  <c r="B328" i="143" s="1"/>
  <c r="D328" i="143"/>
  <c r="D297" i="143"/>
  <c r="C297" i="143"/>
  <c r="B297" i="143" s="1"/>
  <c r="J122" i="143"/>
  <c r="K122" i="143" s="1"/>
  <c r="M122" i="143" s="1"/>
  <c r="I489" i="143"/>
  <c r="I239" i="143"/>
  <c r="K470" i="143"/>
  <c r="F601" i="143"/>
  <c r="E601" i="143"/>
  <c r="E543" i="143"/>
  <c r="F543" i="143"/>
  <c r="C544" i="143"/>
  <c r="B544" i="143" s="1"/>
  <c r="D544" i="143"/>
  <c r="D454" i="143"/>
  <c r="E453" i="143"/>
  <c r="C454" i="143"/>
  <c r="B454" i="143" s="1"/>
  <c r="F453" i="143"/>
  <c r="E572" i="143"/>
  <c r="F572" i="143"/>
  <c r="F359" i="143"/>
  <c r="D360" i="143"/>
  <c r="E359" i="143"/>
  <c r="C360" i="143"/>
  <c r="B360" i="143" s="1"/>
  <c r="M380" i="143"/>
  <c r="D515" i="143"/>
  <c r="E514" i="143"/>
  <c r="F514" i="143"/>
  <c r="C515" i="143"/>
  <c r="B515" i="143" s="1"/>
  <c r="D393" i="143"/>
  <c r="E392" i="143"/>
  <c r="C393" i="143"/>
  <c r="B393" i="143" s="1"/>
  <c r="F392" i="143"/>
  <c r="F485" i="143"/>
  <c r="C486" i="143"/>
  <c r="B486" i="143" s="1"/>
  <c r="E485" i="143"/>
  <c r="D486" i="143"/>
  <c r="D423" i="143"/>
  <c r="E422" i="143"/>
  <c r="C423" i="143"/>
  <c r="B423" i="143" s="1"/>
  <c r="F422" i="143"/>
  <c r="D133" i="143"/>
  <c r="E132" i="143"/>
  <c r="C133" i="143"/>
  <c r="B133" i="143" s="1"/>
  <c r="F132" i="143"/>
  <c r="M121" i="143"/>
  <c r="C199" i="143"/>
  <c r="B199" i="143" s="1"/>
  <c r="D199" i="143"/>
  <c r="F198" i="143"/>
  <c r="E198" i="143"/>
  <c r="D167" i="143"/>
  <c r="E166" i="143"/>
  <c r="F166" i="143"/>
  <c r="C167" i="143"/>
  <c r="B167" i="143" s="1"/>
  <c r="F327" i="143"/>
  <c r="E327" i="143"/>
  <c r="D264" i="143"/>
  <c r="F263" i="143"/>
  <c r="C264" i="143"/>
  <c r="B264" i="143" s="1"/>
  <c r="E263" i="143"/>
  <c r="D234" i="143"/>
  <c r="F233" i="143"/>
  <c r="C234" i="143"/>
  <c r="B234" i="143" s="1"/>
  <c r="E233" i="143"/>
  <c r="C99" i="143"/>
  <c r="B99" i="143" s="1"/>
  <c r="E98" i="143"/>
  <c r="D99" i="143"/>
  <c r="F98" i="143"/>
  <c r="O123" i="143"/>
  <c r="G124" i="143" s="1"/>
  <c r="J123" i="143"/>
  <c r="K123" i="143" s="1"/>
  <c r="M123" i="143" s="1"/>
  <c r="F296" i="143"/>
  <c r="E296" i="143"/>
  <c r="F251" i="160" l="1"/>
  <c r="E251" i="160"/>
  <c r="D252" i="160"/>
  <c r="C252" i="160"/>
  <c r="B252" i="160" s="1"/>
  <c r="C220" i="160"/>
  <c r="B220" i="160" s="1"/>
  <c r="D220" i="160"/>
  <c r="E219" i="160"/>
  <c r="F219" i="160"/>
  <c r="F602" i="143"/>
  <c r="E602" i="143"/>
  <c r="O381" i="143"/>
  <c r="G382" i="143" s="1"/>
  <c r="O382" i="143" s="1"/>
  <c r="G383" i="143" s="1"/>
  <c r="E573" i="143"/>
  <c r="C574" i="143"/>
  <c r="B574" i="143" s="1"/>
  <c r="F573" i="143"/>
  <c r="D574" i="143"/>
  <c r="C545" i="143"/>
  <c r="B545" i="143" s="1"/>
  <c r="D545" i="143"/>
  <c r="D516" i="143"/>
  <c r="C516" i="143"/>
  <c r="B516" i="143" s="1"/>
  <c r="C487" i="143"/>
  <c r="B487" i="143" s="1"/>
  <c r="D487" i="143"/>
  <c r="N122" i="143"/>
  <c r="F328" i="143"/>
  <c r="C329" i="143"/>
  <c r="B329" i="143" s="1"/>
  <c r="E328" i="143"/>
  <c r="D329" i="143"/>
  <c r="F297" i="143"/>
  <c r="E297" i="143"/>
  <c r="D298" i="143"/>
  <c r="C298" i="143"/>
  <c r="B298" i="143" s="1"/>
  <c r="D235" i="143"/>
  <c r="C235" i="143"/>
  <c r="B235" i="143" s="1"/>
  <c r="L577" i="143"/>
  <c r="L604" i="143"/>
  <c r="J382" i="143"/>
  <c r="K382" i="143" s="1"/>
  <c r="M382" i="143" s="1"/>
  <c r="F423" i="143"/>
  <c r="C424" i="143"/>
  <c r="B424" i="143" s="1"/>
  <c r="E423" i="143"/>
  <c r="D424" i="143"/>
  <c r="F515" i="143"/>
  <c r="E515" i="143"/>
  <c r="E486" i="143"/>
  <c r="F486" i="143"/>
  <c r="K381" i="143"/>
  <c r="N381" i="143"/>
  <c r="D361" i="143"/>
  <c r="E360" i="143"/>
  <c r="C361" i="143"/>
  <c r="B361" i="143" s="1"/>
  <c r="F360" i="143"/>
  <c r="F544" i="143"/>
  <c r="E544" i="143"/>
  <c r="C394" i="143"/>
  <c r="B394" i="143" s="1"/>
  <c r="D394" i="143"/>
  <c r="E393" i="143"/>
  <c r="F393" i="143"/>
  <c r="C455" i="143"/>
  <c r="B455" i="143" s="1"/>
  <c r="F454" i="143"/>
  <c r="E454" i="143"/>
  <c r="D455" i="143"/>
  <c r="F234" i="143"/>
  <c r="E234" i="143"/>
  <c r="F264" i="143"/>
  <c r="C265" i="143"/>
  <c r="B265" i="143" s="1"/>
  <c r="E264" i="143"/>
  <c r="D265" i="143"/>
  <c r="C134" i="143"/>
  <c r="B134" i="143" s="1"/>
  <c r="F133" i="143"/>
  <c r="E133" i="143"/>
  <c r="D134" i="143"/>
  <c r="J124" i="143"/>
  <c r="K124" i="143" s="1"/>
  <c r="M124" i="143" s="1"/>
  <c r="O124" i="143"/>
  <c r="G125" i="143" s="1"/>
  <c r="D200" i="143"/>
  <c r="F199" i="143"/>
  <c r="C200" i="143"/>
  <c r="B200" i="143" s="1"/>
  <c r="E199" i="143"/>
  <c r="N123" i="143"/>
  <c r="D100" i="143"/>
  <c r="C100" i="143"/>
  <c r="B100" i="143" s="1"/>
  <c r="F99" i="143"/>
  <c r="E99" i="143"/>
  <c r="L335" i="143"/>
  <c r="C168" i="143"/>
  <c r="B168" i="143" s="1"/>
  <c r="D168" i="143"/>
  <c r="F167" i="143"/>
  <c r="E167" i="143"/>
  <c r="E252" i="160" l="1"/>
  <c r="F252" i="160"/>
  <c r="F220" i="160"/>
  <c r="D221" i="160"/>
  <c r="C221" i="160"/>
  <c r="B221" i="160" s="1"/>
  <c r="E220" i="160"/>
  <c r="E574" i="143"/>
  <c r="F574" i="143"/>
  <c r="D575" i="143"/>
  <c r="C575" i="143"/>
  <c r="B575" i="143" s="1"/>
  <c r="F545" i="143"/>
  <c r="C546" i="143"/>
  <c r="B546" i="143" s="1"/>
  <c r="D546" i="143"/>
  <c r="E545" i="143"/>
  <c r="F516" i="143"/>
  <c r="C517" i="143"/>
  <c r="B517" i="143" s="1"/>
  <c r="E516" i="143"/>
  <c r="D517" i="143"/>
  <c r="F487" i="143"/>
  <c r="E487" i="143"/>
  <c r="D330" i="143"/>
  <c r="E329" i="143"/>
  <c r="C330" i="143"/>
  <c r="B330" i="143" s="1"/>
  <c r="F329" i="143"/>
  <c r="E298" i="143"/>
  <c r="C299" i="143"/>
  <c r="B299" i="143" s="1"/>
  <c r="F298" i="143"/>
  <c r="D299" i="143"/>
  <c r="D266" i="143"/>
  <c r="C266" i="143"/>
  <c r="B266" i="143" s="1"/>
  <c r="F235" i="143"/>
  <c r="E235" i="143"/>
  <c r="D236" i="143"/>
  <c r="C236" i="143"/>
  <c r="B236" i="143" s="1"/>
  <c r="L519" i="143"/>
  <c r="C362" i="143"/>
  <c r="B362" i="143" s="1"/>
  <c r="D362" i="143"/>
  <c r="E361" i="143"/>
  <c r="F361" i="143"/>
  <c r="M381" i="143"/>
  <c r="E394" i="143"/>
  <c r="C395" i="143"/>
  <c r="B395" i="143" s="1"/>
  <c r="F394" i="143"/>
  <c r="D395" i="143"/>
  <c r="D425" i="143"/>
  <c r="E424" i="143"/>
  <c r="C425" i="143"/>
  <c r="B425" i="143" s="1"/>
  <c r="F424" i="143"/>
  <c r="O383" i="143"/>
  <c r="G384" i="143" s="1"/>
  <c r="J383" i="143"/>
  <c r="D456" i="143"/>
  <c r="C456" i="143"/>
  <c r="B456" i="143" s="1"/>
  <c r="F455" i="143"/>
  <c r="E455" i="143"/>
  <c r="N382" i="143"/>
  <c r="N124" i="143"/>
  <c r="C135" i="143"/>
  <c r="B135" i="143" s="1"/>
  <c r="F134" i="143"/>
  <c r="D135" i="143"/>
  <c r="E134" i="143"/>
  <c r="F100" i="143"/>
  <c r="D101" i="143"/>
  <c r="C101" i="143"/>
  <c r="B101" i="143" s="1"/>
  <c r="E100" i="143"/>
  <c r="F200" i="143"/>
  <c r="D201" i="143"/>
  <c r="E200" i="143"/>
  <c r="C201" i="143"/>
  <c r="B201" i="143" s="1"/>
  <c r="E265" i="143"/>
  <c r="F265" i="143"/>
  <c r="C169" i="143"/>
  <c r="B169" i="143" s="1"/>
  <c r="E168" i="143"/>
  <c r="D169" i="143"/>
  <c r="F168" i="143"/>
  <c r="L271" i="143"/>
  <c r="O249" i="143"/>
  <c r="G250" i="143" s="1"/>
  <c r="H250" i="143" s="1"/>
  <c r="M249" i="143"/>
  <c r="O125" i="143"/>
  <c r="G126" i="143" s="1"/>
  <c r="J125" i="143"/>
  <c r="K125" i="143" s="1"/>
  <c r="M125" i="143" s="1"/>
  <c r="D222" i="160" l="1"/>
  <c r="E221" i="160"/>
  <c r="F221" i="160"/>
  <c r="C222" i="160"/>
  <c r="B222" i="160" s="1"/>
  <c r="E575" i="143"/>
  <c r="F575" i="143"/>
  <c r="F546" i="143"/>
  <c r="E546" i="143"/>
  <c r="E517" i="143"/>
  <c r="F517" i="143"/>
  <c r="K383" i="143"/>
  <c r="D331" i="143"/>
  <c r="C331" i="143"/>
  <c r="B331" i="143" s="1"/>
  <c r="F330" i="143"/>
  <c r="E330" i="143"/>
  <c r="F299" i="143"/>
  <c r="D300" i="143"/>
  <c r="E299" i="143"/>
  <c r="C300" i="143"/>
  <c r="B300" i="143" s="1"/>
  <c r="D267" i="143"/>
  <c r="C267" i="143"/>
  <c r="B267" i="143" s="1"/>
  <c r="E266" i="143"/>
  <c r="F266" i="143"/>
  <c r="I251" i="143"/>
  <c r="I255" i="143"/>
  <c r="I262" i="143"/>
  <c r="I263" i="143"/>
  <c r="I264" i="143"/>
  <c r="I252" i="143"/>
  <c r="I260" i="143"/>
  <c r="I259" i="143"/>
  <c r="I253" i="143"/>
  <c r="I257" i="143"/>
  <c r="I254" i="143"/>
  <c r="I267" i="143"/>
  <c r="I269" i="143"/>
  <c r="I261" i="143"/>
  <c r="I266" i="143"/>
  <c r="I268" i="143"/>
  <c r="I265" i="143"/>
  <c r="I256" i="143"/>
  <c r="I250" i="143"/>
  <c r="I258" i="143"/>
  <c r="H271" i="143"/>
  <c r="D237" i="143"/>
  <c r="E236" i="143"/>
  <c r="C237" i="143"/>
  <c r="B237" i="143" s="1"/>
  <c r="F236" i="143"/>
  <c r="N383" i="143"/>
  <c r="L548" i="143"/>
  <c r="F456" i="143"/>
  <c r="C457" i="143"/>
  <c r="B457" i="143" s="1"/>
  <c r="E456" i="143"/>
  <c r="D457" i="143"/>
  <c r="C426" i="143"/>
  <c r="B426" i="143" s="1"/>
  <c r="F425" i="143"/>
  <c r="E425" i="143"/>
  <c r="D426" i="143"/>
  <c r="J384" i="143"/>
  <c r="K384" i="143" s="1"/>
  <c r="M384" i="143" s="1"/>
  <c r="O384" i="143"/>
  <c r="G385" i="143" s="1"/>
  <c r="F395" i="143"/>
  <c r="D396" i="143"/>
  <c r="C396" i="143"/>
  <c r="B396" i="143" s="1"/>
  <c r="E395" i="143"/>
  <c r="F362" i="143"/>
  <c r="D363" i="143"/>
  <c r="C363" i="143"/>
  <c r="B363" i="143" s="1"/>
  <c r="E362" i="143"/>
  <c r="N125" i="143"/>
  <c r="N250" i="143"/>
  <c r="F135" i="143"/>
  <c r="E135" i="143"/>
  <c r="D136" i="143"/>
  <c r="C136" i="143"/>
  <c r="B136" i="143" s="1"/>
  <c r="J126" i="143"/>
  <c r="K126" i="143" s="1"/>
  <c r="O126" i="143"/>
  <c r="G127" i="143" s="1"/>
  <c r="F169" i="143"/>
  <c r="D170" i="143"/>
  <c r="C170" i="143"/>
  <c r="B170" i="143" s="1"/>
  <c r="E169" i="143"/>
  <c r="L303" i="143"/>
  <c r="D202" i="143"/>
  <c r="E201" i="143"/>
  <c r="C202" i="143"/>
  <c r="B202" i="143" s="1"/>
  <c r="F201" i="143"/>
  <c r="D102" i="143"/>
  <c r="E101" i="143"/>
  <c r="C102" i="143"/>
  <c r="B102" i="143" s="1"/>
  <c r="F101" i="143"/>
  <c r="D223" i="160" l="1"/>
  <c r="E222" i="160"/>
  <c r="F222" i="160"/>
  <c r="C223" i="160"/>
  <c r="B223" i="160" s="1"/>
  <c r="M383" i="143"/>
  <c r="F331" i="143"/>
  <c r="D332" i="143"/>
  <c r="E331" i="143"/>
  <c r="C332" i="143"/>
  <c r="B332" i="143" s="1"/>
  <c r="D301" i="143"/>
  <c r="E300" i="143"/>
  <c r="C301" i="143"/>
  <c r="B301" i="143" s="1"/>
  <c r="F300" i="143"/>
  <c r="I271" i="143"/>
  <c r="O250" i="143"/>
  <c r="G251" i="143" s="1"/>
  <c r="J251" i="143" s="1"/>
  <c r="K251" i="143" s="1"/>
  <c r="M251" i="143" s="1"/>
  <c r="C268" i="143"/>
  <c r="B268" i="143" s="1"/>
  <c r="D268" i="143"/>
  <c r="F267" i="143"/>
  <c r="E267" i="143"/>
  <c r="I519" i="143"/>
  <c r="K499" i="143"/>
  <c r="M499" i="143" s="1"/>
  <c r="O499" i="143"/>
  <c r="G500" i="143" s="1"/>
  <c r="E237" i="143"/>
  <c r="F237" i="143"/>
  <c r="D203" i="143"/>
  <c r="C203" i="143"/>
  <c r="B203" i="143" s="1"/>
  <c r="D171" i="143"/>
  <c r="C171" i="143"/>
  <c r="B171" i="143" s="1"/>
  <c r="M126" i="143"/>
  <c r="N384" i="143"/>
  <c r="F363" i="143"/>
  <c r="D364" i="143"/>
  <c r="E363" i="143"/>
  <c r="C364" i="143"/>
  <c r="B364" i="143" s="1"/>
  <c r="E396" i="143"/>
  <c r="F396" i="143"/>
  <c r="E457" i="143"/>
  <c r="F457" i="143"/>
  <c r="O385" i="143"/>
  <c r="G386" i="143" s="1"/>
  <c r="J385" i="143"/>
  <c r="D427" i="143"/>
  <c r="C427" i="143"/>
  <c r="B427" i="143" s="1"/>
  <c r="F426" i="143"/>
  <c r="E426" i="143"/>
  <c r="N126" i="143"/>
  <c r="E170" i="143"/>
  <c r="F170" i="143"/>
  <c r="O127" i="143"/>
  <c r="G128" i="143" s="1"/>
  <c r="J127" i="143"/>
  <c r="D137" i="143"/>
  <c r="E136" i="143"/>
  <c r="C137" i="143"/>
  <c r="B137" i="143" s="1"/>
  <c r="F136" i="143"/>
  <c r="K250" i="143"/>
  <c r="C103" i="143"/>
  <c r="B103" i="143" s="1"/>
  <c r="E102" i="143"/>
  <c r="D103" i="143"/>
  <c r="F102" i="143"/>
  <c r="E202" i="143"/>
  <c r="F202" i="143"/>
  <c r="E223" i="160" l="1"/>
  <c r="F223" i="160"/>
  <c r="O251" i="143"/>
  <c r="G252" i="143" s="1"/>
  <c r="J252" i="143" s="1"/>
  <c r="K252" i="143" s="1"/>
  <c r="M252" i="143" s="1"/>
  <c r="K385" i="143"/>
  <c r="C333" i="143"/>
  <c r="B333" i="143" s="1"/>
  <c r="F332" i="143"/>
  <c r="D333" i="143"/>
  <c r="E332" i="143"/>
  <c r="F301" i="143"/>
  <c r="E301" i="143"/>
  <c r="J500" i="143"/>
  <c r="N500" i="143" s="1"/>
  <c r="O500" i="143"/>
  <c r="G501" i="143" s="1"/>
  <c r="K280" i="143"/>
  <c r="M280" i="143" s="1"/>
  <c r="O280" i="143"/>
  <c r="G281" i="143" s="1"/>
  <c r="H281" i="143" s="1"/>
  <c r="C269" i="143"/>
  <c r="B269" i="143" s="1"/>
  <c r="F268" i="143"/>
  <c r="D269" i="143"/>
  <c r="E268" i="143"/>
  <c r="F203" i="143"/>
  <c r="E203" i="143"/>
  <c r="D204" i="143"/>
  <c r="C204" i="143"/>
  <c r="B204" i="143" s="1"/>
  <c r="F171" i="143"/>
  <c r="C172" i="143"/>
  <c r="B172" i="143" s="1"/>
  <c r="E171" i="143"/>
  <c r="D172" i="143"/>
  <c r="D138" i="143"/>
  <c r="C138" i="143"/>
  <c r="B138" i="143" s="1"/>
  <c r="K127" i="143"/>
  <c r="C104" i="143"/>
  <c r="B104" i="143" s="1"/>
  <c r="D104" i="143"/>
  <c r="L489" i="143"/>
  <c r="O470" i="143"/>
  <c r="G471" i="143" s="1"/>
  <c r="M470" i="143"/>
  <c r="L459" i="143"/>
  <c r="F427" i="143"/>
  <c r="E427" i="143"/>
  <c r="N385" i="143"/>
  <c r="O386" i="143"/>
  <c r="G387" i="143" s="1"/>
  <c r="J386" i="143"/>
  <c r="K386" i="143" s="1"/>
  <c r="M386" i="143" s="1"/>
  <c r="E364" i="143"/>
  <c r="F364" i="143"/>
  <c r="F103" i="143"/>
  <c r="E103" i="143"/>
  <c r="L239" i="143"/>
  <c r="O218" i="143"/>
  <c r="G219" i="143" s="1"/>
  <c r="M218" i="143"/>
  <c r="M250" i="143"/>
  <c r="J128" i="143"/>
  <c r="K128" i="143" s="1"/>
  <c r="M128" i="143" s="1"/>
  <c r="O128" i="143"/>
  <c r="G129" i="143" s="1"/>
  <c r="O252" i="143"/>
  <c r="G253" i="143" s="1"/>
  <c r="F137" i="143"/>
  <c r="E137" i="143"/>
  <c r="L207" i="143"/>
  <c r="N251" i="143"/>
  <c r="N127" i="143"/>
  <c r="M385" i="143" l="1"/>
  <c r="F333" i="143"/>
  <c r="E333" i="143"/>
  <c r="F269" i="143"/>
  <c r="E269" i="143"/>
  <c r="O281" i="143"/>
  <c r="G282" i="143" s="1"/>
  <c r="H282" i="143" s="1"/>
  <c r="J501" i="143"/>
  <c r="O501" i="143"/>
  <c r="G502" i="143" s="1"/>
  <c r="K500" i="143"/>
  <c r="E204" i="143"/>
  <c r="C205" i="143"/>
  <c r="B205" i="143" s="1"/>
  <c r="F204" i="143"/>
  <c r="D205" i="143"/>
  <c r="F172" i="143"/>
  <c r="E172" i="143"/>
  <c r="F138" i="143"/>
  <c r="D139" i="143"/>
  <c r="E138" i="143"/>
  <c r="C139" i="143"/>
  <c r="B139" i="143" s="1"/>
  <c r="M127" i="143"/>
  <c r="F104" i="143"/>
  <c r="C105" i="143"/>
  <c r="B105" i="143" s="1"/>
  <c r="D105" i="143"/>
  <c r="E104" i="143"/>
  <c r="L429" i="143"/>
  <c r="N386" i="143"/>
  <c r="O471" i="143"/>
  <c r="G472" i="143" s="1"/>
  <c r="J471" i="143"/>
  <c r="N471" i="143" s="1"/>
  <c r="O387" i="143"/>
  <c r="G388" i="143" s="1"/>
  <c r="J387" i="143"/>
  <c r="N128" i="143"/>
  <c r="O219" i="143"/>
  <c r="G220" i="143" s="1"/>
  <c r="J219" i="143"/>
  <c r="J253" i="143"/>
  <c r="K253" i="143" s="1"/>
  <c r="M253" i="143" s="1"/>
  <c r="O253" i="143"/>
  <c r="G254" i="143" s="1"/>
  <c r="O129" i="143"/>
  <c r="G130" i="143" s="1"/>
  <c r="J129" i="143"/>
  <c r="K129" i="143" s="1"/>
  <c r="M129" i="143" s="1"/>
  <c r="L174" i="143"/>
  <c r="N252" i="143"/>
  <c r="K387" i="143" l="1"/>
  <c r="H303" i="143"/>
  <c r="I296" i="143"/>
  <c r="I289" i="143"/>
  <c r="I284" i="143"/>
  <c r="I288" i="143"/>
  <c r="I292" i="143"/>
  <c r="I286" i="143"/>
  <c r="I299" i="143"/>
  <c r="I285" i="143"/>
  <c r="I298" i="143"/>
  <c r="I293" i="143"/>
  <c r="I297" i="143"/>
  <c r="I282" i="143"/>
  <c r="O282" i="143" s="1"/>
  <c r="G283" i="143" s="1"/>
  <c r="J283" i="143" s="1"/>
  <c r="I294" i="143"/>
  <c r="I290" i="143"/>
  <c r="I301" i="143"/>
  <c r="I300" i="143"/>
  <c r="I283" i="143"/>
  <c r="I287" i="143"/>
  <c r="I291" i="143"/>
  <c r="I295" i="143"/>
  <c r="N281" i="143"/>
  <c r="K281" i="143"/>
  <c r="O502" i="143"/>
  <c r="G503" i="143" s="1"/>
  <c r="J502" i="143"/>
  <c r="M500" i="143"/>
  <c r="K501" i="143"/>
  <c r="M501" i="143" s="1"/>
  <c r="N501" i="143"/>
  <c r="F205" i="143"/>
  <c r="E205" i="143"/>
  <c r="F139" i="143"/>
  <c r="E139" i="143"/>
  <c r="F105" i="143"/>
  <c r="E105" i="143"/>
  <c r="O472" i="143"/>
  <c r="G473" i="143" s="1"/>
  <c r="J472" i="143"/>
  <c r="K472" i="143" s="1"/>
  <c r="M472" i="143" s="1"/>
  <c r="K471" i="143"/>
  <c r="J388" i="143"/>
  <c r="K388" i="143" s="1"/>
  <c r="M388" i="143" s="1"/>
  <c r="O388" i="143"/>
  <c r="G389" i="143" s="1"/>
  <c r="N387" i="143"/>
  <c r="J130" i="143"/>
  <c r="K130" i="143" s="1"/>
  <c r="O130" i="143"/>
  <c r="G131" i="143" s="1"/>
  <c r="O254" i="143"/>
  <c r="G255" i="143" s="1"/>
  <c r="J254" i="143"/>
  <c r="K254" i="143" s="1"/>
  <c r="O220" i="143"/>
  <c r="G221" i="143" s="1"/>
  <c r="J220" i="143"/>
  <c r="K220" i="143" s="1"/>
  <c r="M220" i="143" s="1"/>
  <c r="N129" i="143"/>
  <c r="N253" i="143"/>
  <c r="K219" i="143"/>
  <c r="N219" i="143"/>
  <c r="M387" i="143" l="1"/>
  <c r="K283" i="143"/>
  <c r="O311" i="143"/>
  <c r="G312" i="143" s="1"/>
  <c r="H312" i="143" s="1"/>
  <c r="I303" i="143"/>
  <c r="K502" i="143"/>
  <c r="N502" i="143"/>
  <c r="K282" i="143"/>
  <c r="M282" i="143" s="1"/>
  <c r="N282" i="143"/>
  <c r="J503" i="143"/>
  <c r="O503" i="143"/>
  <c r="G504" i="143" s="1"/>
  <c r="M281" i="143"/>
  <c r="O283" i="143"/>
  <c r="G284" i="143" s="1"/>
  <c r="J284" i="143" s="1"/>
  <c r="K284" i="143" s="1"/>
  <c r="M254" i="143"/>
  <c r="M130" i="143"/>
  <c r="N472" i="143"/>
  <c r="M471" i="143"/>
  <c r="O473" i="143"/>
  <c r="G474" i="143" s="1"/>
  <c r="J473" i="143"/>
  <c r="O389" i="143"/>
  <c r="G390" i="143" s="1"/>
  <c r="J389" i="143"/>
  <c r="N388" i="143"/>
  <c r="N220" i="143"/>
  <c r="M219" i="143"/>
  <c r="O221" i="143"/>
  <c r="G222" i="143" s="1"/>
  <c r="J221" i="143"/>
  <c r="K221" i="143" s="1"/>
  <c r="M221" i="143" s="1"/>
  <c r="N254" i="143"/>
  <c r="N130" i="143"/>
  <c r="O255" i="143"/>
  <c r="G256" i="143" s="1"/>
  <c r="J255" i="143"/>
  <c r="K255" i="143" s="1"/>
  <c r="M255" i="143" s="1"/>
  <c r="O131" i="143"/>
  <c r="G132" i="143" s="1"/>
  <c r="J131" i="143"/>
  <c r="K131" i="143" s="1"/>
  <c r="M131" i="143" s="1"/>
  <c r="M502" i="143" l="1"/>
  <c r="K473" i="143"/>
  <c r="K389" i="143"/>
  <c r="M311" i="143"/>
  <c r="O312" i="143"/>
  <c r="G313" i="143" s="1"/>
  <c r="H313" i="143" s="1"/>
  <c r="M283" i="143"/>
  <c r="N283" i="143"/>
  <c r="O284" i="143"/>
  <c r="G285" i="143" s="1"/>
  <c r="J285" i="143" s="1"/>
  <c r="K285" i="143" s="1"/>
  <c r="J504" i="143"/>
  <c r="O504" i="143"/>
  <c r="G505" i="143" s="1"/>
  <c r="K503" i="143"/>
  <c r="M503" i="143" s="1"/>
  <c r="N503" i="143"/>
  <c r="N221" i="143"/>
  <c r="N255" i="143"/>
  <c r="J474" i="143"/>
  <c r="K474" i="143" s="1"/>
  <c r="M474" i="143" s="1"/>
  <c r="O474" i="143"/>
  <c r="G475" i="143" s="1"/>
  <c r="N473" i="143"/>
  <c r="O390" i="143"/>
  <c r="G391" i="143" s="1"/>
  <c r="J390" i="143"/>
  <c r="K390" i="143" s="1"/>
  <c r="M390" i="143" s="1"/>
  <c r="N389" i="143"/>
  <c r="O256" i="143"/>
  <c r="G257" i="143" s="1"/>
  <c r="J256" i="143"/>
  <c r="J222" i="143"/>
  <c r="K222" i="143" s="1"/>
  <c r="M222" i="143" s="1"/>
  <c r="O222" i="143"/>
  <c r="G223" i="143" s="1"/>
  <c r="J132" i="143"/>
  <c r="K132" i="143" s="1"/>
  <c r="M132" i="143" s="1"/>
  <c r="O132" i="143"/>
  <c r="G133" i="143" s="1"/>
  <c r="N131" i="143"/>
  <c r="M473" i="143" l="1"/>
  <c r="M389" i="143"/>
  <c r="M313" i="143"/>
  <c r="O313" i="143"/>
  <c r="G314" i="143" s="1"/>
  <c r="H314" i="143" s="1"/>
  <c r="N312" i="143"/>
  <c r="O505" i="143"/>
  <c r="G506" i="143" s="1"/>
  <c r="J505" i="143"/>
  <c r="K505" i="143" s="1"/>
  <c r="M505" i="143" s="1"/>
  <c r="M284" i="143"/>
  <c r="N284" i="143"/>
  <c r="K504" i="143"/>
  <c r="M504" i="143" s="1"/>
  <c r="N504" i="143"/>
  <c r="O285" i="143"/>
  <c r="G286" i="143" s="1"/>
  <c r="J286" i="143" s="1"/>
  <c r="K256" i="143"/>
  <c r="N474" i="143"/>
  <c r="O475" i="143"/>
  <c r="G476" i="143" s="1"/>
  <c r="J475" i="143"/>
  <c r="K475" i="143" s="1"/>
  <c r="M475" i="143" s="1"/>
  <c r="O391" i="143"/>
  <c r="G392" i="143" s="1"/>
  <c r="J391" i="143"/>
  <c r="N390" i="143"/>
  <c r="N132" i="143"/>
  <c r="J257" i="143"/>
  <c r="K257" i="143" s="1"/>
  <c r="M257" i="143" s="1"/>
  <c r="O257" i="143"/>
  <c r="G258" i="143" s="1"/>
  <c r="O223" i="143"/>
  <c r="G224" i="143" s="1"/>
  <c r="J223" i="143"/>
  <c r="O133" i="143"/>
  <c r="G134" i="143" s="1"/>
  <c r="J133" i="143"/>
  <c r="K133" i="143" s="1"/>
  <c r="M133" i="143" s="1"/>
  <c r="N222" i="143"/>
  <c r="N256" i="143"/>
  <c r="K391" i="143" l="1"/>
  <c r="I315" i="143"/>
  <c r="I317" i="143"/>
  <c r="C56" i="143" s="1"/>
  <c r="I321" i="143"/>
  <c r="C60" i="143" s="1"/>
  <c r="I318" i="143"/>
  <c r="C57" i="143" s="1"/>
  <c r="I322" i="143"/>
  <c r="C61" i="143" s="1"/>
  <c r="I314" i="143"/>
  <c r="I316" i="143"/>
  <c r="C55" i="143" s="1"/>
  <c r="I326" i="143"/>
  <c r="C65" i="143" s="1"/>
  <c r="I324" i="143"/>
  <c r="C63" i="143" s="1"/>
  <c r="I325" i="143"/>
  <c r="C64" i="143" s="1"/>
  <c r="I330" i="143"/>
  <c r="C69" i="143" s="1"/>
  <c r="I329" i="143"/>
  <c r="C68" i="143" s="1"/>
  <c r="I332" i="143"/>
  <c r="C71" i="143" s="1"/>
  <c r="I323" i="143"/>
  <c r="C62" i="143" s="1"/>
  <c r="I327" i="143"/>
  <c r="C66" i="143" s="1"/>
  <c r="I331" i="143"/>
  <c r="C70" i="143" s="1"/>
  <c r="I320" i="143"/>
  <c r="C59" i="143" s="1"/>
  <c r="I333" i="143"/>
  <c r="C72" i="143" s="1"/>
  <c r="I319" i="143"/>
  <c r="C58" i="143" s="1"/>
  <c r="I328" i="143"/>
  <c r="C67" i="143" s="1"/>
  <c r="H335" i="143"/>
  <c r="N313" i="143"/>
  <c r="K286" i="143"/>
  <c r="M312" i="143"/>
  <c r="M285" i="143"/>
  <c r="N285" i="143"/>
  <c r="J506" i="143"/>
  <c r="K506" i="143" s="1"/>
  <c r="M506" i="143" s="1"/>
  <c r="O506" i="143"/>
  <c r="G507" i="143" s="1"/>
  <c r="O286" i="143"/>
  <c r="G287" i="143" s="1"/>
  <c r="J287" i="143" s="1"/>
  <c r="K287" i="143" s="1"/>
  <c r="N505" i="143"/>
  <c r="M256" i="143"/>
  <c r="K223" i="143"/>
  <c r="N475" i="143"/>
  <c r="O476" i="143"/>
  <c r="G477" i="143" s="1"/>
  <c r="J476" i="143"/>
  <c r="K476" i="143" s="1"/>
  <c r="M476" i="143" s="1"/>
  <c r="J392" i="143"/>
  <c r="K392" i="143" s="1"/>
  <c r="M392" i="143" s="1"/>
  <c r="O392" i="143"/>
  <c r="G393" i="143" s="1"/>
  <c r="N391" i="143"/>
  <c r="N223" i="143"/>
  <c r="O134" i="143"/>
  <c r="G135" i="143" s="1"/>
  <c r="J134" i="143"/>
  <c r="K134" i="143" s="1"/>
  <c r="M134" i="143" s="1"/>
  <c r="N257" i="143"/>
  <c r="N133" i="143"/>
  <c r="J224" i="143"/>
  <c r="K224" i="143" s="1"/>
  <c r="M224" i="143" s="1"/>
  <c r="O224" i="143"/>
  <c r="G225" i="143" s="1"/>
  <c r="J258" i="143"/>
  <c r="K258" i="143" s="1"/>
  <c r="M258" i="143" s="1"/>
  <c r="O258" i="143"/>
  <c r="G259" i="143" s="1"/>
  <c r="M391" i="143" l="1"/>
  <c r="I335" i="143"/>
  <c r="K585" i="143"/>
  <c r="I604" i="143"/>
  <c r="O585" i="143"/>
  <c r="G586" i="143" s="1"/>
  <c r="K556" i="143"/>
  <c r="O556" i="143"/>
  <c r="G557" i="143" s="1"/>
  <c r="I577" i="143"/>
  <c r="O314" i="143"/>
  <c r="G315" i="143" s="1"/>
  <c r="J315" i="143" s="1"/>
  <c r="K315" i="143" s="1"/>
  <c r="K314" i="143"/>
  <c r="N314" i="143"/>
  <c r="O287" i="143"/>
  <c r="G288" i="143" s="1"/>
  <c r="J288" i="143" s="1"/>
  <c r="K288" i="143" s="1"/>
  <c r="M286" i="143"/>
  <c r="N286" i="143"/>
  <c r="O507" i="143"/>
  <c r="G508" i="143" s="1"/>
  <c r="J507" i="143"/>
  <c r="N506" i="143"/>
  <c r="M223" i="143"/>
  <c r="N476" i="143"/>
  <c r="N392" i="143"/>
  <c r="O477" i="143"/>
  <c r="G478" i="143" s="1"/>
  <c r="J477" i="143"/>
  <c r="K477" i="143" s="1"/>
  <c r="M477" i="143" s="1"/>
  <c r="J393" i="143"/>
  <c r="K393" i="143" s="1"/>
  <c r="M393" i="143" s="1"/>
  <c r="O393" i="143"/>
  <c r="G394" i="143" s="1"/>
  <c r="O259" i="143"/>
  <c r="G260" i="143" s="1"/>
  <c r="J259" i="143"/>
  <c r="K259" i="143" s="1"/>
  <c r="O135" i="143"/>
  <c r="G136" i="143" s="1"/>
  <c r="J135" i="143"/>
  <c r="K135" i="143" s="1"/>
  <c r="M135" i="143" s="1"/>
  <c r="N224" i="143"/>
  <c r="N258" i="143"/>
  <c r="O225" i="143"/>
  <c r="G226" i="143" s="1"/>
  <c r="J225" i="143"/>
  <c r="K225" i="143" s="1"/>
  <c r="M225" i="143" s="1"/>
  <c r="N134" i="143"/>
  <c r="M315" i="143" l="1"/>
  <c r="O315" i="143"/>
  <c r="G316" i="143" s="1"/>
  <c r="J316" i="143" s="1"/>
  <c r="K316" i="143" s="1"/>
  <c r="O557" i="143"/>
  <c r="G558" i="143" s="1"/>
  <c r="J557" i="143"/>
  <c r="O586" i="143"/>
  <c r="G587" i="143" s="1"/>
  <c r="J586" i="143"/>
  <c r="N586" i="143" s="1"/>
  <c r="M585" i="143"/>
  <c r="M556" i="143"/>
  <c r="M314" i="143"/>
  <c r="N315" i="143"/>
  <c r="K507" i="143"/>
  <c r="N507" i="143"/>
  <c r="O288" i="143"/>
  <c r="G289" i="143" s="1"/>
  <c r="J289" i="143" s="1"/>
  <c r="K289" i="143" s="1"/>
  <c r="J508" i="143"/>
  <c r="O508" i="143"/>
  <c r="G509" i="143" s="1"/>
  <c r="M287" i="143"/>
  <c r="N287" i="143"/>
  <c r="M259" i="143"/>
  <c r="N477" i="143"/>
  <c r="O478" i="143"/>
  <c r="G479" i="143" s="1"/>
  <c r="J478" i="143"/>
  <c r="O394" i="143"/>
  <c r="G395" i="143" s="1"/>
  <c r="J394" i="143"/>
  <c r="K394" i="143" s="1"/>
  <c r="M394" i="143" s="1"/>
  <c r="N393" i="143"/>
  <c r="N225" i="143"/>
  <c r="N259" i="143"/>
  <c r="N135" i="143"/>
  <c r="J226" i="143"/>
  <c r="K226" i="143" s="1"/>
  <c r="M226" i="143" s="1"/>
  <c r="O226" i="143"/>
  <c r="G227" i="143" s="1"/>
  <c r="O260" i="143"/>
  <c r="G261" i="143" s="1"/>
  <c r="J260" i="143"/>
  <c r="K260" i="143" s="1"/>
  <c r="M260" i="143" s="1"/>
  <c r="J136" i="143"/>
  <c r="K136" i="143" s="1"/>
  <c r="M136" i="143" s="1"/>
  <c r="O136" i="143"/>
  <c r="G137" i="143" s="1"/>
  <c r="M507" i="143" l="1"/>
  <c r="K478" i="143"/>
  <c r="O316" i="143"/>
  <c r="G317" i="143" s="1"/>
  <c r="J317" i="143" s="1"/>
  <c r="K317" i="143" s="1"/>
  <c r="M317" i="143" s="1"/>
  <c r="M316" i="143"/>
  <c r="N557" i="143"/>
  <c r="K557" i="143"/>
  <c r="K586" i="143"/>
  <c r="J587" i="143"/>
  <c r="K587" i="143" s="1"/>
  <c r="M587" i="143" s="1"/>
  <c r="O587" i="143"/>
  <c r="G588" i="143" s="1"/>
  <c r="O558" i="143"/>
  <c r="G559" i="143" s="1"/>
  <c r="J558" i="143"/>
  <c r="K558" i="143" s="1"/>
  <c r="M558" i="143" s="1"/>
  <c r="N316" i="143"/>
  <c r="K508" i="143"/>
  <c r="M508" i="143" s="1"/>
  <c r="N508" i="143"/>
  <c r="M288" i="143"/>
  <c r="N288" i="143"/>
  <c r="O289" i="143"/>
  <c r="G290" i="143" s="1"/>
  <c r="J290" i="143" s="1"/>
  <c r="K290" i="143" s="1"/>
  <c r="M289" i="143"/>
  <c r="O509" i="143"/>
  <c r="G510" i="143" s="1"/>
  <c r="J509" i="143"/>
  <c r="N394" i="143"/>
  <c r="N478" i="143"/>
  <c r="O479" i="143"/>
  <c r="G480" i="143" s="1"/>
  <c r="J479" i="143"/>
  <c r="K479" i="143" s="1"/>
  <c r="M479" i="143" s="1"/>
  <c r="O395" i="143"/>
  <c r="G396" i="143" s="1"/>
  <c r="J395" i="143"/>
  <c r="K395" i="143" s="1"/>
  <c r="M395" i="143" s="1"/>
  <c r="N226" i="143"/>
  <c r="O137" i="143"/>
  <c r="J137" i="143"/>
  <c r="N260" i="143"/>
  <c r="J261" i="143"/>
  <c r="K261" i="143" s="1"/>
  <c r="O261" i="143"/>
  <c r="G262" i="143" s="1"/>
  <c r="J227" i="143"/>
  <c r="O227" i="143"/>
  <c r="G228" i="143" s="1"/>
  <c r="N136" i="143"/>
  <c r="M478" i="143" l="1"/>
  <c r="O317" i="143"/>
  <c r="G318" i="143" s="1"/>
  <c r="J318" i="143" s="1"/>
  <c r="K318" i="143" s="1"/>
  <c r="M318" i="143" s="1"/>
  <c r="N558" i="143"/>
  <c r="M557" i="143"/>
  <c r="N587" i="143"/>
  <c r="O588" i="143"/>
  <c r="G589" i="143" s="1"/>
  <c r="J588" i="143"/>
  <c r="K588" i="143" s="1"/>
  <c r="M588" i="143" s="1"/>
  <c r="J559" i="143"/>
  <c r="K559" i="143" s="1"/>
  <c r="M559" i="143" s="1"/>
  <c r="O559" i="143"/>
  <c r="G560" i="143" s="1"/>
  <c r="M586" i="143"/>
  <c r="N317" i="143"/>
  <c r="K509" i="143"/>
  <c r="M509" i="143" s="1"/>
  <c r="N509" i="143"/>
  <c r="O510" i="143"/>
  <c r="G511" i="143" s="1"/>
  <c r="J510" i="143"/>
  <c r="K510" i="143" s="1"/>
  <c r="M510" i="143" s="1"/>
  <c r="O290" i="143"/>
  <c r="G291" i="143" s="1"/>
  <c r="J291" i="143" s="1"/>
  <c r="K291" i="143" s="1"/>
  <c r="M290" i="143"/>
  <c r="N289" i="143"/>
  <c r="M261" i="143"/>
  <c r="K227" i="143"/>
  <c r="M227" i="143" s="1"/>
  <c r="G138" i="143"/>
  <c r="K137" i="143"/>
  <c r="N395" i="143"/>
  <c r="J480" i="143"/>
  <c r="K480" i="143" s="1"/>
  <c r="M480" i="143" s="1"/>
  <c r="O480" i="143"/>
  <c r="G481" i="143" s="1"/>
  <c r="N479" i="143"/>
  <c r="J396" i="143"/>
  <c r="O396" i="143"/>
  <c r="N137" i="143"/>
  <c r="O228" i="143"/>
  <c r="G229" i="143" s="1"/>
  <c r="J228" i="143"/>
  <c r="K228" i="143" s="1"/>
  <c r="M228" i="143" s="1"/>
  <c r="N261" i="143"/>
  <c r="N227" i="143"/>
  <c r="O262" i="143"/>
  <c r="G263" i="143" s="1"/>
  <c r="J262" i="143"/>
  <c r="K262" i="143" s="1"/>
  <c r="M262" i="143" s="1"/>
  <c r="O318" i="143" l="1"/>
  <c r="G319" i="143" s="1"/>
  <c r="J319" i="143" s="1"/>
  <c r="K319" i="143" s="1"/>
  <c r="M319" i="143" s="1"/>
  <c r="K396" i="143"/>
  <c r="N588" i="143"/>
  <c r="O560" i="143"/>
  <c r="G561" i="143" s="1"/>
  <c r="J560" i="143"/>
  <c r="K560" i="143" s="1"/>
  <c r="M560" i="143" s="1"/>
  <c r="J589" i="143"/>
  <c r="O589" i="143"/>
  <c r="G590" i="143" s="1"/>
  <c r="N559" i="143"/>
  <c r="O319" i="143"/>
  <c r="G320" i="143" s="1"/>
  <c r="J320" i="143" s="1"/>
  <c r="K320" i="143" s="1"/>
  <c r="N318" i="143"/>
  <c r="O511" i="143"/>
  <c r="G512" i="143" s="1"/>
  <c r="J511" i="143"/>
  <c r="N290" i="143"/>
  <c r="O291" i="143"/>
  <c r="G292" i="143" s="1"/>
  <c r="J292" i="143" s="1"/>
  <c r="K292" i="143" s="1"/>
  <c r="N510" i="143"/>
  <c r="O138" i="143"/>
  <c r="J138" i="143"/>
  <c r="M137" i="143"/>
  <c r="N480" i="143"/>
  <c r="O481" i="143"/>
  <c r="G482" i="143" s="1"/>
  <c r="J481" i="143"/>
  <c r="K481" i="143" s="1"/>
  <c r="M481" i="143" s="1"/>
  <c r="N396" i="143"/>
  <c r="N262" i="143"/>
  <c r="N228" i="143"/>
  <c r="O263" i="143"/>
  <c r="G264" i="143" s="1"/>
  <c r="J263" i="143"/>
  <c r="K263" i="143" s="1"/>
  <c r="O229" i="143"/>
  <c r="G230" i="143" s="1"/>
  <c r="J229" i="143"/>
  <c r="K229" i="143" s="1"/>
  <c r="M229" i="143" s="1"/>
  <c r="K589" i="143" l="1"/>
  <c r="M396" i="143"/>
  <c r="N589" i="143"/>
  <c r="N560" i="143"/>
  <c r="O590" i="143"/>
  <c r="G591" i="143" s="1"/>
  <c r="J590" i="143"/>
  <c r="K590" i="143" s="1"/>
  <c r="M590" i="143" s="1"/>
  <c r="J561" i="143"/>
  <c r="K561" i="143" s="1"/>
  <c r="O561" i="143"/>
  <c r="G562" i="143" s="1"/>
  <c r="N319" i="143"/>
  <c r="O320" i="143"/>
  <c r="G321" i="143" s="1"/>
  <c r="J321" i="143" s="1"/>
  <c r="K321" i="143" s="1"/>
  <c r="M320" i="143"/>
  <c r="M292" i="143"/>
  <c r="O292" i="143"/>
  <c r="G293" i="143" s="1"/>
  <c r="J293" i="143" s="1"/>
  <c r="K293" i="143" s="1"/>
  <c r="K511" i="143"/>
  <c r="M511" i="143" s="1"/>
  <c r="N511" i="143"/>
  <c r="J512" i="143"/>
  <c r="O512" i="143"/>
  <c r="G513" i="143" s="1"/>
  <c r="M291" i="143"/>
  <c r="N291" i="143"/>
  <c r="M263" i="143"/>
  <c r="K138" i="143"/>
  <c r="N138" i="143"/>
  <c r="G139" i="143"/>
  <c r="J482" i="143"/>
  <c r="K482" i="143" s="1"/>
  <c r="M482" i="143" s="1"/>
  <c r="O482" i="143"/>
  <c r="G483" i="143" s="1"/>
  <c r="N481" i="143"/>
  <c r="O264" i="143"/>
  <c r="G265" i="143" s="1"/>
  <c r="J264" i="143"/>
  <c r="K264" i="143" s="1"/>
  <c r="M264" i="143" s="1"/>
  <c r="O230" i="143"/>
  <c r="G231" i="143" s="1"/>
  <c r="J230" i="143"/>
  <c r="K230" i="143" s="1"/>
  <c r="M230" i="143" s="1"/>
  <c r="N229" i="143"/>
  <c r="N263" i="143"/>
  <c r="M589" i="143" l="1"/>
  <c r="M561" i="143"/>
  <c r="N590" i="143"/>
  <c r="N561" i="143"/>
  <c r="J562" i="143"/>
  <c r="K562" i="143" s="1"/>
  <c r="M562" i="143" s="1"/>
  <c r="O562" i="143"/>
  <c r="G563" i="143" s="1"/>
  <c r="J591" i="143"/>
  <c r="K591" i="143" s="1"/>
  <c r="M591" i="143" s="1"/>
  <c r="O591" i="143"/>
  <c r="G592" i="143" s="1"/>
  <c r="N292" i="143"/>
  <c r="N320" i="143"/>
  <c r="O321" i="143"/>
  <c r="G322" i="143" s="1"/>
  <c r="J322" i="143" s="1"/>
  <c r="K322" i="143" s="1"/>
  <c r="M321" i="143"/>
  <c r="J513" i="143"/>
  <c r="O513" i="143"/>
  <c r="G514" i="143" s="1"/>
  <c r="O293" i="143"/>
  <c r="G294" i="143" s="1"/>
  <c r="J294" i="143" s="1"/>
  <c r="K294" i="143" s="1"/>
  <c r="K512" i="143"/>
  <c r="M512" i="143" s="1"/>
  <c r="N512" i="143"/>
  <c r="O139" i="143"/>
  <c r="O141" i="143" s="1"/>
  <c r="J139" i="143"/>
  <c r="G141" i="143"/>
  <c r="M138" i="143"/>
  <c r="N264" i="143"/>
  <c r="N482" i="143"/>
  <c r="J483" i="143"/>
  <c r="K483" i="143" s="1"/>
  <c r="M483" i="143" s="1"/>
  <c r="O483" i="143"/>
  <c r="G484" i="143" s="1"/>
  <c r="N230" i="143"/>
  <c r="J265" i="143"/>
  <c r="O265" i="143"/>
  <c r="J231" i="143"/>
  <c r="K231" i="143" s="1"/>
  <c r="M231" i="143" s="1"/>
  <c r="O231" i="143"/>
  <c r="G232" i="143" s="1"/>
  <c r="O398" i="143" l="1"/>
  <c r="G398" i="143"/>
  <c r="N591" i="143"/>
  <c r="N562" i="143"/>
  <c r="J563" i="143"/>
  <c r="O563" i="143"/>
  <c r="G564" i="143" s="1"/>
  <c r="O592" i="143"/>
  <c r="G593" i="143" s="1"/>
  <c r="J592" i="143"/>
  <c r="K592" i="143" s="1"/>
  <c r="N321" i="143"/>
  <c r="O322" i="143"/>
  <c r="G323" i="143" s="1"/>
  <c r="J323" i="143" s="1"/>
  <c r="K323" i="143" s="1"/>
  <c r="M293" i="143"/>
  <c r="N293" i="143"/>
  <c r="O514" i="143"/>
  <c r="G515" i="143" s="1"/>
  <c r="J514" i="143"/>
  <c r="K513" i="143"/>
  <c r="M513" i="143" s="1"/>
  <c r="N513" i="143"/>
  <c r="O294" i="143"/>
  <c r="G295" i="143" s="1"/>
  <c r="J295" i="143" s="1"/>
  <c r="K295" i="143" s="1"/>
  <c r="G266" i="143"/>
  <c r="K265" i="143"/>
  <c r="K139" i="143"/>
  <c r="J141" i="143"/>
  <c r="N139" i="143"/>
  <c r="N141" i="143" s="1"/>
  <c r="J484" i="143"/>
  <c r="K484" i="143" s="1"/>
  <c r="M484" i="143" s="1"/>
  <c r="O484" i="143"/>
  <c r="G485" i="143" s="1"/>
  <c r="N483" i="143"/>
  <c r="N265" i="143"/>
  <c r="O232" i="143"/>
  <c r="G233" i="143" s="1"/>
  <c r="J232" i="143"/>
  <c r="K232" i="143" s="1"/>
  <c r="M232" i="143" s="1"/>
  <c r="N231" i="143"/>
  <c r="M592" i="143" l="1"/>
  <c r="K563" i="143"/>
  <c r="J398" i="143"/>
  <c r="N398" i="143"/>
  <c r="N592" i="143"/>
  <c r="N563" i="143"/>
  <c r="M322" i="143"/>
  <c r="O564" i="143"/>
  <c r="G565" i="143" s="1"/>
  <c r="J564" i="143"/>
  <c r="K564" i="143" s="1"/>
  <c r="M564" i="143" s="1"/>
  <c r="O593" i="143"/>
  <c r="G594" i="143" s="1"/>
  <c r="J593" i="143"/>
  <c r="K593" i="143" s="1"/>
  <c r="M593" i="143" s="1"/>
  <c r="O323" i="143"/>
  <c r="G324" i="143" s="1"/>
  <c r="J324" i="143" s="1"/>
  <c r="K324" i="143" s="1"/>
  <c r="M323" i="143"/>
  <c r="N322" i="143"/>
  <c r="K514" i="143"/>
  <c r="M514" i="143" s="1"/>
  <c r="N514" i="143"/>
  <c r="M294" i="143"/>
  <c r="N294" i="143"/>
  <c r="M295" i="143"/>
  <c r="O295" i="143"/>
  <c r="G296" i="143" s="1"/>
  <c r="O515" i="143"/>
  <c r="J515" i="143"/>
  <c r="J266" i="143"/>
  <c r="O266" i="143"/>
  <c r="M265" i="143"/>
  <c r="M139" i="143"/>
  <c r="M141" i="143" s="1"/>
  <c r="K141" i="143"/>
  <c r="N484" i="143"/>
  <c r="J485" i="143"/>
  <c r="K485" i="143" s="1"/>
  <c r="M485" i="143" s="1"/>
  <c r="O485" i="143"/>
  <c r="G486" i="143" s="1"/>
  <c r="N232" i="143"/>
  <c r="O233" i="143"/>
  <c r="G234" i="143" s="1"/>
  <c r="J233" i="143"/>
  <c r="K233" i="143" s="1"/>
  <c r="M233" i="143" s="1"/>
  <c r="M563" i="143" l="1"/>
  <c r="G516" i="143"/>
  <c r="M398" i="143"/>
  <c r="K398" i="143"/>
  <c r="N564" i="143"/>
  <c r="N593" i="143"/>
  <c r="O594" i="143"/>
  <c r="G595" i="143" s="1"/>
  <c r="J594" i="143"/>
  <c r="K594" i="143" s="1"/>
  <c r="J565" i="143"/>
  <c r="O565" i="143"/>
  <c r="G566" i="143" s="1"/>
  <c r="J296" i="143"/>
  <c r="O324" i="143"/>
  <c r="G325" i="143" s="1"/>
  <c r="J325" i="143" s="1"/>
  <c r="K325" i="143" s="1"/>
  <c r="N323" i="143"/>
  <c r="K515" i="143"/>
  <c r="N515" i="143"/>
  <c r="O296" i="143"/>
  <c r="N295" i="143"/>
  <c r="G267" i="143"/>
  <c r="K266" i="143"/>
  <c r="N266" i="143"/>
  <c r="N485" i="143"/>
  <c r="J486" i="143"/>
  <c r="K486" i="143" s="1"/>
  <c r="M486" i="143" s="1"/>
  <c r="O486" i="143"/>
  <c r="N233" i="143"/>
  <c r="O234" i="143"/>
  <c r="J234" i="143"/>
  <c r="M594" i="143" l="1"/>
  <c r="K565" i="143"/>
  <c r="O516" i="143"/>
  <c r="J516" i="143"/>
  <c r="N516" i="143" s="1"/>
  <c r="M515" i="143"/>
  <c r="G487" i="143"/>
  <c r="G489" i="143" s="1"/>
  <c r="N565" i="143"/>
  <c r="N594" i="143"/>
  <c r="M324" i="143"/>
  <c r="J566" i="143"/>
  <c r="K566" i="143" s="1"/>
  <c r="M566" i="143" s="1"/>
  <c r="O566" i="143"/>
  <c r="G567" i="143" s="1"/>
  <c r="J595" i="143"/>
  <c r="K595" i="143" s="1"/>
  <c r="M595" i="143" s="1"/>
  <c r="O595" i="143"/>
  <c r="G596" i="143" s="1"/>
  <c r="G297" i="143"/>
  <c r="N324" i="143"/>
  <c r="K296" i="143"/>
  <c r="M325" i="143"/>
  <c r="O325" i="143"/>
  <c r="G326" i="143" s="1"/>
  <c r="J326" i="143" s="1"/>
  <c r="K326" i="143" s="1"/>
  <c r="N296" i="143"/>
  <c r="M266" i="143"/>
  <c r="J267" i="143"/>
  <c r="N267" i="143" s="1"/>
  <c r="O267" i="143"/>
  <c r="G235" i="143"/>
  <c r="K234" i="143"/>
  <c r="N486" i="143"/>
  <c r="N234" i="143"/>
  <c r="M565" i="143" l="1"/>
  <c r="K516" i="143"/>
  <c r="G517" i="143"/>
  <c r="O487" i="143"/>
  <c r="O489" i="143" s="1"/>
  <c r="J487" i="143"/>
  <c r="N595" i="143"/>
  <c r="N566" i="143"/>
  <c r="O567" i="143"/>
  <c r="G568" i="143" s="1"/>
  <c r="J567" i="143"/>
  <c r="K567" i="143" s="1"/>
  <c r="M567" i="143" s="1"/>
  <c r="N325" i="143"/>
  <c r="J596" i="143"/>
  <c r="K596" i="143" s="1"/>
  <c r="O596" i="143"/>
  <c r="G597" i="143" s="1"/>
  <c r="M296" i="143"/>
  <c r="O297" i="143"/>
  <c r="J297" i="143"/>
  <c r="O326" i="143"/>
  <c r="G327" i="143" s="1"/>
  <c r="J327" i="143" s="1"/>
  <c r="K327" i="143" s="1"/>
  <c r="M326" i="143"/>
  <c r="G268" i="143"/>
  <c r="K267" i="143"/>
  <c r="O235" i="143"/>
  <c r="J235" i="143"/>
  <c r="M234" i="143"/>
  <c r="M596" i="143" l="1"/>
  <c r="M516" i="143"/>
  <c r="O517" i="143"/>
  <c r="O519" i="143" s="1"/>
  <c r="J517" i="143"/>
  <c r="N517" i="143" s="1"/>
  <c r="N519" i="143" s="1"/>
  <c r="G519" i="143"/>
  <c r="K487" i="143"/>
  <c r="J489" i="143"/>
  <c r="N487" i="143"/>
  <c r="N489" i="143" s="1"/>
  <c r="N596" i="143"/>
  <c r="N567" i="143"/>
  <c r="J597" i="143"/>
  <c r="K597" i="143" s="1"/>
  <c r="M597" i="143" s="1"/>
  <c r="O597" i="143"/>
  <c r="G598" i="143" s="1"/>
  <c r="O568" i="143"/>
  <c r="G569" i="143" s="1"/>
  <c r="J568" i="143"/>
  <c r="K568" i="143" s="1"/>
  <c r="M568" i="143" s="1"/>
  <c r="G298" i="143"/>
  <c r="K297" i="143"/>
  <c r="N297" i="143"/>
  <c r="M327" i="143"/>
  <c r="O327" i="143"/>
  <c r="N326" i="143"/>
  <c r="O268" i="143"/>
  <c r="J268" i="143"/>
  <c r="M267" i="143"/>
  <c r="K235" i="143"/>
  <c r="N235" i="143"/>
  <c r="G236" i="143"/>
  <c r="K517" i="143" l="1"/>
  <c r="J519" i="143"/>
  <c r="M487" i="143"/>
  <c r="M489" i="143" s="1"/>
  <c r="K489" i="143"/>
  <c r="N597" i="143"/>
  <c r="N568" i="143"/>
  <c r="G328" i="143"/>
  <c r="J598" i="143"/>
  <c r="K598" i="143" s="1"/>
  <c r="O598" i="143"/>
  <c r="G599" i="143" s="1"/>
  <c r="O569" i="143"/>
  <c r="G570" i="143" s="1"/>
  <c r="J569" i="143"/>
  <c r="K569" i="143" s="1"/>
  <c r="M569" i="143" s="1"/>
  <c r="M297" i="143"/>
  <c r="J298" i="143"/>
  <c r="O298" i="143"/>
  <c r="N327" i="143"/>
  <c r="K268" i="143"/>
  <c r="N268" i="143"/>
  <c r="G269" i="143"/>
  <c r="O236" i="143"/>
  <c r="J236" i="143"/>
  <c r="M235" i="143"/>
  <c r="M598" i="143" l="1"/>
  <c r="M517" i="143"/>
  <c r="M519" i="143" s="1"/>
  <c r="K519" i="143"/>
  <c r="N569" i="143"/>
  <c r="N598" i="143"/>
  <c r="O328" i="143"/>
  <c r="J328" i="143"/>
  <c r="J599" i="143"/>
  <c r="K599" i="143" s="1"/>
  <c r="M599" i="143" s="1"/>
  <c r="O599" i="143"/>
  <c r="G600" i="143" s="1"/>
  <c r="J570" i="143"/>
  <c r="K570" i="143" s="1"/>
  <c r="M570" i="143" s="1"/>
  <c r="O570" i="143"/>
  <c r="G571" i="143" s="1"/>
  <c r="G299" i="143"/>
  <c r="K298" i="143"/>
  <c r="N298" i="143"/>
  <c r="O269" i="143"/>
  <c r="O271" i="143" s="1"/>
  <c r="J269" i="143"/>
  <c r="N269" i="143" s="1"/>
  <c r="N271" i="143" s="1"/>
  <c r="G271" i="143"/>
  <c r="M268" i="143"/>
  <c r="G237" i="143"/>
  <c r="K236" i="143"/>
  <c r="N236" i="143"/>
  <c r="N599" i="143" l="1"/>
  <c r="N570" i="143"/>
  <c r="K328" i="143"/>
  <c r="N328" i="143"/>
  <c r="G329" i="143"/>
  <c r="J600" i="143"/>
  <c r="K600" i="143" s="1"/>
  <c r="M600" i="143" s="1"/>
  <c r="O600" i="143"/>
  <c r="G601" i="143" s="1"/>
  <c r="J571" i="143"/>
  <c r="K571" i="143" s="1"/>
  <c r="M571" i="143" s="1"/>
  <c r="O571" i="143"/>
  <c r="G572" i="143" s="1"/>
  <c r="M298" i="143"/>
  <c r="O299" i="143"/>
  <c r="J299" i="143"/>
  <c r="K269" i="143"/>
  <c r="J271" i="143"/>
  <c r="M236" i="143"/>
  <c r="J237" i="143"/>
  <c r="O237" i="143"/>
  <c r="O239" i="143" s="1"/>
  <c r="G239" i="143"/>
  <c r="N600" i="143" l="1"/>
  <c r="J329" i="143"/>
  <c r="N329" i="143" s="1"/>
  <c r="O329" i="143"/>
  <c r="M328" i="143"/>
  <c r="N571" i="143"/>
  <c r="J601" i="143"/>
  <c r="K601" i="143" s="1"/>
  <c r="M601" i="143" s="1"/>
  <c r="O601" i="143"/>
  <c r="J572" i="143"/>
  <c r="O572" i="143"/>
  <c r="G573" i="143" s="1"/>
  <c r="G300" i="143"/>
  <c r="K299" i="143"/>
  <c r="N299" i="143"/>
  <c r="M269" i="143"/>
  <c r="M271" i="143" s="1"/>
  <c r="K271" i="143"/>
  <c r="K237" i="143"/>
  <c r="J239" i="143"/>
  <c r="N237" i="143"/>
  <c r="N239" i="143" s="1"/>
  <c r="G602" i="143" l="1"/>
  <c r="G604" i="143" s="1"/>
  <c r="J573" i="143"/>
  <c r="K573" i="143" s="1"/>
  <c r="M573" i="143" s="1"/>
  <c r="O573" i="143"/>
  <c r="G574" i="143" s="1"/>
  <c r="K572" i="143"/>
  <c r="N572" i="143"/>
  <c r="G330" i="143"/>
  <c r="K329" i="143"/>
  <c r="N601" i="143"/>
  <c r="M299" i="143"/>
  <c r="O300" i="143"/>
  <c r="J300" i="143"/>
  <c r="N300" i="143" s="1"/>
  <c r="M237" i="143"/>
  <c r="M239" i="143" s="1"/>
  <c r="K239" i="143"/>
  <c r="O602" i="143" l="1"/>
  <c r="O604" i="143" s="1"/>
  <c r="J602" i="143"/>
  <c r="J574" i="143"/>
  <c r="K574" i="143" s="1"/>
  <c r="M574" i="143" s="1"/>
  <c r="O574" i="143"/>
  <c r="G575" i="143" s="1"/>
  <c r="N573" i="143"/>
  <c r="M572" i="143"/>
  <c r="M329" i="143"/>
  <c r="O330" i="143"/>
  <c r="J330" i="143"/>
  <c r="N330" i="143" s="1"/>
  <c r="G301" i="143"/>
  <c r="K300" i="143"/>
  <c r="K602" i="143" l="1"/>
  <c r="J604" i="143"/>
  <c r="N602" i="143"/>
  <c r="N604" i="143" s="1"/>
  <c r="J575" i="143"/>
  <c r="K575" i="143" s="1"/>
  <c r="M575" i="143" s="1"/>
  <c r="O575" i="143"/>
  <c r="N574" i="143"/>
  <c r="G331" i="143"/>
  <c r="K330" i="143"/>
  <c r="M300" i="143"/>
  <c r="O301" i="143"/>
  <c r="O303" i="143" s="1"/>
  <c r="J301" i="143"/>
  <c r="N301" i="143" s="1"/>
  <c r="N303" i="143" s="1"/>
  <c r="G303" i="143"/>
  <c r="M602" i="143" l="1"/>
  <c r="M604" i="143" s="1"/>
  <c r="K604" i="143"/>
  <c r="N575" i="143"/>
  <c r="N577" i="143" s="1"/>
  <c r="O577" i="143"/>
  <c r="G577" i="143"/>
  <c r="M330" i="143"/>
  <c r="O331" i="143"/>
  <c r="J331" i="143"/>
  <c r="N331" i="143" s="1"/>
  <c r="K301" i="143"/>
  <c r="J303" i="143"/>
  <c r="J577" i="143" l="1"/>
  <c r="G332" i="143"/>
  <c r="K331" i="143"/>
  <c r="M301" i="143"/>
  <c r="M303" i="143" s="1"/>
  <c r="K303" i="143"/>
  <c r="M577" i="143" l="1"/>
  <c r="K577" i="143"/>
  <c r="M331" i="143"/>
  <c r="O332" i="143"/>
  <c r="J332" i="143"/>
  <c r="N332" i="143" s="1"/>
  <c r="G333" i="143" l="1"/>
  <c r="K332" i="143"/>
  <c r="M332" i="143" l="1"/>
  <c r="O333" i="143"/>
  <c r="O335" i="143" s="1"/>
  <c r="J333" i="143"/>
  <c r="N333" i="143" s="1"/>
  <c r="N335" i="143" s="1"/>
  <c r="G335" i="143"/>
  <c r="K333" i="143" l="1"/>
  <c r="J335" i="143"/>
  <c r="M333" i="143" l="1"/>
  <c r="M335" i="143" s="1"/>
  <c r="K335" i="143"/>
  <c r="M41" i="177" l="1"/>
  <c r="K40" i="177"/>
  <c r="M40" i="177" s="1"/>
  <c r="K39" i="177"/>
  <c r="M39" i="177" s="1"/>
  <c r="K38" i="177"/>
  <c r="M38" i="177" s="1"/>
  <c r="D38" i="177"/>
  <c r="C39" i="177" s="1"/>
  <c r="K13" i="177"/>
  <c r="M13" i="177" s="1"/>
  <c r="K12" i="177"/>
  <c r="M12" i="177" s="1"/>
  <c r="K11" i="177"/>
  <c r="M11" i="177" s="1"/>
  <c r="K10" i="177"/>
  <c r="M10" i="177" s="1"/>
  <c r="C10" i="177"/>
  <c r="F5" i="177"/>
  <c r="F4" i="177"/>
  <c r="E3" i="177"/>
  <c r="E6" i="177" s="1"/>
  <c r="D3" i="177"/>
  <c r="D6" i="177" s="1"/>
  <c r="C3" i="177"/>
  <c r="F2" i="177"/>
  <c r="D10" i="177" l="1"/>
  <c r="D66" i="177" s="1"/>
  <c r="C66" i="177"/>
  <c r="L17" i="177"/>
  <c r="L73" i="177" s="1"/>
  <c r="L33" i="177"/>
  <c r="L29" i="177"/>
  <c r="L25" i="177"/>
  <c r="L28" i="177"/>
  <c r="L27" i="177"/>
  <c r="L23" i="177"/>
  <c r="L30" i="177"/>
  <c r="L26" i="177"/>
  <c r="L32" i="177"/>
  <c r="L24" i="177"/>
  <c r="L31" i="177"/>
  <c r="L16" i="177"/>
  <c r="L72" i="177" s="1"/>
  <c r="C6" i="177"/>
  <c r="G23" i="168" s="1"/>
  <c r="L14" i="177"/>
  <c r="L70" i="177" s="1"/>
  <c r="G10" i="177"/>
  <c r="G66" i="177" s="1"/>
  <c r="L21" i="177"/>
  <c r="L77" i="177" s="1"/>
  <c r="D39" i="177"/>
  <c r="F38" i="177"/>
  <c r="L19" i="177"/>
  <c r="L75" i="177" s="1"/>
  <c r="D11" i="177"/>
  <c r="D67" i="177" s="1"/>
  <c r="F10" i="177"/>
  <c r="F66" i="177" s="1"/>
  <c r="C11" i="177"/>
  <c r="C67" i="177" s="1"/>
  <c r="E10" i="177"/>
  <c r="E66" i="177" s="1"/>
  <c r="F3" i="177"/>
  <c r="F6" i="177" s="1"/>
  <c r="L22" i="177"/>
  <c r="L78" i="177" s="1"/>
  <c r="L18" i="177"/>
  <c r="L74" i="177" s="1"/>
  <c r="L15" i="177"/>
  <c r="L71" i="177" s="1"/>
  <c r="L20" i="177"/>
  <c r="L76" i="177" s="1"/>
  <c r="F39" i="177"/>
  <c r="E38" i="177"/>
  <c r="O66" i="177" l="1"/>
  <c r="N66" i="177"/>
  <c r="D40" i="177"/>
  <c r="D41" i="177" s="1"/>
  <c r="F41" i="177" s="1"/>
  <c r="C40" i="177"/>
  <c r="H10" i="177"/>
  <c r="O10" i="177" s="1"/>
  <c r="E39" i="177"/>
  <c r="L35" i="177"/>
  <c r="F11" i="177"/>
  <c r="F67" i="177" s="1"/>
  <c r="D12" i="177"/>
  <c r="D68" i="177" s="1"/>
  <c r="E11" i="177"/>
  <c r="E67" i="177" s="1"/>
  <c r="C12" i="177"/>
  <c r="C68" i="177" s="1"/>
  <c r="C42" i="177" l="1"/>
  <c r="B42" i="177" s="1"/>
  <c r="F40" i="177"/>
  <c r="C41" i="177"/>
  <c r="E41" i="177" s="1"/>
  <c r="E40" i="177"/>
  <c r="D42" i="177"/>
  <c r="F42" i="177" s="1"/>
  <c r="N10" i="177"/>
  <c r="H38" i="177"/>
  <c r="L51" i="177"/>
  <c r="L79" i="177" s="1"/>
  <c r="L52" i="177"/>
  <c r="L80" i="177" s="1"/>
  <c r="L56" i="177"/>
  <c r="L84" i="177" s="1"/>
  <c r="L60" i="177"/>
  <c r="L88" i="177" s="1"/>
  <c r="L53" i="177"/>
  <c r="L81" i="177" s="1"/>
  <c r="L57" i="177"/>
  <c r="L85" i="177" s="1"/>
  <c r="L61" i="177"/>
  <c r="L89" i="177" s="1"/>
  <c r="L54" i="177"/>
  <c r="L82" i="177" s="1"/>
  <c r="L58" i="177"/>
  <c r="L86" i="177" s="1"/>
  <c r="L55" i="177"/>
  <c r="L83" i="177" s="1"/>
  <c r="L59" i="177"/>
  <c r="L87" i="177" s="1"/>
  <c r="G11" i="177"/>
  <c r="D13" i="177"/>
  <c r="D69" i="177" s="1"/>
  <c r="F12" i="177"/>
  <c r="F68" i="177" s="1"/>
  <c r="C13" i="177"/>
  <c r="C69" i="177" s="1"/>
  <c r="E12" i="177"/>
  <c r="E68" i="177" s="1"/>
  <c r="E42" i="177" l="1"/>
  <c r="C43" i="177"/>
  <c r="B43" i="177" s="1"/>
  <c r="D43" i="177"/>
  <c r="E43" i="177" s="1"/>
  <c r="N38" i="177"/>
  <c r="O38" i="177"/>
  <c r="G39" i="177" s="1"/>
  <c r="G67" i="177" s="1"/>
  <c r="L91" i="177"/>
  <c r="L63" i="177"/>
  <c r="D14" i="177"/>
  <c r="D70" i="177" s="1"/>
  <c r="C14" i="177"/>
  <c r="F13" i="177"/>
  <c r="F69" i="177" s="1"/>
  <c r="E13" i="177"/>
  <c r="E69" i="177" s="1"/>
  <c r="H11" i="177"/>
  <c r="N11" i="177" s="1"/>
  <c r="H39" i="177"/>
  <c r="O67" i="177" l="1"/>
  <c r="N67" i="177"/>
  <c r="D44" i="177"/>
  <c r="C45" i="177" s="1"/>
  <c r="B45" i="177" s="1"/>
  <c r="F43" i="177"/>
  <c r="C44" i="177"/>
  <c r="B44" i="177" s="1"/>
  <c r="B14" i="177"/>
  <c r="C70" i="177"/>
  <c r="B70" i="177" s="1"/>
  <c r="F44" i="177"/>
  <c r="O39" i="177"/>
  <c r="N39" i="177"/>
  <c r="O11" i="177"/>
  <c r="D15" i="177"/>
  <c r="D71" i="177" s="1"/>
  <c r="E14" i="177"/>
  <c r="E70" i="177" s="1"/>
  <c r="C15" i="177"/>
  <c r="F14" i="177"/>
  <c r="F70" i="177" s="1"/>
  <c r="D45" i="177" l="1"/>
  <c r="C46" i="177" s="1"/>
  <c r="B46" i="177" s="1"/>
  <c r="E44" i="177"/>
  <c r="B15" i="177"/>
  <c r="C71" i="177"/>
  <c r="B71" i="177" s="1"/>
  <c r="C16" i="177"/>
  <c r="F15" i="177"/>
  <c r="F71" i="177" s="1"/>
  <c r="E15" i="177"/>
  <c r="E71" i="177" s="1"/>
  <c r="D16" i="177"/>
  <c r="D72" i="177" s="1"/>
  <c r="G40" i="177"/>
  <c r="E45" i="177"/>
  <c r="D46" i="177"/>
  <c r="G12" i="177"/>
  <c r="G68" i="177" s="1"/>
  <c r="O68" i="177" l="1"/>
  <c r="N68" i="177"/>
  <c r="F45" i="177"/>
  <c r="B16" i="177"/>
  <c r="C72" i="177"/>
  <c r="B72" i="177" s="1"/>
  <c r="H40" i="177"/>
  <c r="H12" i="177"/>
  <c r="C47" i="177"/>
  <c r="B47" i="177" s="1"/>
  <c r="E46" i="177"/>
  <c r="D47" i="177"/>
  <c r="F46" i="177"/>
  <c r="D17" i="177"/>
  <c r="D73" i="177" s="1"/>
  <c r="C17" i="177"/>
  <c r="F16" i="177"/>
  <c r="F72" i="177" s="1"/>
  <c r="E16" i="177"/>
  <c r="E72" i="177" s="1"/>
  <c r="B17" i="177" l="1"/>
  <c r="C73" i="177"/>
  <c r="B73" i="177" s="1"/>
  <c r="N12" i="177"/>
  <c r="O40" i="177"/>
  <c r="G41" i="177" s="1"/>
  <c r="C48" i="177"/>
  <c r="B48" i="177" s="1"/>
  <c r="E47" i="177"/>
  <c r="F47" i="177"/>
  <c r="D48" i="177"/>
  <c r="C18" i="177"/>
  <c r="D18" i="177"/>
  <c r="D74" i="177" s="1"/>
  <c r="F17" i="177"/>
  <c r="F73" i="177" s="1"/>
  <c r="E17" i="177"/>
  <c r="E73" i="177" s="1"/>
  <c r="O12" i="177"/>
  <c r="N40" i="177"/>
  <c r="B18" i="177" l="1"/>
  <c r="C74" i="177"/>
  <c r="B74" i="177" s="1"/>
  <c r="H41" i="177"/>
  <c r="D19" i="177"/>
  <c r="D75" i="177" s="1"/>
  <c r="F18" i="177"/>
  <c r="F74" i="177" s="1"/>
  <c r="C19" i="177"/>
  <c r="E18" i="177"/>
  <c r="E74" i="177" s="1"/>
  <c r="C49" i="177"/>
  <c r="B49" i="177" s="1"/>
  <c r="E48" i="177"/>
  <c r="D49" i="177"/>
  <c r="F48" i="177"/>
  <c r="G13" i="177"/>
  <c r="G69" i="177" s="1"/>
  <c r="O69" i="177" l="1"/>
  <c r="N69" i="177"/>
  <c r="B19" i="177"/>
  <c r="C75" i="177"/>
  <c r="B75" i="177" s="1"/>
  <c r="N41" i="177"/>
  <c r="C50" i="177"/>
  <c r="B50" i="177" s="1"/>
  <c r="E49" i="177"/>
  <c r="F49" i="177"/>
  <c r="D50" i="177"/>
  <c r="H13" i="177"/>
  <c r="N13" i="177" s="1"/>
  <c r="F19" i="177"/>
  <c r="F75" i="177" s="1"/>
  <c r="D20" i="177"/>
  <c r="D76" i="177" s="1"/>
  <c r="C20" i="177"/>
  <c r="E19" i="177"/>
  <c r="E75" i="177" s="1"/>
  <c r="O41" i="177"/>
  <c r="B20" i="177" l="1"/>
  <c r="C76" i="177"/>
  <c r="B76" i="177" s="1"/>
  <c r="C51" i="177"/>
  <c r="B51" i="177" s="1"/>
  <c r="E50" i="177"/>
  <c r="D51" i="177"/>
  <c r="F50" i="177"/>
  <c r="D21" i="177"/>
  <c r="D77" i="177" s="1"/>
  <c r="E20" i="177"/>
  <c r="E76" i="177" s="1"/>
  <c r="C21" i="177"/>
  <c r="F20" i="177"/>
  <c r="F76" i="177" s="1"/>
  <c r="G42" i="177"/>
  <c r="O13" i="177"/>
  <c r="B21" i="177" l="1"/>
  <c r="C77" i="177"/>
  <c r="B77" i="177" s="1"/>
  <c r="C52" i="177"/>
  <c r="B52" i="177" s="1"/>
  <c r="E51" i="177"/>
  <c r="F51" i="177"/>
  <c r="D52" i="177"/>
  <c r="H42" i="177"/>
  <c r="I51" i="177" s="1"/>
  <c r="G14" i="177"/>
  <c r="G70" i="177" s="1"/>
  <c r="C22" i="177"/>
  <c r="E21" i="177"/>
  <c r="E77" i="177" s="1"/>
  <c r="D22" i="177"/>
  <c r="D78" i="177" s="1"/>
  <c r="F21" i="177"/>
  <c r="F77" i="177" s="1"/>
  <c r="B22" i="177" l="1"/>
  <c r="C78" i="177"/>
  <c r="B78" i="177" s="1"/>
  <c r="K42" i="177"/>
  <c r="M42" i="177" s="1"/>
  <c r="N42" i="177"/>
  <c r="O42" i="177"/>
  <c r="G43" i="177" s="1"/>
  <c r="J43" i="177" s="1"/>
  <c r="D23" i="177"/>
  <c r="D79" i="177" s="1"/>
  <c r="F22" i="177"/>
  <c r="F78" i="177" s="1"/>
  <c r="C23" i="177"/>
  <c r="E22" i="177"/>
  <c r="E78" i="177" s="1"/>
  <c r="C53" i="177"/>
  <c r="B53" i="177" s="1"/>
  <c r="E52" i="177"/>
  <c r="D53" i="177"/>
  <c r="F52" i="177"/>
  <c r="H14" i="177"/>
  <c r="I23" i="177" s="1"/>
  <c r="I79" i="177" s="1"/>
  <c r="B23" i="177" l="1"/>
  <c r="C79" i="177"/>
  <c r="B79" i="177" s="1"/>
  <c r="K43" i="177"/>
  <c r="I25" i="177"/>
  <c r="I32" i="177"/>
  <c r="I28" i="177"/>
  <c r="I21" i="177"/>
  <c r="I77" i="177" s="1"/>
  <c r="I29" i="177"/>
  <c r="I16" i="177"/>
  <c r="I72" i="177" s="1"/>
  <c r="I24" i="177"/>
  <c r="I19" i="177"/>
  <c r="I75" i="177" s="1"/>
  <c r="H35" i="177"/>
  <c r="I17" i="177"/>
  <c r="I73" i="177" s="1"/>
  <c r="I30" i="177"/>
  <c r="I26" i="177"/>
  <c r="I31" i="177"/>
  <c r="I14" i="177"/>
  <c r="I70" i="177" s="1"/>
  <c r="K70" i="177" s="1"/>
  <c r="M70" i="177" s="1"/>
  <c r="I15" i="177"/>
  <c r="I71" i="177" s="1"/>
  <c r="I18" i="177"/>
  <c r="I74" i="177" s="1"/>
  <c r="I27" i="177"/>
  <c r="I22" i="177"/>
  <c r="I78" i="177" s="1"/>
  <c r="I33" i="177"/>
  <c r="I20" i="177"/>
  <c r="I76" i="177" s="1"/>
  <c r="N14" i="177"/>
  <c r="C54" i="177"/>
  <c r="B54" i="177" s="1"/>
  <c r="E53" i="177"/>
  <c r="F53" i="177"/>
  <c r="D54" i="177"/>
  <c r="O14" i="177"/>
  <c r="N43" i="177"/>
  <c r="F23" i="177"/>
  <c r="F79" i="177" s="1"/>
  <c r="C24" i="177"/>
  <c r="E23" i="177"/>
  <c r="E79" i="177" s="1"/>
  <c r="D24" i="177"/>
  <c r="D80" i="177" s="1"/>
  <c r="B24" i="177" l="1"/>
  <c r="C80" i="177"/>
  <c r="B80" i="177" s="1"/>
  <c r="M43" i="177"/>
  <c r="O43" i="177"/>
  <c r="G44" i="177" s="1"/>
  <c r="I35" i="177"/>
  <c r="K14" i="177"/>
  <c r="D25" i="177"/>
  <c r="D81" i="177" s="1"/>
  <c r="E24" i="177"/>
  <c r="E80" i="177" s="1"/>
  <c r="C25" i="177"/>
  <c r="F24" i="177"/>
  <c r="F80" i="177" s="1"/>
  <c r="C55" i="177"/>
  <c r="B55" i="177" s="1"/>
  <c r="E54" i="177"/>
  <c r="D55" i="177"/>
  <c r="F54" i="177"/>
  <c r="G15" i="177"/>
  <c r="G71" i="177" s="1"/>
  <c r="B25" i="177" l="1"/>
  <c r="C81" i="177"/>
  <c r="B81" i="177" s="1"/>
  <c r="J44" i="177"/>
  <c r="K44" i="177" s="1"/>
  <c r="M44" i="177" s="1"/>
  <c r="O71" i="177"/>
  <c r="I57" i="177"/>
  <c r="I85" i="177" s="1"/>
  <c r="I55" i="177"/>
  <c r="I83" i="177" s="1"/>
  <c r="I52" i="177"/>
  <c r="I80" i="177" s="1"/>
  <c r="I59" i="177"/>
  <c r="I87" i="177" s="1"/>
  <c r="I60" i="177"/>
  <c r="I88" i="177" s="1"/>
  <c r="I54" i="177"/>
  <c r="I82" i="177" s="1"/>
  <c r="I53" i="177"/>
  <c r="I81" i="177" s="1"/>
  <c r="I61" i="177"/>
  <c r="I89" i="177" s="1"/>
  <c r="I56" i="177"/>
  <c r="I84" i="177" s="1"/>
  <c r="I58" i="177"/>
  <c r="I86" i="177" s="1"/>
  <c r="O44" i="177"/>
  <c r="G45" i="177" s="1"/>
  <c r="J45" i="177" s="1"/>
  <c r="O15" i="177"/>
  <c r="G16" i="177" s="1"/>
  <c r="G72" i="177" s="1"/>
  <c r="J15" i="177"/>
  <c r="J71" i="177" s="1"/>
  <c r="K71" i="177" s="1"/>
  <c r="M71" i="177" s="1"/>
  <c r="C56" i="177"/>
  <c r="B56" i="177" s="1"/>
  <c r="E55" i="177"/>
  <c r="F55" i="177"/>
  <c r="D56" i="177"/>
  <c r="C26" i="177"/>
  <c r="D26" i="177"/>
  <c r="D82" i="177" s="1"/>
  <c r="F25" i="177"/>
  <c r="F81" i="177" s="1"/>
  <c r="E25" i="177"/>
  <c r="E81" i="177" s="1"/>
  <c r="M14" i="177"/>
  <c r="B26" i="177" l="1"/>
  <c r="C82" i="177"/>
  <c r="B82" i="177" s="1"/>
  <c r="N44" i="177"/>
  <c r="O72" i="177"/>
  <c r="N71" i="177"/>
  <c r="H63" i="177"/>
  <c r="K45" i="177"/>
  <c r="I91" i="177"/>
  <c r="I63" i="177"/>
  <c r="O45" i="177"/>
  <c r="G46" i="177" s="1"/>
  <c r="J46" i="177" s="1"/>
  <c r="D27" i="177"/>
  <c r="D83" i="177" s="1"/>
  <c r="F26" i="177"/>
  <c r="F82" i="177" s="1"/>
  <c r="C27" i="177"/>
  <c r="E26" i="177"/>
  <c r="E82" i="177" s="1"/>
  <c r="O16" i="177"/>
  <c r="G17" i="177" s="1"/>
  <c r="G73" i="177" s="1"/>
  <c r="J16" i="177"/>
  <c r="C57" i="177"/>
  <c r="B57" i="177" s="1"/>
  <c r="E56" i="177"/>
  <c r="D57" i="177"/>
  <c r="F56" i="177"/>
  <c r="K15" i="177"/>
  <c r="N15" i="177"/>
  <c r="B27" i="177" l="1"/>
  <c r="C83" i="177"/>
  <c r="B83" i="177" s="1"/>
  <c r="K16" i="177"/>
  <c r="M16" i="177" s="1"/>
  <c r="J72" i="177"/>
  <c r="O73" i="177"/>
  <c r="M45" i="177"/>
  <c r="O46" i="177"/>
  <c r="G47" i="177" s="1"/>
  <c r="K46" i="177"/>
  <c r="N45" i="177"/>
  <c r="C58" i="177"/>
  <c r="B58" i="177" s="1"/>
  <c r="E57" i="177"/>
  <c r="F57" i="177"/>
  <c r="D58" i="177"/>
  <c r="M15" i="177"/>
  <c r="O17" i="177"/>
  <c r="G18" i="177" s="1"/>
  <c r="G74" i="177" s="1"/>
  <c r="J17" i="177"/>
  <c r="N16" i="177"/>
  <c r="F27" i="177"/>
  <c r="F83" i="177" s="1"/>
  <c r="D28" i="177"/>
  <c r="D84" i="177" s="1"/>
  <c r="C28" i="177"/>
  <c r="E27" i="177"/>
  <c r="E83" i="177" s="1"/>
  <c r="B28" i="177" l="1"/>
  <c r="C84" i="177"/>
  <c r="B84" i="177" s="1"/>
  <c r="O70" i="177"/>
  <c r="N70" i="177"/>
  <c r="K72" i="177"/>
  <c r="M72" i="177" s="1"/>
  <c r="N72" i="177"/>
  <c r="K17" i="177"/>
  <c r="M17" i="177" s="1"/>
  <c r="J73" i="177"/>
  <c r="O74" i="177"/>
  <c r="J47" i="177"/>
  <c r="K47" i="177" s="1"/>
  <c r="M47" i="177" s="1"/>
  <c r="O47" i="177"/>
  <c r="G48" i="177" s="1"/>
  <c r="N46" i="177"/>
  <c r="C59" i="177"/>
  <c r="B59" i="177" s="1"/>
  <c r="E58" i="177"/>
  <c r="D59" i="177"/>
  <c r="F58" i="177"/>
  <c r="O18" i="177"/>
  <c r="G19" i="177" s="1"/>
  <c r="G75" i="177" s="1"/>
  <c r="J18" i="177"/>
  <c r="D29" i="177"/>
  <c r="D85" i="177" s="1"/>
  <c r="E28" i="177"/>
  <c r="E84" i="177" s="1"/>
  <c r="C29" i="177"/>
  <c r="F28" i="177"/>
  <c r="F84" i="177" s="1"/>
  <c r="M46" i="177"/>
  <c r="N17" i="177"/>
  <c r="B29" i="177" l="1"/>
  <c r="C85" i="177"/>
  <c r="B85" i="177" s="1"/>
  <c r="N47" i="177"/>
  <c r="K73" i="177"/>
  <c r="M73" i="177" s="1"/>
  <c r="N73" i="177"/>
  <c r="K18" i="177"/>
  <c r="M18" i="177" s="1"/>
  <c r="J74" i="177"/>
  <c r="J48" i="177"/>
  <c r="K48" i="177" s="1"/>
  <c r="O75" i="177"/>
  <c r="O48" i="177"/>
  <c r="G49" i="177" s="1"/>
  <c r="N18" i="177"/>
  <c r="C60" i="177"/>
  <c r="B60" i="177" s="1"/>
  <c r="E59" i="177"/>
  <c r="F59" i="177"/>
  <c r="D60" i="177"/>
  <c r="O19" i="177"/>
  <c r="G20" i="177" s="1"/>
  <c r="G76" i="177" s="1"/>
  <c r="J19" i="177"/>
  <c r="C30" i="177"/>
  <c r="D30" i="177"/>
  <c r="D86" i="177" s="1"/>
  <c r="F29" i="177"/>
  <c r="F85" i="177" s="1"/>
  <c r="E29" i="177"/>
  <c r="E85" i="177" s="1"/>
  <c r="B30" i="177" l="1"/>
  <c r="C86" i="177"/>
  <c r="B86" i="177" s="1"/>
  <c r="K19" i="177"/>
  <c r="M19" i="177" s="1"/>
  <c r="J75" i="177"/>
  <c r="O76" i="177"/>
  <c r="N48" i="177"/>
  <c r="O49" i="177"/>
  <c r="G50" i="177" s="1"/>
  <c r="J50" i="177" s="1"/>
  <c r="K50" i="177" s="1"/>
  <c r="J49" i="177"/>
  <c r="K49" i="177" s="1"/>
  <c r="M49" i="177" s="1"/>
  <c r="K74" i="177"/>
  <c r="M74" i="177" s="1"/>
  <c r="N74" i="177"/>
  <c r="C61" i="177"/>
  <c r="B61" i="177" s="1"/>
  <c r="E60" i="177"/>
  <c r="D61" i="177"/>
  <c r="F60" i="177"/>
  <c r="C31" i="177"/>
  <c r="E30" i="177"/>
  <c r="E86" i="177" s="1"/>
  <c r="D31" i="177"/>
  <c r="D87" i="177" s="1"/>
  <c r="F30" i="177"/>
  <c r="F86" i="177" s="1"/>
  <c r="J20" i="177"/>
  <c r="O20" i="177"/>
  <c r="G21" i="177" s="1"/>
  <c r="G77" i="177" s="1"/>
  <c r="N19" i="177"/>
  <c r="M48" i="177"/>
  <c r="B31" i="177" l="1"/>
  <c r="C87" i="177"/>
  <c r="B87" i="177" s="1"/>
  <c r="O50" i="177"/>
  <c r="G51" i="177" s="1"/>
  <c r="J51" i="177" s="1"/>
  <c r="K51" i="177" s="1"/>
  <c r="M51" i="177" s="1"/>
  <c r="O77" i="177"/>
  <c r="K75" i="177"/>
  <c r="M75" i="177" s="1"/>
  <c r="N75" i="177"/>
  <c r="K20" i="177"/>
  <c r="M20" i="177" s="1"/>
  <c r="J76" i="177"/>
  <c r="N49" i="177"/>
  <c r="M50" i="177"/>
  <c r="N20" i="177"/>
  <c r="N50" i="177"/>
  <c r="O21" i="177"/>
  <c r="G22" i="177" s="1"/>
  <c r="G78" i="177" s="1"/>
  <c r="J21" i="177"/>
  <c r="F31" i="177"/>
  <c r="F87" i="177" s="1"/>
  <c r="D32" i="177"/>
  <c r="D88" i="177" s="1"/>
  <c r="C32" i="177"/>
  <c r="E31" i="177"/>
  <c r="E87" i="177" s="1"/>
  <c r="E61" i="177"/>
  <c r="F61" i="177"/>
  <c r="B32" i="177" l="1"/>
  <c r="C88" i="177"/>
  <c r="B88" i="177" s="1"/>
  <c r="O51" i="177"/>
  <c r="G52" i="177" s="1"/>
  <c r="J52" i="177" s="1"/>
  <c r="K52" i="177" s="1"/>
  <c r="M52" i="177" s="1"/>
  <c r="K21" i="177"/>
  <c r="M21" i="177" s="1"/>
  <c r="J77" i="177"/>
  <c r="O78" i="177"/>
  <c r="K76" i="177"/>
  <c r="M76" i="177" s="1"/>
  <c r="N76" i="177"/>
  <c r="N51" i="177"/>
  <c r="D33" i="177"/>
  <c r="D89" i="177" s="1"/>
  <c r="E32" i="177"/>
  <c r="E88" i="177" s="1"/>
  <c r="F32" i="177"/>
  <c r="F88" i="177" s="1"/>
  <c r="C33" i="177"/>
  <c r="O22" i="177"/>
  <c r="J22" i="177"/>
  <c r="N21" i="177"/>
  <c r="B33" i="177" l="1"/>
  <c r="C89" i="177"/>
  <c r="B89" i="177" s="1"/>
  <c r="O52" i="177"/>
  <c r="G53" i="177" s="1"/>
  <c r="J53" i="177" s="1"/>
  <c r="K53" i="177" s="1"/>
  <c r="M53" i="177" s="1"/>
  <c r="K77" i="177"/>
  <c r="M77" i="177" s="1"/>
  <c r="N77" i="177"/>
  <c r="K22" i="177"/>
  <c r="M22" i="177" s="1"/>
  <c r="J78" i="177"/>
  <c r="G23" i="177"/>
  <c r="G79" i="177" s="1"/>
  <c r="O79" i="177" s="1"/>
  <c r="N52" i="177"/>
  <c r="N22" i="177"/>
  <c r="F33" i="177"/>
  <c r="F89" i="177" s="1"/>
  <c r="E33" i="177"/>
  <c r="E89" i="177" s="1"/>
  <c r="O53" i="177" l="1"/>
  <c r="G54" i="177" s="1"/>
  <c r="J54" i="177" s="1"/>
  <c r="K54" i="177" s="1"/>
  <c r="M54" i="177" s="1"/>
  <c r="O23" i="177"/>
  <c r="G24" i="177" s="1"/>
  <c r="G80" i="177" s="1"/>
  <c r="J23" i="177"/>
  <c r="J79" i="177" s="1"/>
  <c r="K78" i="177"/>
  <c r="M78" i="177" s="1"/>
  <c r="N78" i="177"/>
  <c r="N53" i="177"/>
  <c r="O54" i="177" l="1"/>
  <c r="G55" i="177" s="1"/>
  <c r="O55" i="177" s="1"/>
  <c r="G56" i="177" s="1"/>
  <c r="N23" i="177"/>
  <c r="K23" i="177"/>
  <c r="M23" i="177" s="1"/>
  <c r="O80" i="177"/>
  <c r="N79" i="177"/>
  <c r="K79" i="177"/>
  <c r="O24" i="177"/>
  <c r="J24" i="177"/>
  <c r="J55" i="177"/>
  <c r="K55" i="177" s="1"/>
  <c r="M55" i="177" s="1"/>
  <c r="N54" i="177"/>
  <c r="M79" i="177" l="1"/>
  <c r="K24" i="177"/>
  <c r="J80" i="177"/>
  <c r="N24" i="177"/>
  <c r="G25" i="177"/>
  <c r="N55" i="177"/>
  <c r="J56" i="177"/>
  <c r="K56" i="177" s="1"/>
  <c r="M56" i="177" s="1"/>
  <c r="O56" i="177"/>
  <c r="G57" i="177" s="1"/>
  <c r="K80" i="177" l="1"/>
  <c r="N80" i="177"/>
  <c r="G81" i="177"/>
  <c r="J25" i="177"/>
  <c r="O25" i="177"/>
  <c r="M24" i="177"/>
  <c r="J57" i="177"/>
  <c r="K57" i="177" s="1"/>
  <c r="M57" i="177" s="1"/>
  <c r="O57" i="177"/>
  <c r="G58" i="177" s="1"/>
  <c r="N56" i="177"/>
  <c r="O81" i="177" l="1"/>
  <c r="M80" i="177"/>
  <c r="K25" i="177"/>
  <c r="J81" i="177"/>
  <c r="K81" i="177" s="1"/>
  <c r="N25" i="177"/>
  <c r="G26" i="177"/>
  <c r="N57" i="177"/>
  <c r="J58" i="177"/>
  <c r="K58" i="177" s="1"/>
  <c r="M58" i="177" s="1"/>
  <c r="O58" i="177"/>
  <c r="G59" i="177" s="1"/>
  <c r="M81" i="177" l="1"/>
  <c r="N81" i="177"/>
  <c r="G82" i="177"/>
  <c r="J26" i="177"/>
  <c r="N26" i="177" s="1"/>
  <c r="O26" i="177"/>
  <c r="M25" i="177"/>
  <c r="N58" i="177"/>
  <c r="J59" i="177"/>
  <c r="K59" i="177" s="1"/>
  <c r="M59" i="177" s="1"/>
  <c r="O59" i="177"/>
  <c r="G60" i="177" s="1"/>
  <c r="O82" i="177" l="1"/>
  <c r="K26" i="177"/>
  <c r="J82" i="177"/>
  <c r="K82" i="177" s="1"/>
  <c r="G27" i="177"/>
  <c r="N59" i="177"/>
  <c r="J60" i="177"/>
  <c r="K60" i="177" s="1"/>
  <c r="M60" i="177" s="1"/>
  <c r="O60" i="177"/>
  <c r="G61" i="177" s="1"/>
  <c r="N82" i="177" l="1"/>
  <c r="M82" i="177"/>
  <c r="G83" i="177"/>
  <c r="O27" i="177"/>
  <c r="J27" i="177"/>
  <c r="N27" i="177" s="1"/>
  <c r="M26" i="177"/>
  <c r="N60" i="177"/>
  <c r="J61" i="177"/>
  <c r="K61" i="177" s="1"/>
  <c r="M61" i="177" s="1"/>
  <c r="O61" i="177"/>
  <c r="O83" i="177" l="1"/>
  <c r="G28" i="177"/>
  <c r="K27" i="177"/>
  <c r="J83" i="177"/>
  <c r="K83" i="177" s="1"/>
  <c r="N61" i="177"/>
  <c r="M83" i="177" l="1"/>
  <c r="N83" i="177"/>
  <c r="M27" i="177"/>
  <c r="G84" i="177"/>
  <c r="O28" i="177"/>
  <c r="J28" i="177"/>
  <c r="N28" i="177" s="1"/>
  <c r="O84" i="177" l="1"/>
  <c r="G29" i="177"/>
  <c r="K28" i="177"/>
  <c r="J84" i="177"/>
  <c r="K84" i="177" s="1"/>
  <c r="M84" i="177" l="1"/>
  <c r="N84" i="177"/>
  <c r="M28" i="177"/>
  <c r="G85" i="177"/>
  <c r="O29" i="177"/>
  <c r="J29" i="177"/>
  <c r="N29" i="177" s="1"/>
  <c r="O63" i="177"/>
  <c r="G63" i="177"/>
  <c r="O85" i="177" l="1"/>
  <c r="G30" i="177"/>
  <c r="K29" i="177"/>
  <c r="J85" i="177"/>
  <c r="K85" i="177" s="1"/>
  <c r="J63" i="177"/>
  <c r="N63" i="177"/>
  <c r="M85" i="177" l="1"/>
  <c r="N85" i="177"/>
  <c r="G86" i="177"/>
  <c r="O30" i="177"/>
  <c r="J30" i="177"/>
  <c r="M29" i="177"/>
  <c r="M63" i="177"/>
  <c r="K63" i="177"/>
  <c r="O86" i="177" l="1"/>
  <c r="K30" i="177"/>
  <c r="J86" i="177"/>
  <c r="K86" i="177" s="1"/>
  <c r="G31" i="177"/>
  <c r="N30" i="177"/>
  <c r="M86" i="177" l="1"/>
  <c r="N86" i="177"/>
  <c r="M30" i="177"/>
  <c r="G87" i="177"/>
  <c r="J31" i="177"/>
  <c r="N31" i="177" s="1"/>
  <c r="O31" i="177"/>
  <c r="O87" i="177" l="1"/>
  <c r="G32" i="177"/>
  <c r="K31" i="177"/>
  <c r="J87" i="177"/>
  <c r="K87" i="177" s="1"/>
  <c r="M87" i="177" s="1"/>
  <c r="N87" i="177" l="1"/>
  <c r="G88" i="177"/>
  <c r="O32" i="177"/>
  <c r="J32" i="177"/>
  <c r="N32" i="177" s="1"/>
  <c r="M31" i="177"/>
  <c r="O88" i="177" l="1"/>
  <c r="G33" i="177"/>
  <c r="K32" i="177"/>
  <c r="J88" i="177"/>
  <c r="K88" i="177" s="1"/>
  <c r="M88" i="177" s="1"/>
  <c r="N88" i="177" l="1"/>
  <c r="M32" i="177"/>
  <c r="G89" i="177"/>
  <c r="J33" i="177"/>
  <c r="O33" i="177"/>
  <c r="G35" i="177"/>
  <c r="G91" i="177" l="1"/>
  <c r="O89" i="177"/>
  <c r="O91" i="177" s="1"/>
  <c r="N33" i="177"/>
  <c r="J89" i="177"/>
  <c r="N89" i="177" s="1"/>
  <c r="K33" i="177"/>
  <c r="J35" i="177"/>
  <c r="O35" i="177"/>
  <c r="J91" i="177" l="1"/>
  <c r="K89" i="177"/>
  <c r="M89" i="177" s="1"/>
  <c r="N91" i="177"/>
  <c r="N35" i="177"/>
  <c r="M33" i="177"/>
  <c r="K35" i="177"/>
  <c r="K91" i="177" l="1"/>
  <c r="M35" i="177"/>
  <c r="M91" i="177"/>
  <c r="L285" i="157" l="1"/>
  <c r="L259" i="157"/>
  <c r="L232" i="157"/>
  <c r="L204" i="157"/>
  <c r="L175" i="157"/>
  <c r="L145" i="157"/>
  <c r="L114" i="157"/>
  <c r="L82" i="157"/>
  <c r="L286" i="150"/>
  <c r="L260" i="150"/>
  <c r="L233" i="150"/>
  <c r="L205" i="150"/>
  <c r="L176" i="150"/>
  <c r="L146" i="150"/>
  <c r="L115" i="150"/>
  <c r="L83" i="150"/>
  <c r="F51" i="157" l="1"/>
  <c r="K231" i="150"/>
  <c r="F33" i="133"/>
  <c r="E33" i="133"/>
  <c r="D33" i="133"/>
  <c r="C33" i="133"/>
  <c r="K23" i="157" l="1"/>
  <c r="M23" i="157" s="1"/>
  <c r="G23" i="157"/>
  <c r="G23" i="150"/>
  <c r="L42" i="157" l="1"/>
  <c r="L41" i="157"/>
  <c r="L37" i="157"/>
  <c r="L33" i="157"/>
  <c r="L29" i="157"/>
  <c r="L40" i="157"/>
  <c r="L36" i="157"/>
  <c r="L32" i="157"/>
  <c r="L28" i="157"/>
  <c r="L39" i="157"/>
  <c r="L35" i="157"/>
  <c r="L31" i="157"/>
  <c r="L27" i="157"/>
  <c r="L38" i="157"/>
  <c r="L34" i="157"/>
  <c r="L30" i="157"/>
  <c r="L24" i="157"/>
  <c r="L26" i="157"/>
  <c r="L25" i="157"/>
  <c r="L42" i="150"/>
  <c r="L38" i="150"/>
  <c r="L34" i="150"/>
  <c r="L30" i="150"/>
  <c r="L41" i="150"/>
  <c r="L37" i="150"/>
  <c r="L33" i="150"/>
  <c r="L29" i="150"/>
  <c r="L40" i="150"/>
  <c r="L36" i="150"/>
  <c r="L32" i="150"/>
  <c r="L28" i="150"/>
  <c r="L39" i="150"/>
  <c r="L35" i="150"/>
  <c r="L31" i="150"/>
  <c r="L27" i="150"/>
  <c r="L26" i="150"/>
  <c r="L25" i="150"/>
  <c r="L24" i="150"/>
  <c r="D15" i="171" l="1"/>
  <c r="D18" i="171" s="1"/>
  <c r="G153" i="139" l="1"/>
  <c r="K183" i="139"/>
  <c r="M183" i="139" s="1"/>
  <c r="K182" i="139"/>
  <c r="M182" i="139" s="1"/>
  <c r="K181" i="139"/>
  <c r="M181" i="139" s="1"/>
  <c r="K180" i="139"/>
  <c r="G180" i="139"/>
  <c r="C180" i="139"/>
  <c r="D180" i="139" s="1"/>
  <c r="K156" i="139"/>
  <c r="M156" i="139" s="1"/>
  <c r="K155" i="139"/>
  <c r="M155" i="139" s="1"/>
  <c r="K154" i="139"/>
  <c r="M154" i="139" s="1"/>
  <c r="K153" i="139"/>
  <c r="M153" i="139" s="1"/>
  <c r="C153" i="139"/>
  <c r="D153" i="139" s="1"/>
  <c r="D154" i="139" s="1"/>
  <c r="K129" i="139"/>
  <c r="M129" i="139" s="1"/>
  <c r="K128" i="139"/>
  <c r="M128" i="139" s="1"/>
  <c r="K127" i="139"/>
  <c r="M127" i="139" s="1"/>
  <c r="K126" i="139"/>
  <c r="M126" i="139" s="1"/>
  <c r="K125" i="139"/>
  <c r="G125" i="139"/>
  <c r="C125" i="139"/>
  <c r="D125" i="139" s="1"/>
  <c r="L133" i="139" l="1"/>
  <c r="L132" i="139"/>
  <c r="L186" i="139"/>
  <c r="L187" i="139"/>
  <c r="L160" i="139"/>
  <c r="L159" i="139"/>
  <c r="M125" i="139"/>
  <c r="M180" i="139"/>
  <c r="L175" i="139"/>
  <c r="L148" i="139"/>
  <c r="L137" i="139"/>
  <c r="L164" i="139"/>
  <c r="L145" i="139"/>
  <c r="L168" i="139"/>
  <c r="L189" i="139"/>
  <c r="L193" i="139"/>
  <c r="L201" i="139"/>
  <c r="L141" i="139"/>
  <c r="L191" i="139"/>
  <c r="L199" i="139"/>
  <c r="L134" i="139"/>
  <c r="L142" i="139"/>
  <c r="L172" i="139"/>
  <c r="L188" i="139"/>
  <c r="L192" i="139"/>
  <c r="L196" i="139"/>
  <c r="L200" i="139"/>
  <c r="L197" i="139"/>
  <c r="L138" i="139"/>
  <c r="L146" i="139"/>
  <c r="L190" i="139"/>
  <c r="L194" i="139"/>
  <c r="L198" i="139"/>
  <c r="L202" i="139"/>
  <c r="L195" i="139"/>
  <c r="L161" i="139"/>
  <c r="L165" i="139"/>
  <c r="L169" i="139"/>
  <c r="L173" i="139"/>
  <c r="L135" i="139"/>
  <c r="L139" i="139"/>
  <c r="L143" i="139"/>
  <c r="L147" i="139"/>
  <c r="L162" i="139"/>
  <c r="L166" i="139"/>
  <c r="L170" i="139"/>
  <c r="L174" i="139"/>
  <c r="L136" i="139"/>
  <c r="L140" i="139"/>
  <c r="L144" i="139"/>
  <c r="L163" i="139"/>
  <c r="L167" i="139"/>
  <c r="L171" i="139"/>
  <c r="F153" i="139"/>
  <c r="C154" i="139"/>
  <c r="E153" i="139"/>
  <c r="C181" i="139"/>
  <c r="B181" i="139" s="1"/>
  <c r="E180" i="139"/>
  <c r="F180" i="139"/>
  <c r="D181" i="139"/>
  <c r="D155" i="139"/>
  <c r="F154" i="139"/>
  <c r="C155" i="139"/>
  <c r="B155" i="139" s="1"/>
  <c r="C126" i="139"/>
  <c r="B126" i="139" s="1"/>
  <c r="E125" i="139"/>
  <c r="D126" i="139"/>
  <c r="F125" i="139"/>
  <c r="L204" i="139" l="1"/>
  <c r="L150" i="139"/>
  <c r="L177" i="139"/>
  <c r="E154" i="139"/>
  <c r="B154" i="139"/>
  <c r="F60" i="168"/>
  <c r="H180" i="139"/>
  <c r="H153" i="139"/>
  <c r="H125" i="139"/>
  <c r="D182" i="139"/>
  <c r="F181" i="139"/>
  <c r="C182" i="139"/>
  <c r="B182" i="139" s="1"/>
  <c r="E181" i="139"/>
  <c r="E155" i="139"/>
  <c r="D156" i="139"/>
  <c r="C156" i="139"/>
  <c r="B156" i="139" s="1"/>
  <c r="F155" i="139"/>
  <c r="D127" i="139"/>
  <c r="F126" i="139"/>
  <c r="C127" i="139"/>
  <c r="B127" i="139" s="1"/>
  <c r="E126" i="139"/>
  <c r="F30" i="168"/>
  <c r="F55" i="168"/>
  <c r="F50" i="168"/>
  <c r="N125" i="139" l="1"/>
  <c r="N153" i="139"/>
  <c r="N180" i="139"/>
  <c r="O125" i="139"/>
  <c r="O153" i="139"/>
  <c r="G154" i="139" s="1"/>
  <c r="O180" i="139"/>
  <c r="C183" i="139"/>
  <c r="B183" i="139" s="1"/>
  <c r="E182" i="139"/>
  <c r="D183" i="139"/>
  <c r="F182" i="139"/>
  <c r="D157" i="139"/>
  <c r="F156" i="139"/>
  <c r="E156" i="139"/>
  <c r="C157" i="139"/>
  <c r="B157" i="139" s="1"/>
  <c r="C128" i="139"/>
  <c r="B128" i="139" s="1"/>
  <c r="E127" i="139"/>
  <c r="D128" i="139"/>
  <c r="F127" i="139"/>
  <c r="L15" i="174"/>
  <c r="C20" i="174" s="1"/>
  <c r="D20" i="174" s="1"/>
  <c r="F20" i="174" s="1"/>
  <c r="F15" i="174"/>
  <c r="F14" i="174"/>
  <c r="E13" i="174"/>
  <c r="E16" i="174" s="1"/>
  <c r="D13" i="174"/>
  <c r="D16" i="174" s="1"/>
  <c r="C13" i="174"/>
  <c r="C16" i="174" s="1"/>
  <c r="F12" i="174"/>
  <c r="F11" i="174"/>
  <c r="F10" i="174"/>
  <c r="F9" i="174"/>
  <c r="F8" i="174"/>
  <c r="F7" i="174"/>
  <c r="F6" i="174"/>
  <c r="F5" i="174"/>
  <c r="F4" i="174"/>
  <c r="F3" i="174"/>
  <c r="F2" i="174"/>
  <c r="K24" i="171"/>
  <c r="K23" i="171"/>
  <c r="K22" i="171"/>
  <c r="L17" i="171"/>
  <c r="C22" i="171" s="1"/>
  <c r="G17" i="171"/>
  <c r="G16" i="171"/>
  <c r="F15" i="171"/>
  <c r="F18" i="171" s="1"/>
  <c r="E15" i="171"/>
  <c r="E18" i="171" s="1"/>
  <c r="C15" i="171"/>
  <c r="C18" i="171" s="1"/>
  <c r="D22" i="171" l="1"/>
  <c r="C23" i="171" s="1"/>
  <c r="B22" i="171"/>
  <c r="G126" i="139"/>
  <c r="G181" i="139"/>
  <c r="H181" i="139" s="1"/>
  <c r="G20" i="174"/>
  <c r="G58" i="168"/>
  <c r="D184" i="139"/>
  <c r="F183" i="139"/>
  <c r="C184" i="139"/>
  <c r="B184" i="139" s="1"/>
  <c r="E183" i="139"/>
  <c r="F157" i="139"/>
  <c r="D158" i="139"/>
  <c r="E157" i="139"/>
  <c r="C158" i="139"/>
  <c r="B158" i="139" s="1"/>
  <c r="H154" i="139"/>
  <c r="D129" i="139"/>
  <c r="F128" i="139"/>
  <c r="C129" i="139"/>
  <c r="B129" i="139" s="1"/>
  <c r="E128" i="139"/>
  <c r="C21" i="174"/>
  <c r="E20" i="174"/>
  <c r="H20" i="174" s="1"/>
  <c r="B20" i="174"/>
  <c r="F13" i="174"/>
  <c r="F16" i="174" s="1"/>
  <c r="L39" i="174"/>
  <c r="L35" i="174"/>
  <c r="L34" i="174"/>
  <c r="L38" i="174"/>
  <c r="G15" i="171"/>
  <c r="G18" i="171" s="1"/>
  <c r="G28" i="168" s="1"/>
  <c r="E22" i="171" l="1"/>
  <c r="F22" i="171"/>
  <c r="L23" i="174"/>
  <c r="L22" i="174"/>
  <c r="H126" i="139"/>
  <c r="O154" i="139"/>
  <c r="G155" i="139" s="1"/>
  <c r="L32" i="174"/>
  <c r="L30" i="174"/>
  <c r="L26" i="174"/>
  <c r="L29" i="174"/>
  <c r="L25" i="174"/>
  <c r="L28" i="174"/>
  <c r="L24" i="174"/>
  <c r="L31" i="174"/>
  <c r="L27" i="174"/>
  <c r="L33" i="174"/>
  <c r="L36" i="174"/>
  <c r="L37" i="174"/>
  <c r="K20" i="174"/>
  <c r="G22" i="171"/>
  <c r="L30" i="171" s="1"/>
  <c r="N154" i="139"/>
  <c r="O181" i="139"/>
  <c r="E184" i="139"/>
  <c r="C185" i="139"/>
  <c r="B185" i="139" s="1"/>
  <c r="F184" i="139"/>
  <c r="D185" i="139"/>
  <c r="N181" i="139"/>
  <c r="D159" i="139"/>
  <c r="E158" i="139"/>
  <c r="C159" i="139"/>
  <c r="B159" i="139" s="1"/>
  <c r="F158" i="139"/>
  <c r="E129" i="139"/>
  <c r="C130" i="139"/>
  <c r="B130" i="139" s="1"/>
  <c r="F129" i="139"/>
  <c r="D130" i="139"/>
  <c r="N20" i="174"/>
  <c r="D21" i="174"/>
  <c r="F21" i="174" s="1"/>
  <c r="B21" i="174"/>
  <c r="B23" i="171"/>
  <c r="D23" i="171"/>
  <c r="F23" i="171" s="1"/>
  <c r="L28" i="171" l="1"/>
  <c r="L44" i="171"/>
  <c r="L41" i="171"/>
  <c r="L31" i="171"/>
  <c r="L34" i="171"/>
  <c r="O126" i="139"/>
  <c r="G127" i="139" s="1"/>
  <c r="L41" i="174"/>
  <c r="N126" i="139"/>
  <c r="M20" i="174"/>
  <c r="O20" i="174" s="1"/>
  <c r="L35" i="171"/>
  <c r="L32" i="171"/>
  <c r="L29" i="171"/>
  <c r="L45" i="171"/>
  <c r="L38" i="171"/>
  <c r="H22" i="171"/>
  <c r="N22" i="171" s="1"/>
  <c r="O22" i="171" s="1"/>
  <c r="L39" i="171"/>
  <c r="L36" i="171"/>
  <c r="L33" i="171"/>
  <c r="L26" i="171"/>
  <c r="L42" i="171"/>
  <c r="L27" i="171"/>
  <c r="L43" i="171"/>
  <c r="L40" i="171"/>
  <c r="L37" i="171"/>
  <c r="F185" i="139"/>
  <c r="D186" i="139"/>
  <c r="E185" i="139"/>
  <c r="C186" i="139"/>
  <c r="B186" i="139" s="1"/>
  <c r="G182" i="139"/>
  <c r="C160" i="139"/>
  <c r="B160" i="139" s="1"/>
  <c r="D160" i="139"/>
  <c r="F159" i="139"/>
  <c r="E159" i="139"/>
  <c r="H155" i="139"/>
  <c r="F130" i="139"/>
  <c r="C131" i="139"/>
  <c r="B131" i="139" s="1"/>
  <c r="D131" i="139"/>
  <c r="E130" i="139"/>
  <c r="C22" i="174"/>
  <c r="E21" i="174"/>
  <c r="E23" i="171"/>
  <c r="C24" i="171"/>
  <c r="L47" i="171" l="1"/>
  <c r="H127" i="139"/>
  <c r="O127" i="139" s="1"/>
  <c r="N155" i="139"/>
  <c r="D187" i="139"/>
  <c r="E186" i="139"/>
  <c r="C187" i="139"/>
  <c r="B187" i="139" s="1"/>
  <c r="F186" i="139"/>
  <c r="H182" i="139"/>
  <c r="C161" i="139"/>
  <c r="B161" i="139" s="1"/>
  <c r="F160" i="139"/>
  <c r="E160" i="139"/>
  <c r="D161" i="139"/>
  <c r="O155" i="139"/>
  <c r="D132" i="139"/>
  <c r="E131" i="139"/>
  <c r="C132" i="139"/>
  <c r="B132" i="139" s="1"/>
  <c r="F131" i="139"/>
  <c r="G21" i="174"/>
  <c r="D22" i="174"/>
  <c r="F22" i="174" s="1"/>
  <c r="B22" i="174"/>
  <c r="G23" i="171"/>
  <c r="D24" i="171"/>
  <c r="F24" i="171" s="1"/>
  <c r="B24" i="171"/>
  <c r="K21" i="174" l="1"/>
  <c r="N127" i="139"/>
  <c r="N182" i="139"/>
  <c r="O182" i="139"/>
  <c r="C188" i="139"/>
  <c r="B188" i="139" s="1"/>
  <c r="E187" i="139"/>
  <c r="F187" i="139"/>
  <c r="D188" i="139"/>
  <c r="G156" i="139"/>
  <c r="F161" i="139"/>
  <c r="D162" i="139"/>
  <c r="C162" i="139"/>
  <c r="B162" i="139" s="1"/>
  <c r="E161" i="139"/>
  <c r="G128" i="139"/>
  <c r="C133" i="139"/>
  <c r="B133" i="139" s="1"/>
  <c r="D133" i="139"/>
  <c r="F132" i="139"/>
  <c r="E132" i="139"/>
  <c r="C23" i="174"/>
  <c r="E22" i="174"/>
  <c r="C25" i="171"/>
  <c r="E24" i="171"/>
  <c r="H23" i="171"/>
  <c r="N21" i="174" l="1"/>
  <c r="G183" i="139"/>
  <c r="H183" i="139" s="1"/>
  <c r="F188" i="139"/>
  <c r="E188" i="139"/>
  <c r="D189" i="139"/>
  <c r="C189" i="139"/>
  <c r="B189" i="139" s="1"/>
  <c r="D163" i="139"/>
  <c r="E162" i="139"/>
  <c r="C163" i="139"/>
  <c r="B163" i="139" s="1"/>
  <c r="F162" i="139"/>
  <c r="H156" i="139"/>
  <c r="C134" i="139"/>
  <c r="B134" i="139" s="1"/>
  <c r="F133" i="139"/>
  <c r="E133" i="139"/>
  <c r="D134" i="139"/>
  <c r="H128" i="139"/>
  <c r="D23" i="174"/>
  <c r="F23" i="174" s="1"/>
  <c r="B23" i="174"/>
  <c r="N23" i="171"/>
  <c r="B25" i="171"/>
  <c r="D25" i="171"/>
  <c r="F25" i="171" s="1"/>
  <c r="O21" i="174" l="1"/>
  <c r="G22" i="174" s="1"/>
  <c r="N156" i="139"/>
  <c r="N183" i="139"/>
  <c r="N128" i="139"/>
  <c r="O183" i="139"/>
  <c r="O156" i="139"/>
  <c r="G157" i="139" s="1"/>
  <c r="J157" i="139" s="1"/>
  <c r="F189" i="139"/>
  <c r="D190" i="139"/>
  <c r="E189" i="139"/>
  <c r="C190" i="139"/>
  <c r="B190" i="139" s="1"/>
  <c r="C164" i="139"/>
  <c r="B164" i="139" s="1"/>
  <c r="D164" i="139"/>
  <c r="F163" i="139"/>
  <c r="E163" i="139"/>
  <c r="O128" i="139"/>
  <c r="F134" i="139"/>
  <c r="E134" i="139"/>
  <c r="D135" i="139"/>
  <c r="C135" i="139"/>
  <c r="B135" i="139" s="1"/>
  <c r="E23" i="174"/>
  <c r="C24" i="174"/>
  <c r="C26" i="171"/>
  <c r="E25" i="171"/>
  <c r="O23" i="171"/>
  <c r="K26" i="169"/>
  <c r="K27" i="169"/>
  <c r="K28" i="169"/>
  <c r="L21" i="169"/>
  <c r="C26" i="169" s="1"/>
  <c r="D26" i="169" s="1"/>
  <c r="F26" i="169" s="1"/>
  <c r="F21" i="169"/>
  <c r="F20" i="169"/>
  <c r="E19" i="169"/>
  <c r="E22" i="169" s="1"/>
  <c r="D19" i="169"/>
  <c r="D22" i="169" s="1"/>
  <c r="C19" i="169"/>
  <c r="C22" i="169" s="1"/>
  <c r="F18" i="169"/>
  <c r="F17" i="169"/>
  <c r="F16" i="169"/>
  <c r="F15" i="169"/>
  <c r="F14" i="169"/>
  <c r="F13" i="169"/>
  <c r="F12" i="169"/>
  <c r="F11" i="169"/>
  <c r="F10" i="169"/>
  <c r="F9" i="169"/>
  <c r="F8" i="169"/>
  <c r="F7" i="169"/>
  <c r="F6" i="169"/>
  <c r="F5" i="169"/>
  <c r="F4" i="169"/>
  <c r="F3" i="169"/>
  <c r="F2" i="169"/>
  <c r="I22" i="174" l="1"/>
  <c r="J22" i="174"/>
  <c r="I23" i="174"/>
  <c r="G184" i="139"/>
  <c r="J184" i="139" s="1"/>
  <c r="G26" i="169"/>
  <c r="L45" i="169"/>
  <c r="L41" i="169"/>
  <c r="L37" i="169"/>
  <c r="L33" i="169"/>
  <c r="L29" i="169"/>
  <c r="L48" i="169"/>
  <c r="L44" i="169"/>
  <c r="L40" i="169"/>
  <c r="L36" i="169"/>
  <c r="L32" i="169"/>
  <c r="G48" i="168"/>
  <c r="L47" i="169"/>
  <c r="L43" i="169"/>
  <c r="L39" i="169"/>
  <c r="L35" i="169"/>
  <c r="L31" i="169"/>
  <c r="L46" i="169"/>
  <c r="L42" i="169"/>
  <c r="L38" i="169"/>
  <c r="L34" i="169"/>
  <c r="L30" i="169"/>
  <c r="D191" i="139"/>
  <c r="E190" i="139"/>
  <c r="C191" i="139"/>
  <c r="B191" i="139" s="1"/>
  <c r="F190" i="139"/>
  <c r="C165" i="139"/>
  <c r="B165" i="139" s="1"/>
  <c r="F164" i="139"/>
  <c r="E164" i="139"/>
  <c r="D165" i="139"/>
  <c r="D136" i="139"/>
  <c r="E135" i="139"/>
  <c r="C136" i="139"/>
  <c r="B136" i="139" s="1"/>
  <c r="F135" i="139"/>
  <c r="G129" i="139"/>
  <c r="D24" i="174"/>
  <c r="F24" i="174" s="1"/>
  <c r="B24" i="174"/>
  <c r="G24" i="171"/>
  <c r="D26" i="171"/>
  <c r="F26" i="171" s="1"/>
  <c r="B26" i="171"/>
  <c r="E26" i="169"/>
  <c r="C27" i="169"/>
  <c r="B26" i="169"/>
  <c r="F19" i="169"/>
  <c r="F22" i="169" s="1"/>
  <c r="C59" i="168" l="1"/>
  <c r="K22" i="174"/>
  <c r="I27" i="174"/>
  <c r="I30" i="174"/>
  <c r="I24" i="174"/>
  <c r="I31" i="174"/>
  <c r="I25" i="174"/>
  <c r="I28" i="174"/>
  <c r="I29" i="174"/>
  <c r="I26" i="174"/>
  <c r="H26" i="169"/>
  <c r="N26" i="169" s="1"/>
  <c r="O26" i="169" s="1"/>
  <c r="G27" i="169" s="1"/>
  <c r="L50" i="169"/>
  <c r="N184" i="139"/>
  <c r="O184" i="139" s="1"/>
  <c r="K184" i="139"/>
  <c r="K157" i="139"/>
  <c r="N157" i="139"/>
  <c r="O157" i="139" s="1"/>
  <c r="C192" i="139"/>
  <c r="B192" i="139" s="1"/>
  <c r="E191" i="139"/>
  <c r="F191" i="139"/>
  <c r="D192" i="139"/>
  <c r="F165" i="139"/>
  <c r="D166" i="139"/>
  <c r="C166" i="139"/>
  <c r="B166" i="139" s="1"/>
  <c r="E165" i="139"/>
  <c r="H129" i="139"/>
  <c r="C137" i="139"/>
  <c r="B137" i="139" s="1"/>
  <c r="F136" i="139"/>
  <c r="D137" i="139"/>
  <c r="E136" i="139"/>
  <c r="N22" i="174"/>
  <c r="C25" i="174"/>
  <c r="E24" i="174"/>
  <c r="E26" i="171"/>
  <c r="C27" i="171"/>
  <c r="H24" i="171"/>
  <c r="B27" i="169"/>
  <c r="D27" i="169"/>
  <c r="F27" i="169" s="1"/>
  <c r="G185" i="139" l="1"/>
  <c r="J185" i="139" s="1"/>
  <c r="N129" i="139"/>
  <c r="G158" i="139"/>
  <c r="J158" i="139" s="1"/>
  <c r="F192" i="139"/>
  <c r="E192" i="139"/>
  <c r="D193" i="139"/>
  <c r="C193" i="139"/>
  <c r="B193" i="139" s="1"/>
  <c r="D167" i="139"/>
  <c r="E166" i="139"/>
  <c r="C167" i="139"/>
  <c r="B167" i="139" s="1"/>
  <c r="F166" i="139"/>
  <c r="C138" i="139"/>
  <c r="B138" i="139" s="1"/>
  <c r="F137" i="139"/>
  <c r="E137" i="139"/>
  <c r="D138" i="139"/>
  <c r="O129" i="139"/>
  <c r="B25" i="174"/>
  <c r="D25" i="174"/>
  <c r="F25" i="174" s="1"/>
  <c r="O22" i="174"/>
  <c r="D27" i="171"/>
  <c r="F27" i="171" s="1"/>
  <c r="B27" i="171"/>
  <c r="N24" i="171"/>
  <c r="E27" i="169"/>
  <c r="C28" i="169"/>
  <c r="F193" i="139" l="1"/>
  <c r="D194" i="139"/>
  <c r="E193" i="139"/>
  <c r="C194" i="139"/>
  <c r="B194" i="139" s="1"/>
  <c r="N185" i="139"/>
  <c r="O185" i="139" s="1"/>
  <c r="N158" i="139"/>
  <c r="O158" i="139" s="1"/>
  <c r="C168" i="139"/>
  <c r="B168" i="139" s="1"/>
  <c r="D168" i="139"/>
  <c r="F167" i="139"/>
  <c r="E167" i="139"/>
  <c r="F138" i="139"/>
  <c r="C139" i="139"/>
  <c r="B139" i="139" s="1"/>
  <c r="E138" i="139"/>
  <c r="D139" i="139"/>
  <c r="G130" i="139"/>
  <c r="J130" i="139" s="1"/>
  <c r="G23" i="174"/>
  <c r="J23" i="174" s="1"/>
  <c r="K23" i="174" s="1"/>
  <c r="M23" i="174" s="1"/>
  <c r="E25" i="174"/>
  <c r="C26" i="174"/>
  <c r="O24" i="171"/>
  <c r="C28" i="171"/>
  <c r="E27" i="171"/>
  <c r="D28" i="169"/>
  <c r="F28" i="169" s="1"/>
  <c r="B28" i="169"/>
  <c r="H27" i="169"/>
  <c r="D195" i="139" l="1"/>
  <c r="E194" i="139"/>
  <c r="C195" i="139"/>
  <c r="B195" i="139" s="1"/>
  <c r="F194" i="139"/>
  <c r="C169" i="139"/>
  <c r="B169" i="139" s="1"/>
  <c r="F168" i="139"/>
  <c r="E168" i="139"/>
  <c r="D169" i="139"/>
  <c r="D140" i="139"/>
  <c r="E139" i="139"/>
  <c r="C140" i="139"/>
  <c r="B140" i="139" s="1"/>
  <c r="F139" i="139"/>
  <c r="D26" i="174"/>
  <c r="F26" i="174" s="1"/>
  <c r="B26" i="174"/>
  <c r="B28" i="171"/>
  <c r="D28" i="171"/>
  <c r="F28" i="171" s="1"/>
  <c r="G25" i="171"/>
  <c r="N27" i="169"/>
  <c r="O27" i="169" s="1"/>
  <c r="G28" i="169" s="1"/>
  <c r="E28" i="169"/>
  <c r="C29" i="169"/>
  <c r="H28" i="169" l="1"/>
  <c r="N28" i="169" s="1"/>
  <c r="O28" i="169" s="1"/>
  <c r="G29" i="169" s="1"/>
  <c r="C196" i="139"/>
  <c r="B196" i="139" s="1"/>
  <c r="E195" i="139"/>
  <c r="F195" i="139"/>
  <c r="D196" i="139"/>
  <c r="F169" i="139"/>
  <c r="D170" i="139"/>
  <c r="C170" i="139"/>
  <c r="B170" i="139" s="1"/>
  <c r="E169" i="139"/>
  <c r="N130" i="139"/>
  <c r="O130" i="139" s="1"/>
  <c r="C141" i="139"/>
  <c r="B141" i="139" s="1"/>
  <c r="D141" i="139"/>
  <c r="F140" i="139"/>
  <c r="E140" i="139"/>
  <c r="C27" i="174"/>
  <c r="E26" i="174"/>
  <c r="N23" i="174"/>
  <c r="H25" i="171"/>
  <c r="E28" i="171"/>
  <c r="C29" i="171"/>
  <c r="B29" i="169"/>
  <c r="D29" i="169"/>
  <c r="F29" i="169" s="1"/>
  <c r="F196" i="139" l="1"/>
  <c r="E196" i="139"/>
  <c r="D197" i="139"/>
  <c r="C197" i="139"/>
  <c r="B197" i="139" s="1"/>
  <c r="D171" i="139"/>
  <c r="E170" i="139"/>
  <c r="C171" i="139"/>
  <c r="B171" i="139" s="1"/>
  <c r="F170" i="139"/>
  <c r="C142" i="139"/>
  <c r="B142" i="139" s="1"/>
  <c r="F141" i="139"/>
  <c r="E141" i="139"/>
  <c r="D142" i="139"/>
  <c r="O23" i="174"/>
  <c r="B27" i="174"/>
  <c r="D27" i="174"/>
  <c r="F27" i="174" s="1"/>
  <c r="B29" i="171"/>
  <c r="D29" i="171"/>
  <c r="F29" i="171" s="1"/>
  <c r="N25" i="171"/>
  <c r="E29" i="169"/>
  <c r="C30" i="169"/>
  <c r="F197" i="139" l="1"/>
  <c r="D198" i="139"/>
  <c r="E197" i="139"/>
  <c r="C198" i="139"/>
  <c r="B198" i="139" s="1"/>
  <c r="C172" i="139"/>
  <c r="B172" i="139" s="1"/>
  <c r="D172" i="139"/>
  <c r="F171" i="139"/>
  <c r="E171" i="139"/>
  <c r="F142" i="139"/>
  <c r="C143" i="139"/>
  <c r="B143" i="139" s="1"/>
  <c r="E142" i="139"/>
  <c r="D143" i="139"/>
  <c r="E27" i="174"/>
  <c r="C28" i="174"/>
  <c r="G24" i="174"/>
  <c r="J24" i="174" s="1"/>
  <c r="K24" i="174" s="1"/>
  <c r="M24" i="174" s="1"/>
  <c r="C30" i="171"/>
  <c r="E29" i="171"/>
  <c r="D30" i="169"/>
  <c r="F30" i="169" s="1"/>
  <c r="B30" i="169"/>
  <c r="H29" i="169"/>
  <c r="D199" i="139" l="1"/>
  <c r="E198" i="139"/>
  <c r="C199" i="139"/>
  <c r="B199" i="139" s="1"/>
  <c r="F198" i="139"/>
  <c r="C173" i="139"/>
  <c r="B173" i="139" s="1"/>
  <c r="F172" i="139"/>
  <c r="E172" i="139"/>
  <c r="D173" i="139"/>
  <c r="D144" i="139"/>
  <c r="E143" i="139"/>
  <c r="C144" i="139"/>
  <c r="B144" i="139" s="1"/>
  <c r="F143" i="139"/>
  <c r="N24" i="174"/>
  <c r="B28" i="174"/>
  <c r="D28" i="174"/>
  <c r="F28" i="174" s="1"/>
  <c r="D30" i="171"/>
  <c r="F30" i="171" s="1"/>
  <c r="B30" i="171"/>
  <c r="N29" i="169"/>
  <c r="I34" i="169"/>
  <c r="I35" i="169"/>
  <c r="I36" i="169"/>
  <c r="I33" i="169"/>
  <c r="I38" i="169"/>
  <c r="I39" i="169"/>
  <c r="I40" i="169"/>
  <c r="I37" i="169"/>
  <c r="I42" i="169"/>
  <c r="I43" i="169"/>
  <c r="I44" i="169"/>
  <c r="I41" i="169"/>
  <c r="I30" i="169"/>
  <c r="I31" i="169"/>
  <c r="I32" i="169"/>
  <c r="I29" i="169"/>
  <c r="K29" i="169" s="1"/>
  <c r="M29" i="169" s="1"/>
  <c r="E30" i="169"/>
  <c r="C31" i="169"/>
  <c r="C200" i="139" l="1"/>
  <c r="B200" i="139" s="1"/>
  <c r="F199" i="139"/>
  <c r="D200" i="139"/>
  <c r="E199" i="139"/>
  <c r="F173" i="139"/>
  <c r="D174" i="139"/>
  <c r="C174" i="139"/>
  <c r="B174" i="139" s="1"/>
  <c r="E173" i="139"/>
  <c r="C145" i="139"/>
  <c r="B145" i="139" s="1"/>
  <c r="D145" i="139"/>
  <c r="F144" i="139"/>
  <c r="E144" i="139"/>
  <c r="C29" i="174"/>
  <c r="E28" i="174"/>
  <c r="O24" i="174"/>
  <c r="E30" i="171"/>
  <c r="C31" i="171"/>
  <c r="O29" i="169"/>
  <c r="G30" i="169" s="1"/>
  <c r="J30" i="169" s="1"/>
  <c r="K30" i="169" s="1"/>
  <c r="M30" i="169" s="1"/>
  <c r="B31" i="169"/>
  <c r="D31" i="169"/>
  <c r="F31" i="169" s="1"/>
  <c r="E200" i="139" l="1"/>
  <c r="F200" i="139"/>
  <c r="D201" i="139"/>
  <c r="C201" i="139"/>
  <c r="B201" i="139" s="1"/>
  <c r="D175" i="139"/>
  <c r="E174" i="139"/>
  <c r="C175" i="139"/>
  <c r="B175" i="139" s="1"/>
  <c r="F174" i="139"/>
  <c r="C146" i="139"/>
  <c r="B146" i="139" s="1"/>
  <c r="F145" i="139"/>
  <c r="E145" i="139"/>
  <c r="D146" i="139"/>
  <c r="G25" i="174"/>
  <c r="J25" i="174" s="1"/>
  <c r="K25" i="174" s="1"/>
  <c r="M25" i="174" s="1"/>
  <c r="B29" i="174"/>
  <c r="D29" i="174"/>
  <c r="F29" i="174" s="1"/>
  <c r="D31" i="171"/>
  <c r="F31" i="171" s="1"/>
  <c r="B31" i="171"/>
  <c r="N30" i="169"/>
  <c r="O30" i="169" s="1"/>
  <c r="G31" i="169" s="1"/>
  <c r="E31" i="169"/>
  <c r="C32" i="169"/>
  <c r="F201" i="139" l="1"/>
  <c r="C202" i="139"/>
  <c r="B202" i="139" s="1"/>
  <c r="D202" i="139"/>
  <c r="E201" i="139"/>
  <c r="F175" i="139"/>
  <c r="E175" i="139"/>
  <c r="F146" i="139"/>
  <c r="D147" i="139"/>
  <c r="C147" i="139"/>
  <c r="B147" i="139" s="1"/>
  <c r="E146" i="139"/>
  <c r="N25" i="174"/>
  <c r="O25" i="174" s="1"/>
  <c r="G26" i="174" s="1"/>
  <c r="J26" i="174" s="1"/>
  <c r="K26" i="174" s="1"/>
  <c r="M26" i="174" s="1"/>
  <c r="E29" i="174"/>
  <c r="C30" i="174"/>
  <c r="C32" i="171"/>
  <c r="E31" i="171"/>
  <c r="J31" i="169"/>
  <c r="K31" i="169" s="1"/>
  <c r="D32" i="169"/>
  <c r="F32" i="169" s="1"/>
  <c r="B32" i="169"/>
  <c r="E202" i="139" l="1"/>
  <c r="F202" i="139"/>
  <c r="D148" i="139"/>
  <c r="E147" i="139"/>
  <c r="C148" i="139"/>
  <c r="B148" i="139" s="1"/>
  <c r="F147" i="139"/>
  <c r="M31" i="169"/>
  <c r="D30" i="174"/>
  <c r="F30" i="174" s="1"/>
  <c r="B30" i="174"/>
  <c r="N26" i="174"/>
  <c r="O26" i="174" s="1"/>
  <c r="G27" i="174" s="1"/>
  <c r="J27" i="174" s="1"/>
  <c r="K27" i="174" s="1"/>
  <c r="B32" i="171"/>
  <c r="D32" i="171"/>
  <c r="F32" i="171" s="1"/>
  <c r="N31" i="169"/>
  <c r="E32" i="169"/>
  <c r="C33" i="169"/>
  <c r="M27" i="174" l="1"/>
  <c r="O31" i="169"/>
  <c r="G32" i="169" s="1"/>
  <c r="J32" i="169" s="1"/>
  <c r="K32" i="169" s="1"/>
  <c r="F148" i="139"/>
  <c r="E148" i="139"/>
  <c r="C31" i="174"/>
  <c r="E30" i="174"/>
  <c r="N27" i="174"/>
  <c r="E32" i="171"/>
  <c r="C33" i="171"/>
  <c r="D33" i="169"/>
  <c r="F33" i="169" s="1"/>
  <c r="B33" i="169"/>
  <c r="O27" i="174" l="1"/>
  <c r="G28" i="174" s="1"/>
  <c r="J28" i="174" s="1"/>
  <c r="K28" i="174" s="1"/>
  <c r="M28" i="174" s="1"/>
  <c r="M32" i="169"/>
  <c r="B31" i="174"/>
  <c r="D31" i="174"/>
  <c r="F31" i="174" s="1"/>
  <c r="B33" i="171"/>
  <c r="D33" i="171"/>
  <c r="F33" i="171" s="1"/>
  <c r="N32" i="169"/>
  <c r="E33" i="169"/>
  <c r="C34" i="169"/>
  <c r="N28" i="174" l="1"/>
  <c r="O28" i="174" s="1"/>
  <c r="G29" i="174" s="1"/>
  <c r="J29" i="174" s="1"/>
  <c r="K29" i="174" s="1"/>
  <c r="M29" i="174" s="1"/>
  <c r="O32" i="169"/>
  <c r="G33" i="169" s="1"/>
  <c r="J33" i="169" s="1"/>
  <c r="K33" i="169" s="1"/>
  <c r="E31" i="174"/>
  <c r="C32" i="174"/>
  <c r="C34" i="171"/>
  <c r="E33" i="171"/>
  <c r="B34" i="169"/>
  <c r="D34" i="169"/>
  <c r="F34" i="169" s="1"/>
  <c r="N29" i="174" l="1"/>
  <c r="O29" i="174" s="1"/>
  <c r="G30" i="174" s="1"/>
  <c r="J30" i="174" s="1"/>
  <c r="K30" i="174" s="1"/>
  <c r="M30" i="174" s="1"/>
  <c r="M33" i="169"/>
  <c r="B32" i="174"/>
  <c r="D32" i="174"/>
  <c r="F32" i="174" s="1"/>
  <c r="D34" i="171"/>
  <c r="F34" i="171" s="1"/>
  <c r="B34" i="171"/>
  <c r="N33" i="169"/>
  <c r="C35" i="169"/>
  <c r="E34" i="169"/>
  <c r="N30" i="174" l="1"/>
  <c r="O30" i="174" s="1"/>
  <c r="G31" i="174" s="1"/>
  <c r="J31" i="174" s="1"/>
  <c r="K31" i="174" s="1"/>
  <c r="M31" i="174" s="1"/>
  <c r="O33" i="169"/>
  <c r="G34" i="169" s="1"/>
  <c r="J34" i="169" s="1"/>
  <c r="K34" i="169" s="1"/>
  <c r="C33" i="174"/>
  <c r="E32" i="174"/>
  <c r="E34" i="171"/>
  <c r="C35" i="171"/>
  <c r="B35" i="169"/>
  <c r="D35" i="169"/>
  <c r="F35" i="169" s="1"/>
  <c r="N31" i="174" l="1"/>
  <c r="O31" i="174" s="1"/>
  <c r="G32" i="174" s="1"/>
  <c r="J32" i="174" s="1"/>
  <c r="N32" i="174" s="1"/>
  <c r="M34" i="169"/>
  <c r="D33" i="174"/>
  <c r="F33" i="174" s="1"/>
  <c r="B33" i="174"/>
  <c r="D35" i="171"/>
  <c r="F35" i="171" s="1"/>
  <c r="B35" i="171"/>
  <c r="N34" i="169"/>
  <c r="E35" i="169"/>
  <c r="C36" i="169"/>
  <c r="O34" i="169" l="1"/>
  <c r="G35" i="169" s="1"/>
  <c r="J35" i="169" s="1"/>
  <c r="K35" i="169" s="1"/>
  <c r="E33" i="174"/>
  <c r="C34" i="174"/>
  <c r="I39" i="174"/>
  <c r="I34" i="174"/>
  <c r="I38" i="174"/>
  <c r="I32" i="174"/>
  <c r="H41" i="174"/>
  <c r="I37" i="174"/>
  <c r="I36" i="174"/>
  <c r="I33" i="174"/>
  <c r="I35" i="174"/>
  <c r="C36" i="171"/>
  <c r="E35" i="171"/>
  <c r="D36" i="169"/>
  <c r="F36" i="169" s="1"/>
  <c r="B36" i="169"/>
  <c r="M35" i="169" l="1"/>
  <c r="K32" i="174"/>
  <c r="I41" i="174"/>
  <c r="D34" i="174"/>
  <c r="F34" i="174" s="1"/>
  <c r="B34" i="174"/>
  <c r="B36" i="171"/>
  <c r="D36" i="171"/>
  <c r="F36" i="171" s="1"/>
  <c r="N35" i="169"/>
  <c r="E36" i="169"/>
  <c r="C37" i="169"/>
  <c r="O35" i="169" l="1"/>
  <c r="G36" i="169" s="1"/>
  <c r="J36" i="169" s="1"/>
  <c r="K36" i="169" s="1"/>
  <c r="M32" i="174"/>
  <c r="C35" i="174"/>
  <c r="E34" i="174"/>
  <c r="E36" i="171"/>
  <c r="C37" i="171"/>
  <c r="B37" i="169"/>
  <c r="D37" i="169"/>
  <c r="F37" i="169" s="1"/>
  <c r="M36" i="169" l="1"/>
  <c r="B35" i="174"/>
  <c r="D35" i="174"/>
  <c r="F35" i="174" s="1"/>
  <c r="O32" i="174"/>
  <c r="G33" i="174" s="1"/>
  <c r="B37" i="171"/>
  <c r="D37" i="171"/>
  <c r="F37" i="171" s="1"/>
  <c r="N36" i="169"/>
  <c r="E37" i="169"/>
  <c r="C38" i="169"/>
  <c r="O36" i="169" l="1"/>
  <c r="G37" i="169" s="1"/>
  <c r="J37" i="169" s="1"/>
  <c r="K37" i="169" s="1"/>
  <c r="E35" i="174"/>
  <c r="C36" i="174"/>
  <c r="J33" i="174"/>
  <c r="N33" i="174" s="1"/>
  <c r="C38" i="171"/>
  <c r="E37" i="171"/>
  <c r="B38" i="169"/>
  <c r="D38" i="169"/>
  <c r="F38" i="169" s="1"/>
  <c r="M37" i="169" l="1"/>
  <c r="B36" i="174"/>
  <c r="D36" i="174"/>
  <c r="F36" i="174" s="1"/>
  <c r="K33" i="174"/>
  <c r="D38" i="171"/>
  <c r="F38" i="171" s="1"/>
  <c r="B38" i="171"/>
  <c r="N37" i="169"/>
  <c r="C39" i="169"/>
  <c r="E38" i="169"/>
  <c r="O37" i="169" l="1"/>
  <c r="G38" i="169" s="1"/>
  <c r="J38" i="169" s="1"/>
  <c r="K38" i="169" s="1"/>
  <c r="C37" i="174"/>
  <c r="E36" i="174"/>
  <c r="M33" i="174"/>
  <c r="E38" i="171"/>
  <c r="C39" i="171"/>
  <c r="D39" i="169"/>
  <c r="F39" i="169" s="1"/>
  <c r="B39" i="169"/>
  <c r="M38" i="169" l="1"/>
  <c r="O33" i="174"/>
  <c r="G34" i="174" s="1"/>
  <c r="D37" i="174"/>
  <c r="F37" i="174" s="1"/>
  <c r="B37" i="174"/>
  <c r="D39" i="171"/>
  <c r="F39" i="171" s="1"/>
  <c r="B39" i="171"/>
  <c r="N38" i="169"/>
  <c r="E39" i="169"/>
  <c r="C40" i="169"/>
  <c r="O38" i="169" l="1"/>
  <c r="G39" i="169" s="1"/>
  <c r="J39" i="169" s="1"/>
  <c r="K39" i="169" s="1"/>
  <c r="M39" i="169" s="1"/>
  <c r="J34" i="174"/>
  <c r="E37" i="174"/>
  <c r="C38" i="174"/>
  <c r="C40" i="171"/>
  <c r="E39" i="171"/>
  <c r="D40" i="169"/>
  <c r="F40" i="169" s="1"/>
  <c r="B40" i="169"/>
  <c r="K34" i="174" l="1"/>
  <c r="D38" i="174"/>
  <c r="F38" i="174" s="1"/>
  <c r="B38" i="174"/>
  <c r="N34" i="174"/>
  <c r="B40" i="171"/>
  <c r="D40" i="171"/>
  <c r="F40" i="171" s="1"/>
  <c r="N39" i="169"/>
  <c r="O39" i="169" s="1"/>
  <c r="G40" i="169" s="1"/>
  <c r="E40" i="169"/>
  <c r="C41" i="169"/>
  <c r="C39" i="174" l="1"/>
  <c r="E38" i="174"/>
  <c r="M34" i="174"/>
  <c r="O34" i="174" s="1"/>
  <c r="G35" i="174" s="1"/>
  <c r="E40" i="171"/>
  <c r="C41" i="171"/>
  <c r="J40" i="169"/>
  <c r="K40" i="169" s="1"/>
  <c r="M40" i="169" s="1"/>
  <c r="D41" i="169"/>
  <c r="B41" i="169"/>
  <c r="C42" i="169" l="1"/>
  <c r="B42" i="169" s="1"/>
  <c r="F41" i="169"/>
  <c r="J35" i="174"/>
  <c r="B39" i="174"/>
  <c r="D39" i="174"/>
  <c r="B41" i="171"/>
  <c r="D41" i="171"/>
  <c r="F41" i="171" s="1"/>
  <c r="N40" i="169"/>
  <c r="O40" i="169" s="1"/>
  <c r="G41" i="169" s="1"/>
  <c r="E41" i="169"/>
  <c r="D42" i="169"/>
  <c r="F42" i="169" s="1"/>
  <c r="F39" i="174" l="1"/>
  <c r="K35" i="174"/>
  <c r="M35" i="174" s="1"/>
  <c r="E39" i="174"/>
  <c r="N35" i="174"/>
  <c r="E41" i="171"/>
  <c r="C42" i="171"/>
  <c r="J41" i="169"/>
  <c r="K41" i="169" s="1"/>
  <c r="M41" i="169" s="1"/>
  <c r="E42" i="169"/>
  <c r="C43" i="169"/>
  <c r="O35" i="174" l="1"/>
  <c r="G36" i="174" s="1"/>
  <c r="J36" i="174" s="1"/>
  <c r="N36" i="174" s="1"/>
  <c r="D42" i="171"/>
  <c r="F42" i="171" s="1"/>
  <c r="B42" i="171"/>
  <c r="N41" i="169"/>
  <c r="O41" i="169" s="1"/>
  <c r="G42" i="169" s="1"/>
  <c r="J42" i="169" s="1"/>
  <c r="K42" i="169" s="1"/>
  <c r="M42" i="169" s="1"/>
  <c r="B43" i="169"/>
  <c r="D43" i="169"/>
  <c r="F43" i="169" s="1"/>
  <c r="K36" i="174" l="1"/>
  <c r="M36" i="174" s="1"/>
  <c r="O36" i="174" s="1"/>
  <c r="G37" i="174" s="1"/>
  <c r="E42" i="171"/>
  <c r="C43" i="171"/>
  <c r="N42" i="169"/>
  <c r="O42" i="169" s="1"/>
  <c r="G43" i="169" s="1"/>
  <c r="C44" i="169"/>
  <c r="E43" i="169"/>
  <c r="J37" i="174" l="1"/>
  <c r="D43" i="171"/>
  <c r="F43" i="171" s="1"/>
  <c r="B43" i="171"/>
  <c r="J43" i="169"/>
  <c r="K43" i="169" s="1"/>
  <c r="M43" i="169" s="1"/>
  <c r="D44" i="169"/>
  <c r="F44" i="169" s="1"/>
  <c r="B44" i="169"/>
  <c r="K37" i="174" l="1"/>
  <c r="M37" i="174" s="1"/>
  <c r="N37" i="174"/>
  <c r="C44" i="171"/>
  <c r="E43" i="171"/>
  <c r="N43" i="169"/>
  <c r="O43" i="169" s="1"/>
  <c r="G44" i="169" s="1"/>
  <c r="E44" i="169"/>
  <c r="C45" i="169"/>
  <c r="J44" i="169" l="1"/>
  <c r="K44" i="169" s="1"/>
  <c r="M44" i="169" s="1"/>
  <c r="O37" i="174"/>
  <c r="G38" i="174" s="1"/>
  <c r="B44" i="171"/>
  <c r="D44" i="171"/>
  <c r="D45" i="169"/>
  <c r="F45" i="169" s="1"/>
  <c r="B45" i="169"/>
  <c r="F44" i="171" l="1"/>
  <c r="C45" i="171"/>
  <c r="N44" i="169"/>
  <c r="O44" i="169" s="1"/>
  <c r="G45" i="169" s="1"/>
  <c r="J38" i="174"/>
  <c r="K38" i="174" s="1"/>
  <c r="M38" i="174" s="1"/>
  <c r="E44" i="171"/>
  <c r="C46" i="169"/>
  <c r="E45" i="169"/>
  <c r="B45" i="171" l="1"/>
  <c r="D45" i="171"/>
  <c r="J45" i="169"/>
  <c r="N38" i="174"/>
  <c r="O38" i="174" s="1"/>
  <c r="G39" i="174" s="1"/>
  <c r="B46" i="169"/>
  <c r="D46" i="169"/>
  <c r="F46" i="169" s="1"/>
  <c r="F45" i="171" l="1"/>
  <c r="E45" i="171"/>
  <c r="J39" i="174"/>
  <c r="K39" i="174" s="1"/>
  <c r="M39" i="174" s="1"/>
  <c r="H50" i="169"/>
  <c r="I45" i="169"/>
  <c r="K45" i="169" s="1"/>
  <c r="I48" i="169"/>
  <c r="I46" i="169"/>
  <c r="N45" i="169"/>
  <c r="I47" i="169"/>
  <c r="C47" i="169"/>
  <c r="E46" i="169"/>
  <c r="N39" i="174" l="1"/>
  <c r="O39" i="174" s="1"/>
  <c r="I50" i="169"/>
  <c r="M45" i="169"/>
  <c r="B47" i="169"/>
  <c r="D47" i="169"/>
  <c r="F47" i="169" s="1"/>
  <c r="C48" i="169" l="1"/>
  <c r="E47" i="169"/>
  <c r="O45" i="169"/>
  <c r="G46" i="169" s="1"/>
  <c r="J46" i="169" l="1"/>
  <c r="B48" i="169"/>
  <c r="D48" i="169"/>
  <c r="F48" i="169" s="1"/>
  <c r="K46" i="169" l="1"/>
  <c r="N46" i="169"/>
  <c r="E48" i="169"/>
  <c r="M46" i="169" l="1"/>
  <c r="O46" i="169" s="1"/>
  <c r="G47" i="169" s="1"/>
  <c r="J47" i="169" l="1"/>
  <c r="N47" i="169" s="1"/>
  <c r="K47" i="169" l="1"/>
  <c r="M47" i="169" l="1"/>
  <c r="O47" i="169" l="1"/>
  <c r="G48" i="169" s="1"/>
  <c r="J48" i="169" l="1"/>
  <c r="N48" i="169" s="1"/>
  <c r="K48" i="169" l="1"/>
  <c r="M48" i="169" l="1"/>
  <c r="O48" i="169" l="1"/>
  <c r="G50" i="169" l="1"/>
  <c r="J50" i="169" l="1"/>
  <c r="O50" i="169" l="1"/>
  <c r="K50" i="169"/>
  <c r="N50" i="169"/>
  <c r="M50" i="169" l="1"/>
  <c r="A132" i="168" l="1"/>
  <c r="F40" i="168"/>
  <c r="F110" i="168"/>
  <c r="F115" i="168"/>
  <c r="F75" i="168"/>
  <c r="F70" i="168"/>
  <c r="F65" i="168"/>
  <c r="F45" i="168"/>
  <c r="F25" i="168"/>
  <c r="F15" i="168"/>
  <c r="F10" i="168"/>
  <c r="E5" i="168"/>
  <c r="D5" i="168"/>
  <c r="C5" i="168"/>
  <c r="B5" i="168"/>
  <c r="I93" i="168" l="1"/>
  <c r="I53" i="168"/>
  <c r="C118" i="168"/>
  <c r="B124" i="168"/>
  <c r="B123" i="168"/>
  <c r="F123" i="168" s="1"/>
  <c r="F129" i="168"/>
  <c r="F128" i="168"/>
  <c r="B118" i="168"/>
  <c r="B119" i="168"/>
  <c r="C23" i="168"/>
  <c r="C24" i="168"/>
  <c r="D23" i="168"/>
  <c r="D24" i="168"/>
  <c r="E23" i="168"/>
  <c r="H23" i="168"/>
  <c r="E24" i="168"/>
  <c r="B23" i="168"/>
  <c r="B24" i="168"/>
  <c r="C58" i="168"/>
  <c r="C28" i="168"/>
  <c r="C48" i="168"/>
  <c r="C49" i="168"/>
  <c r="D28" i="168"/>
  <c r="D59" i="168"/>
  <c r="D58" i="168"/>
  <c r="D48" i="168"/>
  <c r="D49" i="168"/>
  <c r="H28" i="168"/>
  <c r="I28" i="168" s="1"/>
  <c r="H58" i="168"/>
  <c r="I58" i="168" s="1"/>
  <c r="E59" i="168"/>
  <c r="E58" i="168"/>
  <c r="E28" i="168"/>
  <c r="H48" i="168"/>
  <c r="I48" i="168" s="1"/>
  <c r="E48" i="168"/>
  <c r="E49" i="168"/>
  <c r="B58" i="168"/>
  <c r="B28" i="168"/>
  <c r="B48" i="168"/>
  <c r="B49" i="168"/>
  <c r="F53" i="168" l="1"/>
  <c r="F118" i="168"/>
  <c r="F54" i="168"/>
  <c r="F93" i="168"/>
  <c r="F94" i="168"/>
  <c r="F48" i="168"/>
  <c r="F28" i="168"/>
  <c r="F58" i="168"/>
  <c r="F49" i="168"/>
  <c r="F59" i="168"/>
  <c r="G41" i="174" l="1"/>
  <c r="J41" i="174" l="1"/>
  <c r="L160" i="160"/>
  <c r="L159" i="160"/>
  <c r="L158" i="160"/>
  <c r="L157" i="160"/>
  <c r="L156" i="160"/>
  <c r="L155" i="160"/>
  <c r="L154" i="160"/>
  <c r="L153" i="160"/>
  <c r="L152" i="160"/>
  <c r="L151" i="160"/>
  <c r="L150" i="160"/>
  <c r="L149" i="160"/>
  <c r="L148" i="160"/>
  <c r="L147" i="160"/>
  <c r="L146" i="160"/>
  <c r="L145" i="160"/>
  <c r="L144" i="160"/>
  <c r="L127" i="160"/>
  <c r="L126" i="160"/>
  <c r="L125" i="160"/>
  <c r="L124" i="160"/>
  <c r="L123" i="160"/>
  <c r="L122" i="160"/>
  <c r="L121" i="160"/>
  <c r="L120" i="160"/>
  <c r="L119" i="160"/>
  <c r="L118" i="160"/>
  <c r="L117" i="160"/>
  <c r="L116" i="160"/>
  <c r="L115" i="160"/>
  <c r="L114" i="160"/>
  <c r="L113" i="160"/>
  <c r="L112" i="160"/>
  <c r="L95" i="160"/>
  <c r="L94" i="160"/>
  <c r="L93" i="160"/>
  <c r="L92" i="160"/>
  <c r="L91" i="160"/>
  <c r="L90" i="160"/>
  <c r="L89" i="160"/>
  <c r="L88" i="160"/>
  <c r="L87" i="160"/>
  <c r="L86" i="160"/>
  <c r="L85" i="160"/>
  <c r="L84" i="160"/>
  <c r="L83" i="160"/>
  <c r="L82" i="160"/>
  <c r="L81" i="160"/>
  <c r="L80" i="160"/>
  <c r="L79" i="160"/>
  <c r="K171" i="160"/>
  <c r="M171" i="160" s="1"/>
  <c r="K170" i="160"/>
  <c r="M170" i="160" s="1"/>
  <c r="K169" i="160"/>
  <c r="M169" i="160" s="1"/>
  <c r="K168" i="160"/>
  <c r="M168" i="160" s="1"/>
  <c r="K167" i="160"/>
  <c r="M167" i="160" s="1"/>
  <c r="C167" i="160"/>
  <c r="D167" i="160" s="1"/>
  <c r="F167" i="160" s="1"/>
  <c r="K140" i="160"/>
  <c r="M140" i="160" s="1"/>
  <c r="K139" i="160"/>
  <c r="M139" i="160" s="1"/>
  <c r="K138" i="160"/>
  <c r="M138" i="160" s="1"/>
  <c r="K137" i="160"/>
  <c r="M137" i="160" s="1"/>
  <c r="K136" i="160"/>
  <c r="M136" i="160" s="1"/>
  <c r="K135" i="160"/>
  <c r="G135" i="160"/>
  <c r="C135" i="160"/>
  <c r="B135" i="160" s="1"/>
  <c r="K108" i="160"/>
  <c r="M108" i="160" s="1"/>
  <c r="K107" i="160"/>
  <c r="M107" i="160" s="1"/>
  <c r="K106" i="160"/>
  <c r="M106" i="160" s="1"/>
  <c r="K105" i="160"/>
  <c r="M105" i="160" s="1"/>
  <c r="K104" i="160"/>
  <c r="M104" i="160" s="1"/>
  <c r="K103" i="160"/>
  <c r="M103" i="160" s="1"/>
  <c r="K102" i="160"/>
  <c r="M102" i="160" s="1"/>
  <c r="G102" i="160"/>
  <c r="C102" i="160"/>
  <c r="D102" i="160" s="1"/>
  <c r="F102" i="160" s="1"/>
  <c r="K75" i="160"/>
  <c r="M75" i="160" s="1"/>
  <c r="K74" i="160"/>
  <c r="M74" i="160" s="1"/>
  <c r="K73" i="160"/>
  <c r="M73" i="160" s="1"/>
  <c r="K72" i="160"/>
  <c r="M72" i="160" s="1"/>
  <c r="K71" i="160"/>
  <c r="M71" i="160" s="1"/>
  <c r="K70" i="160"/>
  <c r="M70" i="160" s="1"/>
  <c r="K69" i="160"/>
  <c r="M69" i="160" s="1"/>
  <c r="K68" i="160"/>
  <c r="G68" i="160"/>
  <c r="C68" i="160"/>
  <c r="D68" i="160" s="1"/>
  <c r="F68" i="160" s="1"/>
  <c r="K15" i="160"/>
  <c r="L9" i="160"/>
  <c r="C15" i="160" s="1"/>
  <c r="B15" i="160" s="1"/>
  <c r="F10" i="160"/>
  <c r="F9" i="160"/>
  <c r="F7" i="160"/>
  <c r="F6" i="160"/>
  <c r="D8" i="160"/>
  <c r="D11" i="160" s="1"/>
  <c r="F4" i="160"/>
  <c r="F3" i="160"/>
  <c r="F2" i="160"/>
  <c r="L164" i="160" l="1"/>
  <c r="L190" i="160"/>
  <c r="F59" i="160" s="1"/>
  <c r="L175" i="160"/>
  <c r="F44" i="160" s="1"/>
  <c r="L179" i="160"/>
  <c r="F48" i="160" s="1"/>
  <c r="L183" i="160"/>
  <c r="F52" i="160" s="1"/>
  <c r="L187" i="160"/>
  <c r="F56" i="160" s="1"/>
  <c r="L191" i="160"/>
  <c r="F60" i="160" s="1"/>
  <c r="L176" i="160"/>
  <c r="F45" i="160" s="1"/>
  <c r="L180" i="160"/>
  <c r="F49" i="160" s="1"/>
  <c r="L184" i="160"/>
  <c r="F53" i="160" s="1"/>
  <c r="L188" i="160"/>
  <c r="F57" i="160" s="1"/>
  <c r="G167" i="160"/>
  <c r="L177" i="160"/>
  <c r="F46" i="160" s="1"/>
  <c r="L181" i="160"/>
  <c r="F50" i="160" s="1"/>
  <c r="L185" i="160"/>
  <c r="F54" i="160" s="1"/>
  <c r="L189" i="160"/>
  <c r="F58" i="160" s="1"/>
  <c r="L178" i="160"/>
  <c r="F47" i="160" s="1"/>
  <c r="L182" i="160"/>
  <c r="F51" i="160" s="1"/>
  <c r="L186" i="160"/>
  <c r="F55" i="160" s="1"/>
  <c r="B102" i="160"/>
  <c r="B167" i="160"/>
  <c r="L99" i="160"/>
  <c r="C103" i="160"/>
  <c r="B103" i="160" s="1"/>
  <c r="L132" i="160"/>
  <c r="N41" i="174"/>
  <c r="M41" i="174"/>
  <c r="K41" i="174"/>
  <c r="D69" i="160"/>
  <c r="F69" i="160" s="1"/>
  <c r="E68" i="160"/>
  <c r="C69" i="160"/>
  <c r="B69" i="160" s="1"/>
  <c r="B68" i="160"/>
  <c r="M68" i="160"/>
  <c r="D103" i="160"/>
  <c r="F103" i="160" s="1"/>
  <c r="E102" i="160"/>
  <c r="D135" i="160"/>
  <c r="F135" i="160" s="1"/>
  <c r="E167" i="160"/>
  <c r="D168" i="160"/>
  <c r="F168" i="160" s="1"/>
  <c r="M135" i="160"/>
  <c r="C168" i="160"/>
  <c r="B168" i="160" s="1"/>
  <c r="D15" i="160"/>
  <c r="F15" i="160" s="1"/>
  <c r="E8" i="160"/>
  <c r="F5" i="160"/>
  <c r="F8" i="160" s="1"/>
  <c r="F11" i="160" s="1"/>
  <c r="C8" i="160"/>
  <c r="L36" i="160" l="1"/>
  <c r="L37" i="160"/>
  <c r="G98" i="168"/>
  <c r="L35" i="160"/>
  <c r="L18" i="160"/>
  <c r="H68" i="160"/>
  <c r="H167" i="160"/>
  <c r="L195" i="160"/>
  <c r="H102" i="160"/>
  <c r="O41" i="174"/>
  <c r="E69" i="160"/>
  <c r="D70" i="160"/>
  <c r="F70" i="160" s="1"/>
  <c r="C70" i="160"/>
  <c r="B70" i="160" s="1"/>
  <c r="C169" i="160"/>
  <c r="B169" i="160" s="1"/>
  <c r="D169" i="160"/>
  <c r="F169" i="160" s="1"/>
  <c r="E168" i="160"/>
  <c r="C104" i="160"/>
  <c r="B104" i="160" s="1"/>
  <c r="E103" i="160"/>
  <c r="D104" i="160"/>
  <c r="F104" i="160" s="1"/>
  <c r="C136" i="160"/>
  <c r="B136" i="160" s="1"/>
  <c r="E135" i="160"/>
  <c r="D136" i="160"/>
  <c r="F136" i="160" s="1"/>
  <c r="E11" i="160"/>
  <c r="C16" i="160"/>
  <c r="C11" i="160"/>
  <c r="L34" i="160"/>
  <c r="L30" i="160"/>
  <c r="L26" i="160"/>
  <c r="L22" i="160"/>
  <c r="L33" i="160"/>
  <c r="L29" i="160"/>
  <c r="L25" i="160"/>
  <c r="L21" i="160"/>
  <c r="L32" i="160"/>
  <c r="L28" i="160"/>
  <c r="L24" i="160"/>
  <c r="L20" i="160"/>
  <c r="L31" i="160"/>
  <c r="L27" i="160"/>
  <c r="L23" i="160"/>
  <c r="L19" i="160"/>
  <c r="G15" i="160"/>
  <c r="E15" i="160"/>
  <c r="O102" i="160" l="1"/>
  <c r="G103" i="160" s="1"/>
  <c r="N68" i="160"/>
  <c r="N167" i="160"/>
  <c r="O68" i="160"/>
  <c r="G69" i="160" s="1"/>
  <c r="H69" i="160" s="1"/>
  <c r="N69" i="160" s="1"/>
  <c r="O167" i="160"/>
  <c r="G168" i="160" s="1"/>
  <c r="N102" i="160"/>
  <c r="D16" i="160"/>
  <c r="F16" i="160" s="1"/>
  <c r="H135" i="160"/>
  <c r="D170" i="160"/>
  <c r="F170" i="160" s="1"/>
  <c r="C170" i="160"/>
  <c r="B170" i="160" s="1"/>
  <c r="E169" i="160"/>
  <c r="D137" i="160"/>
  <c r="F137" i="160" s="1"/>
  <c r="C137" i="160"/>
  <c r="B137" i="160" s="1"/>
  <c r="E136" i="160"/>
  <c r="E104" i="160"/>
  <c r="D105" i="160"/>
  <c r="F105" i="160" s="1"/>
  <c r="C105" i="160"/>
  <c r="B105" i="160" s="1"/>
  <c r="C71" i="160"/>
  <c r="B71" i="160" s="1"/>
  <c r="E70" i="160"/>
  <c r="D71" i="160"/>
  <c r="F71" i="160" s="1"/>
  <c r="B16" i="160"/>
  <c r="H15" i="160"/>
  <c r="L39" i="160"/>
  <c r="E16" i="160" l="1"/>
  <c r="C17" i="160"/>
  <c r="B17" i="160" s="1"/>
  <c r="O135" i="160"/>
  <c r="N15" i="160"/>
  <c r="O15" i="160" s="1"/>
  <c r="G16" i="160" s="1"/>
  <c r="N135" i="160"/>
  <c r="D72" i="160"/>
  <c r="F72" i="160" s="1"/>
  <c r="C72" i="160"/>
  <c r="B72" i="160" s="1"/>
  <c r="E71" i="160"/>
  <c r="H168" i="160"/>
  <c r="O69" i="160"/>
  <c r="C106" i="160"/>
  <c r="B106" i="160" s="1"/>
  <c r="E105" i="160"/>
  <c r="D106" i="160"/>
  <c r="F106" i="160" s="1"/>
  <c r="H103" i="160"/>
  <c r="D138" i="160"/>
  <c r="F138" i="160" s="1"/>
  <c r="E137" i="160"/>
  <c r="C138" i="160"/>
  <c r="B138" i="160" s="1"/>
  <c r="C171" i="160"/>
  <c r="B171" i="160" s="1"/>
  <c r="D171" i="160"/>
  <c r="F171" i="160" s="1"/>
  <c r="E170" i="160"/>
  <c r="G136" i="160" l="1"/>
  <c r="H136" i="160" s="1"/>
  <c r="D17" i="160"/>
  <c r="O103" i="160"/>
  <c r="G104" i="160" s="1"/>
  <c r="N168" i="160"/>
  <c r="N103" i="160"/>
  <c r="O168" i="160"/>
  <c r="G169" i="160" s="1"/>
  <c r="D107" i="160"/>
  <c r="F107" i="160" s="1"/>
  <c r="E106" i="160"/>
  <c r="C107" i="160"/>
  <c r="B107" i="160" s="1"/>
  <c r="G70" i="160"/>
  <c r="E171" i="160"/>
  <c r="D172" i="160"/>
  <c r="F172" i="160" s="1"/>
  <c r="C172" i="160"/>
  <c r="B172" i="160" s="1"/>
  <c r="D73" i="160"/>
  <c r="F73" i="160" s="1"/>
  <c r="E72" i="160"/>
  <c r="C73" i="160"/>
  <c r="B73" i="160" s="1"/>
  <c r="E138" i="160"/>
  <c r="D139" i="160"/>
  <c r="F139" i="160" s="1"/>
  <c r="C139" i="160"/>
  <c r="B139" i="160" s="1"/>
  <c r="H16" i="160"/>
  <c r="F17" i="160" l="1"/>
  <c r="E17" i="160"/>
  <c r="C18" i="160"/>
  <c r="O136" i="160"/>
  <c r="N136" i="160"/>
  <c r="C108" i="160"/>
  <c r="B108" i="160" s="1"/>
  <c r="E107" i="160"/>
  <c r="D108" i="160"/>
  <c r="F108" i="160" s="1"/>
  <c r="C140" i="160"/>
  <c r="B140" i="160" s="1"/>
  <c r="E139" i="160"/>
  <c r="D140" i="160"/>
  <c r="F140" i="160" s="1"/>
  <c r="D173" i="160"/>
  <c r="F173" i="160" s="1"/>
  <c r="C173" i="160"/>
  <c r="B173" i="160" s="1"/>
  <c r="E172" i="160"/>
  <c r="H104" i="160"/>
  <c r="E73" i="160"/>
  <c r="C74" i="160"/>
  <c r="B74" i="160" s="1"/>
  <c r="D74" i="160"/>
  <c r="F74" i="160" s="1"/>
  <c r="H70" i="160"/>
  <c r="H169" i="160"/>
  <c r="N16" i="160"/>
  <c r="G137" i="160" l="1"/>
  <c r="H137" i="160" s="1"/>
  <c r="D18" i="160"/>
  <c r="C19" i="160" s="1"/>
  <c r="A43" i="160"/>
  <c r="B43" i="160" s="1"/>
  <c r="B18" i="160"/>
  <c r="O70" i="160"/>
  <c r="G71" i="160" s="1"/>
  <c r="N169" i="160"/>
  <c r="O104" i="160"/>
  <c r="G105" i="160" s="1"/>
  <c r="O169" i="160"/>
  <c r="G170" i="160" s="1"/>
  <c r="N70" i="160"/>
  <c r="C75" i="160"/>
  <c r="B75" i="160" s="1"/>
  <c r="D75" i="160"/>
  <c r="F75" i="160" s="1"/>
  <c r="E74" i="160"/>
  <c r="D141" i="160"/>
  <c r="F141" i="160" s="1"/>
  <c r="C141" i="160"/>
  <c r="B141" i="160" s="1"/>
  <c r="E140" i="160"/>
  <c r="E108" i="160"/>
  <c r="D109" i="160"/>
  <c r="F109" i="160" s="1"/>
  <c r="C109" i="160"/>
  <c r="B109" i="160" s="1"/>
  <c r="N104" i="160"/>
  <c r="D174" i="160"/>
  <c r="F174" i="160" s="1"/>
  <c r="E173" i="160"/>
  <c r="C174" i="160"/>
  <c r="B174" i="160" s="1"/>
  <c r="F18" i="160" l="1"/>
  <c r="B98" i="168"/>
  <c r="E18" i="160"/>
  <c r="A44" i="160"/>
  <c r="B44" i="160"/>
  <c r="N137" i="160"/>
  <c r="O137" i="160"/>
  <c r="H71" i="160"/>
  <c r="D76" i="160"/>
  <c r="F76" i="160" s="1"/>
  <c r="C76" i="160"/>
  <c r="B76" i="160" s="1"/>
  <c r="E75" i="160"/>
  <c r="H105" i="160"/>
  <c r="D110" i="160"/>
  <c r="F110" i="160" s="1"/>
  <c r="C110" i="160"/>
  <c r="B110" i="160" s="1"/>
  <c r="E109" i="160"/>
  <c r="C175" i="160"/>
  <c r="B175" i="160" s="1"/>
  <c r="D175" i="160"/>
  <c r="F175" i="160" s="1"/>
  <c r="E174" i="160"/>
  <c r="H170" i="160"/>
  <c r="C142" i="160"/>
  <c r="B142" i="160" s="1"/>
  <c r="E141" i="160"/>
  <c r="D142" i="160"/>
  <c r="F142" i="160" s="1"/>
  <c r="B19" i="160"/>
  <c r="D19" i="160"/>
  <c r="G138" i="160" l="1"/>
  <c r="H138" i="160" s="1"/>
  <c r="A45" i="160"/>
  <c r="B45" i="160"/>
  <c r="N170" i="160"/>
  <c r="O71" i="160"/>
  <c r="G72" i="160" s="1"/>
  <c r="F19" i="160"/>
  <c r="C98" i="168"/>
  <c r="N105" i="160"/>
  <c r="O170" i="160"/>
  <c r="G171" i="160" s="1"/>
  <c r="O105" i="160"/>
  <c r="G106" i="160" s="1"/>
  <c r="N71" i="160"/>
  <c r="E142" i="160"/>
  <c r="D143" i="160"/>
  <c r="F143" i="160" s="1"/>
  <c r="C143" i="160"/>
  <c r="B143" i="160" s="1"/>
  <c r="C77" i="160"/>
  <c r="B77" i="160" s="1"/>
  <c r="D77" i="160"/>
  <c r="F77" i="160" s="1"/>
  <c r="E76" i="160"/>
  <c r="C176" i="160"/>
  <c r="B176" i="160" s="1"/>
  <c r="E175" i="160"/>
  <c r="D176" i="160"/>
  <c r="F176" i="160" s="1"/>
  <c r="D111" i="160"/>
  <c r="F111" i="160" s="1"/>
  <c r="E110" i="160"/>
  <c r="C111" i="160"/>
  <c r="B111" i="160" s="1"/>
  <c r="C20" i="160"/>
  <c r="E19" i="160"/>
  <c r="A46" i="160" l="1"/>
  <c r="B46" i="160"/>
  <c r="N138" i="160"/>
  <c r="C112" i="160"/>
  <c r="B112" i="160" s="1"/>
  <c r="D112" i="160"/>
  <c r="F112" i="160" s="1"/>
  <c r="E111" i="160"/>
  <c r="H106" i="160"/>
  <c r="O138" i="160"/>
  <c r="E77" i="160"/>
  <c r="D78" i="160"/>
  <c r="F78" i="160" s="1"/>
  <c r="C78" i="160"/>
  <c r="B78" i="160" s="1"/>
  <c r="C177" i="160"/>
  <c r="B177" i="160" s="1"/>
  <c r="E176" i="160"/>
  <c r="D177" i="160"/>
  <c r="F177" i="160" s="1"/>
  <c r="H72" i="160"/>
  <c r="D144" i="160"/>
  <c r="F144" i="160" s="1"/>
  <c r="E143" i="160"/>
  <c r="C144" i="160"/>
  <c r="B144" i="160" s="1"/>
  <c r="H171" i="160"/>
  <c r="D20" i="160"/>
  <c r="B20" i="160"/>
  <c r="B47" i="160" l="1"/>
  <c r="A47" i="160"/>
  <c r="N171" i="160"/>
  <c r="F20" i="160"/>
  <c r="O72" i="160"/>
  <c r="G73" i="160" s="1"/>
  <c r="O171" i="160"/>
  <c r="G172" i="160" s="1"/>
  <c r="N106" i="160"/>
  <c r="N72" i="160"/>
  <c r="O106" i="160"/>
  <c r="D113" i="160"/>
  <c r="F113" i="160" s="1"/>
  <c r="E112" i="160"/>
  <c r="C113" i="160"/>
  <c r="B113" i="160" s="1"/>
  <c r="D145" i="160"/>
  <c r="F145" i="160" s="1"/>
  <c r="E144" i="160"/>
  <c r="C145" i="160"/>
  <c r="B145" i="160" s="1"/>
  <c r="D79" i="160"/>
  <c r="F79" i="160" s="1"/>
  <c r="C79" i="160"/>
  <c r="B79" i="160" s="1"/>
  <c r="E78" i="160"/>
  <c r="G139" i="160"/>
  <c r="D178" i="160"/>
  <c r="F178" i="160" s="1"/>
  <c r="E177" i="160"/>
  <c r="C178" i="160"/>
  <c r="B178" i="160" s="1"/>
  <c r="C21" i="160"/>
  <c r="E20" i="160"/>
  <c r="B48" i="160" l="1"/>
  <c r="A48" i="160"/>
  <c r="D80" i="160"/>
  <c r="F80" i="160" s="1"/>
  <c r="E79" i="160"/>
  <c r="C80" i="160"/>
  <c r="B80" i="160" s="1"/>
  <c r="E113" i="160"/>
  <c r="D114" i="160"/>
  <c r="F114" i="160" s="1"/>
  <c r="C114" i="160"/>
  <c r="B114" i="160" s="1"/>
  <c r="H172" i="160"/>
  <c r="H139" i="160"/>
  <c r="C146" i="160"/>
  <c r="B146" i="160" s="1"/>
  <c r="E145" i="160"/>
  <c r="D146" i="160"/>
  <c r="F146" i="160" s="1"/>
  <c r="C179" i="160"/>
  <c r="B179" i="160" s="1"/>
  <c r="D179" i="160"/>
  <c r="F179" i="160" s="1"/>
  <c r="E178" i="160"/>
  <c r="G107" i="160"/>
  <c r="H73" i="160"/>
  <c r="B21" i="160"/>
  <c r="D21" i="160"/>
  <c r="F21" i="160" l="1"/>
  <c r="B49" i="160"/>
  <c r="A49" i="160"/>
  <c r="O73" i="160"/>
  <c r="G74" i="160" s="1"/>
  <c r="H74" i="160" s="1"/>
  <c r="O74" i="160" s="1"/>
  <c r="G75" i="160" s="1"/>
  <c r="N139" i="160"/>
  <c r="O139" i="160"/>
  <c r="G140" i="160" s="1"/>
  <c r="N73" i="160"/>
  <c r="D147" i="160"/>
  <c r="F147" i="160" s="1"/>
  <c r="E146" i="160"/>
  <c r="C147" i="160"/>
  <c r="B147" i="160" s="1"/>
  <c r="N172" i="160"/>
  <c r="D115" i="160"/>
  <c r="F115" i="160" s="1"/>
  <c r="C115" i="160"/>
  <c r="B115" i="160" s="1"/>
  <c r="E114" i="160"/>
  <c r="H107" i="160"/>
  <c r="O107" i="160" s="1"/>
  <c r="G108" i="160" s="1"/>
  <c r="D180" i="160"/>
  <c r="F180" i="160" s="1"/>
  <c r="E179" i="160"/>
  <c r="C180" i="160"/>
  <c r="B180" i="160" s="1"/>
  <c r="O172" i="160"/>
  <c r="G173" i="160" s="1"/>
  <c r="H173" i="160" s="1"/>
  <c r="C81" i="160"/>
  <c r="B81" i="160" s="1"/>
  <c r="D81" i="160"/>
  <c r="F81" i="160" s="1"/>
  <c r="E80" i="160"/>
  <c r="C22" i="160"/>
  <c r="E21" i="160"/>
  <c r="B50" i="160" l="1"/>
  <c r="A50" i="160"/>
  <c r="N74" i="160"/>
  <c r="K172" i="160"/>
  <c r="M172" i="160" s="1"/>
  <c r="N107" i="160"/>
  <c r="H108" i="160"/>
  <c r="N108" i="160" s="1"/>
  <c r="D82" i="160"/>
  <c r="F82" i="160" s="1"/>
  <c r="E81" i="160"/>
  <c r="C82" i="160"/>
  <c r="B82" i="160" s="1"/>
  <c r="D116" i="160"/>
  <c r="F116" i="160" s="1"/>
  <c r="E115" i="160"/>
  <c r="C116" i="160"/>
  <c r="B116" i="160" s="1"/>
  <c r="N173" i="160"/>
  <c r="O173" i="160"/>
  <c r="G174" i="160" s="1"/>
  <c r="H174" i="160" s="1"/>
  <c r="C181" i="160"/>
  <c r="B181" i="160" s="1"/>
  <c r="E180" i="160"/>
  <c r="D181" i="160"/>
  <c r="F181" i="160" s="1"/>
  <c r="H75" i="160"/>
  <c r="O75" i="160" s="1"/>
  <c r="G76" i="160" s="1"/>
  <c r="H140" i="160"/>
  <c r="C148" i="160"/>
  <c r="B148" i="160" s="1"/>
  <c r="E147" i="160"/>
  <c r="D148" i="160"/>
  <c r="F148" i="160" s="1"/>
  <c r="D22" i="160"/>
  <c r="B22" i="160"/>
  <c r="F22" i="160" l="1"/>
  <c r="A51" i="160"/>
  <c r="B51" i="160"/>
  <c r="I174" i="160"/>
  <c r="O174" i="160" s="1"/>
  <c r="G175" i="160" s="1"/>
  <c r="I192" i="160"/>
  <c r="I193" i="160"/>
  <c r="I187" i="160"/>
  <c r="I182" i="160"/>
  <c r="I180" i="160"/>
  <c r="I177" i="160"/>
  <c r="I176" i="160"/>
  <c r="I181" i="160"/>
  <c r="I183" i="160"/>
  <c r="I179" i="160"/>
  <c r="I175" i="160"/>
  <c r="H195" i="160"/>
  <c r="I190" i="160"/>
  <c r="I178" i="160"/>
  <c r="I186" i="160"/>
  <c r="I189" i="160"/>
  <c r="I191" i="160"/>
  <c r="I188" i="160"/>
  <c r="I185" i="160"/>
  <c r="I184" i="160"/>
  <c r="N140" i="160"/>
  <c r="O140" i="160"/>
  <c r="G141" i="160" s="1"/>
  <c r="H141" i="160" s="1"/>
  <c r="H76" i="160"/>
  <c r="D149" i="160"/>
  <c r="F149" i="160" s="1"/>
  <c r="E148" i="160"/>
  <c r="C149" i="160"/>
  <c r="B149" i="160" s="1"/>
  <c r="C83" i="160"/>
  <c r="B83" i="160" s="1"/>
  <c r="E82" i="160"/>
  <c r="D83" i="160"/>
  <c r="F83" i="160" s="1"/>
  <c r="N75" i="160"/>
  <c r="O108" i="160"/>
  <c r="G109" i="160" s="1"/>
  <c r="C117" i="160"/>
  <c r="B117" i="160" s="1"/>
  <c r="D117" i="160"/>
  <c r="F117" i="160" s="1"/>
  <c r="E116" i="160"/>
  <c r="D182" i="160"/>
  <c r="F182" i="160" s="1"/>
  <c r="E181" i="160"/>
  <c r="C182" i="160"/>
  <c r="B182" i="160" s="1"/>
  <c r="K173" i="160"/>
  <c r="E22" i="160"/>
  <c r="C23" i="160"/>
  <c r="A52" i="160" l="1"/>
  <c r="B52" i="160"/>
  <c r="K235" i="160"/>
  <c r="I254" i="160"/>
  <c r="O235" i="160"/>
  <c r="G236" i="160" s="1"/>
  <c r="I195" i="160"/>
  <c r="K174" i="160"/>
  <c r="M174" i="160" s="1"/>
  <c r="N174" i="160"/>
  <c r="O141" i="160"/>
  <c r="G142" i="160" s="1"/>
  <c r="H142" i="160" s="1"/>
  <c r="D118" i="160"/>
  <c r="F118" i="160" s="1"/>
  <c r="C118" i="160"/>
  <c r="B118" i="160" s="1"/>
  <c r="E117" i="160"/>
  <c r="D84" i="160"/>
  <c r="F84" i="160" s="1"/>
  <c r="E83" i="160"/>
  <c r="C84" i="160"/>
  <c r="B84" i="160" s="1"/>
  <c r="N141" i="160"/>
  <c r="N76" i="160"/>
  <c r="H109" i="160"/>
  <c r="C150" i="160"/>
  <c r="B150" i="160" s="1"/>
  <c r="D150" i="160"/>
  <c r="F150" i="160" s="1"/>
  <c r="E149" i="160"/>
  <c r="M173" i="160"/>
  <c r="J175" i="160"/>
  <c r="K175" i="160" s="1"/>
  <c r="M175" i="160" s="1"/>
  <c r="O175" i="160"/>
  <c r="G176" i="160" s="1"/>
  <c r="C183" i="160"/>
  <c r="B183" i="160" s="1"/>
  <c r="D183" i="160"/>
  <c r="F183" i="160" s="1"/>
  <c r="E182" i="160"/>
  <c r="D23" i="160"/>
  <c r="F23" i="160" s="1"/>
  <c r="B23" i="160"/>
  <c r="A53" i="160" l="1"/>
  <c r="B53" i="160"/>
  <c r="J236" i="160"/>
  <c r="N236" i="160" s="1"/>
  <c r="O236" i="160"/>
  <c r="G237" i="160" s="1"/>
  <c r="M235" i="160"/>
  <c r="K141" i="160"/>
  <c r="M141" i="160" s="1"/>
  <c r="N109" i="160"/>
  <c r="K76" i="160"/>
  <c r="M76" i="160" s="1"/>
  <c r="O76" i="160"/>
  <c r="G77" i="160" s="1"/>
  <c r="H77" i="160" s="1"/>
  <c r="D184" i="160"/>
  <c r="F184" i="160" s="1"/>
  <c r="E183" i="160"/>
  <c r="C184" i="160"/>
  <c r="B184" i="160" s="1"/>
  <c r="O142" i="160"/>
  <c r="G143" i="160" s="1"/>
  <c r="H143" i="160" s="1"/>
  <c r="H164" i="160" s="1"/>
  <c r="N142" i="160"/>
  <c r="D151" i="160"/>
  <c r="F151" i="160" s="1"/>
  <c r="E150" i="160"/>
  <c r="C151" i="160"/>
  <c r="B151" i="160" s="1"/>
  <c r="N175" i="160"/>
  <c r="O176" i="160"/>
  <c r="G177" i="160" s="1"/>
  <c r="J176" i="160"/>
  <c r="K176" i="160" s="1"/>
  <c r="M176" i="160" s="1"/>
  <c r="C85" i="160"/>
  <c r="B85" i="160" s="1"/>
  <c r="E84" i="160"/>
  <c r="D85" i="160"/>
  <c r="F85" i="160" s="1"/>
  <c r="C119" i="160"/>
  <c r="B119" i="160" s="1"/>
  <c r="E118" i="160"/>
  <c r="D119" i="160"/>
  <c r="F119" i="160" s="1"/>
  <c r="E23" i="160"/>
  <c r="C24" i="160"/>
  <c r="A54" i="160" l="1"/>
  <c r="B54" i="160"/>
  <c r="J237" i="160"/>
  <c r="K237" i="160" s="1"/>
  <c r="M237" i="160" s="1"/>
  <c r="O237" i="160"/>
  <c r="G238" i="160" s="1"/>
  <c r="K236" i="160"/>
  <c r="I143" i="160"/>
  <c r="I161" i="160"/>
  <c r="I162" i="160"/>
  <c r="I154" i="160"/>
  <c r="I145" i="160"/>
  <c r="I147" i="160"/>
  <c r="I157" i="160"/>
  <c r="I152" i="160"/>
  <c r="I151" i="160"/>
  <c r="I158" i="160"/>
  <c r="I155" i="160"/>
  <c r="I153" i="160"/>
  <c r="I150" i="160"/>
  <c r="I146" i="160"/>
  <c r="I149" i="160"/>
  <c r="I144" i="160"/>
  <c r="I156" i="160"/>
  <c r="I148" i="160"/>
  <c r="I159" i="160"/>
  <c r="I160" i="160"/>
  <c r="K109" i="160"/>
  <c r="M109" i="160" s="1"/>
  <c r="O109" i="160"/>
  <c r="G110" i="160" s="1"/>
  <c r="H110" i="160" s="1"/>
  <c r="O77" i="160"/>
  <c r="G78" i="160" s="1"/>
  <c r="H78" i="160" s="1"/>
  <c r="D86" i="160"/>
  <c r="F86" i="160" s="1"/>
  <c r="C86" i="160"/>
  <c r="B86" i="160" s="1"/>
  <c r="E85" i="160"/>
  <c r="N176" i="160"/>
  <c r="J177" i="160"/>
  <c r="K177" i="160" s="1"/>
  <c r="M177" i="160" s="1"/>
  <c r="O177" i="160"/>
  <c r="G178" i="160" s="1"/>
  <c r="K142" i="160"/>
  <c r="D120" i="160"/>
  <c r="F120" i="160" s="1"/>
  <c r="E119" i="160"/>
  <c r="C120" i="160"/>
  <c r="B120" i="160" s="1"/>
  <c r="C152" i="160"/>
  <c r="B152" i="160" s="1"/>
  <c r="D152" i="160"/>
  <c r="F152" i="160" s="1"/>
  <c r="E151" i="160"/>
  <c r="D43" i="160"/>
  <c r="C185" i="160"/>
  <c r="B185" i="160" s="1"/>
  <c r="E184" i="160"/>
  <c r="D185" i="160"/>
  <c r="F185" i="160" s="1"/>
  <c r="D24" i="160"/>
  <c r="F24" i="160" s="1"/>
  <c r="B24" i="160"/>
  <c r="O143" i="160" l="1"/>
  <c r="G144" i="160" s="1"/>
  <c r="J144" i="160" s="1"/>
  <c r="I164" i="160"/>
  <c r="A55" i="160"/>
  <c r="B55" i="160"/>
  <c r="M236" i="160"/>
  <c r="I225" i="160"/>
  <c r="K206" i="160"/>
  <c r="O206" i="160"/>
  <c r="N237" i="160"/>
  <c r="O238" i="160"/>
  <c r="G239" i="160" s="1"/>
  <c r="J238" i="160"/>
  <c r="K238" i="160" s="1"/>
  <c r="M238" i="160" s="1"/>
  <c r="I86" i="160"/>
  <c r="I97" i="160"/>
  <c r="I78" i="160"/>
  <c r="I96" i="160"/>
  <c r="I93" i="160"/>
  <c r="K143" i="160"/>
  <c r="I91" i="160"/>
  <c r="I92" i="160"/>
  <c r="I82" i="160"/>
  <c r="I79" i="160"/>
  <c r="I95" i="160"/>
  <c r="I89" i="160"/>
  <c r="I80" i="160"/>
  <c r="I84" i="160"/>
  <c r="I81" i="160"/>
  <c r="I83" i="160"/>
  <c r="I94" i="160"/>
  <c r="I88" i="160"/>
  <c r="I87" i="160"/>
  <c r="I90" i="160"/>
  <c r="I85" i="160"/>
  <c r="H99" i="160"/>
  <c r="O110" i="160"/>
  <c r="G111" i="160" s="1"/>
  <c r="H111" i="160" s="1"/>
  <c r="K77" i="160"/>
  <c r="M77" i="160" s="1"/>
  <c r="N77" i="160"/>
  <c r="N143" i="160"/>
  <c r="N177" i="160"/>
  <c r="C121" i="160"/>
  <c r="B121" i="160" s="1"/>
  <c r="E120" i="160"/>
  <c r="D121" i="160"/>
  <c r="F121" i="160" s="1"/>
  <c r="O178" i="160"/>
  <c r="G179" i="160" s="1"/>
  <c r="J178" i="160"/>
  <c r="K178" i="160" s="1"/>
  <c r="M142" i="160"/>
  <c r="D186" i="160"/>
  <c r="F186" i="160" s="1"/>
  <c r="E185" i="160"/>
  <c r="C186" i="160"/>
  <c r="B186" i="160" s="1"/>
  <c r="D153" i="160"/>
  <c r="F153" i="160" s="1"/>
  <c r="E152" i="160"/>
  <c r="C153" i="160"/>
  <c r="B153" i="160" s="1"/>
  <c r="D87" i="160"/>
  <c r="F87" i="160" s="1"/>
  <c r="C87" i="160"/>
  <c r="B87" i="160" s="1"/>
  <c r="E86" i="160"/>
  <c r="C25" i="160"/>
  <c r="E24" i="160"/>
  <c r="O144" i="160" l="1"/>
  <c r="G145" i="160" s="1"/>
  <c r="O145" i="160" s="1"/>
  <c r="G146" i="160" s="1"/>
  <c r="M143" i="160"/>
  <c r="K144" i="160"/>
  <c r="M144" i="160" s="1"/>
  <c r="O78" i="160"/>
  <c r="G79" i="160" s="1"/>
  <c r="J79" i="160" s="1"/>
  <c r="B56" i="160"/>
  <c r="A56" i="160"/>
  <c r="O239" i="160"/>
  <c r="G240" i="160" s="1"/>
  <c r="J239" i="160"/>
  <c r="K239" i="160" s="1"/>
  <c r="M239" i="160" s="1"/>
  <c r="M206" i="160"/>
  <c r="N238" i="160"/>
  <c r="G207" i="160"/>
  <c r="I115" i="160"/>
  <c r="C47" i="160" s="1"/>
  <c r="I111" i="160"/>
  <c r="C43" i="160" s="1"/>
  <c r="I129" i="160"/>
  <c r="C61" i="160" s="1"/>
  <c r="I130" i="160"/>
  <c r="C62" i="160" s="1"/>
  <c r="I128" i="160"/>
  <c r="C60" i="160" s="1"/>
  <c r="I112" i="160"/>
  <c r="C44" i="160" s="1"/>
  <c r="I99" i="160"/>
  <c r="I114" i="160"/>
  <c r="C46" i="160" s="1"/>
  <c r="I127" i="160"/>
  <c r="C59" i="160" s="1"/>
  <c r="I121" i="160"/>
  <c r="C53" i="160" s="1"/>
  <c r="I119" i="160"/>
  <c r="C51" i="160" s="1"/>
  <c r="I116" i="160"/>
  <c r="C48" i="160" s="1"/>
  <c r="I120" i="160"/>
  <c r="C52" i="160" s="1"/>
  <c r="I126" i="160"/>
  <c r="C58" i="160" s="1"/>
  <c r="I118" i="160"/>
  <c r="C50" i="160" s="1"/>
  <c r="H132" i="160"/>
  <c r="I117" i="160"/>
  <c r="C49" i="160" s="1"/>
  <c r="I125" i="160"/>
  <c r="C57" i="160" s="1"/>
  <c r="I123" i="160"/>
  <c r="C55" i="160" s="1"/>
  <c r="I122" i="160"/>
  <c r="C54" i="160" s="1"/>
  <c r="I124" i="160"/>
  <c r="C56" i="160" s="1"/>
  <c r="I113" i="160"/>
  <c r="C45" i="160" s="1"/>
  <c r="K78" i="160"/>
  <c r="N78" i="160"/>
  <c r="K110" i="160"/>
  <c r="M110" i="160" s="1"/>
  <c r="N110" i="160"/>
  <c r="M178" i="160"/>
  <c r="N178" i="160"/>
  <c r="N144" i="160"/>
  <c r="D88" i="160"/>
  <c r="F88" i="160" s="1"/>
  <c r="E87" i="160"/>
  <c r="C88" i="160"/>
  <c r="B88" i="160" s="1"/>
  <c r="J179" i="160"/>
  <c r="K179" i="160" s="1"/>
  <c r="M179" i="160" s="1"/>
  <c r="O179" i="160"/>
  <c r="G180" i="160" s="1"/>
  <c r="C154" i="160"/>
  <c r="B154" i="160" s="1"/>
  <c r="E153" i="160"/>
  <c r="D154" i="160"/>
  <c r="F154" i="160" s="1"/>
  <c r="C187" i="160"/>
  <c r="B187" i="160" s="1"/>
  <c r="D187" i="160"/>
  <c r="F187" i="160" s="1"/>
  <c r="E186" i="160"/>
  <c r="D122" i="160"/>
  <c r="F122" i="160" s="1"/>
  <c r="C122" i="160"/>
  <c r="B122" i="160" s="1"/>
  <c r="E121" i="160"/>
  <c r="B25" i="160"/>
  <c r="D25" i="160"/>
  <c r="F25" i="160" s="1"/>
  <c r="J145" i="160" l="1"/>
  <c r="K145" i="160" s="1"/>
  <c r="O79" i="160"/>
  <c r="G80" i="160" s="1"/>
  <c r="J80" i="160" s="1"/>
  <c r="B57" i="160"/>
  <c r="A57" i="160"/>
  <c r="M78" i="160"/>
  <c r="N239" i="160"/>
  <c r="O207" i="160"/>
  <c r="J207" i="160"/>
  <c r="J240" i="160"/>
  <c r="N240" i="160" s="1"/>
  <c r="O240" i="160"/>
  <c r="G241" i="160" s="1"/>
  <c r="O111" i="160"/>
  <c r="G112" i="160" s="1"/>
  <c r="J112" i="160" s="1"/>
  <c r="I132" i="160"/>
  <c r="K79" i="160"/>
  <c r="N79" i="160"/>
  <c r="K111" i="160"/>
  <c r="M111" i="160" s="1"/>
  <c r="N111" i="160"/>
  <c r="M145" i="160"/>
  <c r="D188" i="160"/>
  <c r="F188" i="160" s="1"/>
  <c r="E187" i="160"/>
  <c r="C188" i="160"/>
  <c r="B188" i="160" s="1"/>
  <c r="J146" i="160"/>
  <c r="O146" i="160"/>
  <c r="G147" i="160" s="1"/>
  <c r="N179" i="160"/>
  <c r="D123" i="160"/>
  <c r="F123" i="160" s="1"/>
  <c r="E122" i="160"/>
  <c r="C123" i="160"/>
  <c r="B123" i="160" s="1"/>
  <c r="N145" i="160"/>
  <c r="D155" i="160"/>
  <c r="F155" i="160" s="1"/>
  <c r="E154" i="160"/>
  <c r="C155" i="160"/>
  <c r="B155" i="160" s="1"/>
  <c r="O180" i="160"/>
  <c r="G181" i="160" s="1"/>
  <c r="J180" i="160"/>
  <c r="K180" i="160" s="1"/>
  <c r="M180" i="160" s="1"/>
  <c r="C89" i="160"/>
  <c r="B89" i="160" s="1"/>
  <c r="E88" i="160"/>
  <c r="D89" i="160"/>
  <c r="F89" i="160" s="1"/>
  <c r="C26" i="160"/>
  <c r="E25" i="160"/>
  <c r="O80" i="160" l="1"/>
  <c r="G81" i="160" s="1"/>
  <c r="J81" i="160" s="1"/>
  <c r="B58" i="160"/>
  <c r="A58" i="160"/>
  <c r="M79" i="160"/>
  <c r="E43" i="160"/>
  <c r="B100" i="168" s="1"/>
  <c r="D44" i="160"/>
  <c r="J241" i="160"/>
  <c r="K241" i="160" s="1"/>
  <c r="M241" i="160" s="1"/>
  <c r="O241" i="160"/>
  <c r="G242" i="160" s="1"/>
  <c r="N207" i="160"/>
  <c r="K207" i="160"/>
  <c r="G208" i="160"/>
  <c r="K240" i="160"/>
  <c r="O112" i="160"/>
  <c r="G113" i="160" s="1"/>
  <c r="J113" i="160" s="1"/>
  <c r="K112" i="160"/>
  <c r="M112" i="160" s="1"/>
  <c r="N112" i="160"/>
  <c r="K80" i="160"/>
  <c r="N80" i="160"/>
  <c r="K146" i="160"/>
  <c r="N180" i="160"/>
  <c r="C90" i="160"/>
  <c r="B90" i="160" s="1"/>
  <c r="E89" i="160"/>
  <c r="D90" i="160"/>
  <c r="F90" i="160" s="1"/>
  <c r="O147" i="160"/>
  <c r="G148" i="160" s="1"/>
  <c r="J147" i="160"/>
  <c r="K147" i="160" s="1"/>
  <c r="M147" i="160" s="1"/>
  <c r="J181" i="160"/>
  <c r="K181" i="160" s="1"/>
  <c r="M181" i="160" s="1"/>
  <c r="O181" i="160"/>
  <c r="G182" i="160" s="1"/>
  <c r="C156" i="160"/>
  <c r="B156" i="160" s="1"/>
  <c r="D156" i="160"/>
  <c r="F156" i="160" s="1"/>
  <c r="E155" i="160"/>
  <c r="D124" i="160"/>
  <c r="F124" i="160" s="1"/>
  <c r="E123" i="160"/>
  <c r="C124" i="160"/>
  <c r="B124" i="160" s="1"/>
  <c r="N146" i="160"/>
  <c r="C189" i="160"/>
  <c r="B189" i="160" s="1"/>
  <c r="E188" i="160"/>
  <c r="D189" i="160"/>
  <c r="F189" i="160" s="1"/>
  <c r="B26" i="160"/>
  <c r="D26" i="160"/>
  <c r="F26" i="160" s="1"/>
  <c r="O81" i="160" l="1"/>
  <c r="G82" i="160" s="1"/>
  <c r="J82" i="160" s="1"/>
  <c r="O113" i="160"/>
  <c r="G114" i="160" s="1"/>
  <c r="J114" i="160" s="1"/>
  <c r="E44" i="160"/>
  <c r="C100" i="168" s="1"/>
  <c r="M80" i="160"/>
  <c r="D45" i="160"/>
  <c r="B59" i="160"/>
  <c r="A59" i="160"/>
  <c r="N241" i="160"/>
  <c r="O208" i="160"/>
  <c r="J208" i="160"/>
  <c r="N208" i="160" s="1"/>
  <c r="M207" i="160"/>
  <c r="O242" i="160"/>
  <c r="G243" i="160" s="1"/>
  <c r="J242" i="160"/>
  <c r="M240" i="160"/>
  <c r="K81" i="160"/>
  <c r="N81" i="160"/>
  <c r="K113" i="160"/>
  <c r="M113" i="160" s="1"/>
  <c r="N113" i="160"/>
  <c r="M146" i="160"/>
  <c r="C157" i="160"/>
  <c r="B157" i="160" s="1"/>
  <c r="D157" i="160"/>
  <c r="F157" i="160" s="1"/>
  <c r="E156" i="160"/>
  <c r="N181" i="160"/>
  <c r="C91" i="160"/>
  <c r="B91" i="160" s="1"/>
  <c r="E90" i="160"/>
  <c r="D91" i="160"/>
  <c r="F91" i="160" s="1"/>
  <c r="C125" i="160"/>
  <c r="B125" i="160" s="1"/>
  <c r="E124" i="160"/>
  <c r="D125" i="160"/>
  <c r="F125" i="160" s="1"/>
  <c r="D190" i="160"/>
  <c r="F190" i="160" s="1"/>
  <c r="E189" i="160"/>
  <c r="C190" i="160"/>
  <c r="B190" i="160" s="1"/>
  <c r="O182" i="160"/>
  <c r="G183" i="160" s="1"/>
  <c r="J182" i="160"/>
  <c r="K182" i="160" s="1"/>
  <c r="M182" i="160" s="1"/>
  <c r="N147" i="160"/>
  <c r="J148" i="160"/>
  <c r="K148" i="160" s="1"/>
  <c r="M148" i="160" s="1"/>
  <c r="O148" i="160"/>
  <c r="G149" i="160" s="1"/>
  <c r="E26" i="160"/>
  <c r="C27" i="160"/>
  <c r="O82" i="160" l="1"/>
  <c r="G83" i="160" s="1"/>
  <c r="J83" i="160" s="1"/>
  <c r="O114" i="160"/>
  <c r="G115" i="160" s="1"/>
  <c r="O115" i="160" s="1"/>
  <c r="G116" i="160" s="1"/>
  <c r="M81" i="160"/>
  <c r="D46" i="160"/>
  <c r="E45" i="160"/>
  <c r="D100" i="168" s="1"/>
  <c r="A60" i="160"/>
  <c r="B60" i="160"/>
  <c r="N242" i="160"/>
  <c r="K242" i="160"/>
  <c r="K208" i="160"/>
  <c r="O243" i="160"/>
  <c r="G244" i="160" s="1"/>
  <c r="J243" i="160"/>
  <c r="K243" i="160" s="1"/>
  <c r="M243" i="160" s="1"/>
  <c r="G209" i="160"/>
  <c r="J115" i="160"/>
  <c r="D47" i="160" s="1"/>
  <c r="K82" i="160"/>
  <c r="N82" i="160"/>
  <c r="K114" i="160"/>
  <c r="M114" i="160" s="1"/>
  <c r="N114" i="160"/>
  <c r="N182" i="160"/>
  <c r="N148" i="160"/>
  <c r="O149" i="160"/>
  <c r="G150" i="160" s="1"/>
  <c r="J149" i="160"/>
  <c r="K149" i="160" s="1"/>
  <c r="M149" i="160" s="1"/>
  <c r="D92" i="160"/>
  <c r="F92" i="160" s="1"/>
  <c r="E91" i="160"/>
  <c r="C92" i="160"/>
  <c r="B92" i="160" s="1"/>
  <c r="C126" i="160"/>
  <c r="B126" i="160" s="1"/>
  <c r="E125" i="160"/>
  <c r="D126" i="160"/>
  <c r="F126" i="160" s="1"/>
  <c r="C158" i="160"/>
  <c r="B158" i="160" s="1"/>
  <c r="E157" i="160"/>
  <c r="D158" i="160"/>
  <c r="F158" i="160" s="1"/>
  <c r="J183" i="160"/>
  <c r="K183" i="160" s="1"/>
  <c r="M183" i="160" s="1"/>
  <c r="O183" i="160"/>
  <c r="G184" i="160" s="1"/>
  <c r="C191" i="160"/>
  <c r="B191" i="160" s="1"/>
  <c r="D191" i="160"/>
  <c r="E190" i="160"/>
  <c r="D27" i="160"/>
  <c r="F27" i="160" s="1"/>
  <c r="B27" i="160"/>
  <c r="O83" i="160" l="1"/>
  <c r="G84" i="160" s="1"/>
  <c r="O84" i="160" s="1"/>
  <c r="G85" i="160" s="1"/>
  <c r="E46" i="160"/>
  <c r="E100" i="168" s="1"/>
  <c r="M82" i="160"/>
  <c r="B61" i="160"/>
  <c r="A61" i="160"/>
  <c r="N243" i="160"/>
  <c r="M208" i="160"/>
  <c r="F191" i="160"/>
  <c r="C192" i="160"/>
  <c r="B192" i="160" s="1"/>
  <c r="D192" i="160"/>
  <c r="O244" i="160"/>
  <c r="G245" i="160" s="1"/>
  <c r="J244" i="160"/>
  <c r="K244" i="160" s="1"/>
  <c r="M244" i="160" s="1"/>
  <c r="M242" i="160"/>
  <c r="O209" i="160"/>
  <c r="J209" i="160"/>
  <c r="N209" i="160" s="1"/>
  <c r="J116" i="160"/>
  <c r="O116" i="160"/>
  <c r="G117" i="160" s="1"/>
  <c r="K83" i="160"/>
  <c r="N83" i="160"/>
  <c r="K115" i="160"/>
  <c r="M115" i="160" s="1"/>
  <c r="N115" i="160"/>
  <c r="O184" i="160"/>
  <c r="G185" i="160" s="1"/>
  <c r="J184" i="160"/>
  <c r="K184" i="160" s="1"/>
  <c r="M184" i="160" s="1"/>
  <c r="C93" i="160"/>
  <c r="B93" i="160" s="1"/>
  <c r="D93" i="160"/>
  <c r="F93" i="160" s="1"/>
  <c r="E92" i="160"/>
  <c r="E191" i="160"/>
  <c r="D127" i="160"/>
  <c r="E126" i="160"/>
  <c r="C127" i="160"/>
  <c r="B127" i="160" s="1"/>
  <c r="N183" i="160"/>
  <c r="N149" i="160"/>
  <c r="D159" i="160"/>
  <c r="F159" i="160" s="1"/>
  <c r="E158" i="160"/>
  <c r="C159" i="160"/>
  <c r="B159" i="160" s="1"/>
  <c r="J150" i="160"/>
  <c r="K150" i="160" s="1"/>
  <c r="M150" i="160" s="1"/>
  <c r="O150" i="160"/>
  <c r="G151" i="160" s="1"/>
  <c r="E27" i="160"/>
  <c r="C28" i="160"/>
  <c r="J84" i="160" l="1"/>
  <c r="K84" i="160" s="1"/>
  <c r="D48" i="160"/>
  <c r="A62" i="160"/>
  <c r="B62" i="160"/>
  <c r="M83" i="160"/>
  <c r="E47" i="160"/>
  <c r="G210" i="160"/>
  <c r="J245" i="160"/>
  <c r="K245" i="160" s="1"/>
  <c r="M245" i="160" s="1"/>
  <c r="O245" i="160"/>
  <c r="G246" i="160" s="1"/>
  <c r="F192" i="160"/>
  <c r="D193" i="160"/>
  <c r="C193" i="160"/>
  <c r="B193" i="160" s="1"/>
  <c r="E192" i="160"/>
  <c r="K209" i="160"/>
  <c r="N244" i="160"/>
  <c r="F127" i="160"/>
  <c r="D128" i="160"/>
  <c r="C128" i="160"/>
  <c r="B128" i="160" s="1"/>
  <c r="J117" i="160"/>
  <c r="O117" i="160"/>
  <c r="G118" i="160" s="1"/>
  <c r="K116" i="160"/>
  <c r="M116" i="160" s="1"/>
  <c r="N116" i="160"/>
  <c r="O85" i="160"/>
  <c r="G86" i="160" s="1"/>
  <c r="J85" i="160"/>
  <c r="N184" i="160"/>
  <c r="N150" i="160"/>
  <c r="C160" i="160"/>
  <c r="B160" i="160" s="1"/>
  <c r="D160" i="160"/>
  <c r="E159" i="160"/>
  <c r="O151" i="160"/>
  <c r="G152" i="160" s="1"/>
  <c r="J151" i="160"/>
  <c r="K151" i="160" s="1"/>
  <c r="M151" i="160" s="1"/>
  <c r="D94" i="160"/>
  <c r="F94" i="160" s="1"/>
  <c r="E93" i="160"/>
  <c r="C94" i="160"/>
  <c r="B94" i="160" s="1"/>
  <c r="E127" i="160"/>
  <c r="J185" i="160"/>
  <c r="K185" i="160" s="1"/>
  <c r="M185" i="160" s="1"/>
  <c r="O185" i="160"/>
  <c r="G186" i="160" s="1"/>
  <c r="D28" i="160"/>
  <c r="F28" i="160" s="1"/>
  <c r="B28" i="160"/>
  <c r="N84" i="160" l="1"/>
  <c r="M84" i="160"/>
  <c r="E48" i="160"/>
  <c r="J246" i="160"/>
  <c r="K246" i="160" s="1"/>
  <c r="M246" i="160" s="1"/>
  <c r="O246" i="160"/>
  <c r="G247" i="160" s="1"/>
  <c r="M209" i="160"/>
  <c r="E193" i="160"/>
  <c r="F193" i="160"/>
  <c r="N245" i="160"/>
  <c r="O210" i="160"/>
  <c r="J210" i="160"/>
  <c r="D49" i="160" s="1"/>
  <c r="F160" i="160"/>
  <c r="D161" i="160"/>
  <c r="C161" i="160"/>
  <c r="B161" i="160" s="1"/>
  <c r="F128" i="160"/>
  <c r="D129" i="160"/>
  <c r="E128" i="160"/>
  <c r="C129" i="160"/>
  <c r="B129" i="160" s="1"/>
  <c r="K85" i="160"/>
  <c r="N85" i="160"/>
  <c r="O86" i="160"/>
  <c r="G87" i="160" s="1"/>
  <c r="J86" i="160"/>
  <c r="O118" i="160"/>
  <c r="G119" i="160" s="1"/>
  <c r="J118" i="160"/>
  <c r="K117" i="160"/>
  <c r="M117" i="160" s="1"/>
  <c r="N117" i="160"/>
  <c r="N151" i="160"/>
  <c r="E160" i="160"/>
  <c r="N185" i="160"/>
  <c r="C95" i="160"/>
  <c r="B95" i="160" s="1"/>
  <c r="E94" i="160"/>
  <c r="D95" i="160"/>
  <c r="O186" i="160"/>
  <c r="G187" i="160" s="1"/>
  <c r="J186" i="160"/>
  <c r="K186" i="160" s="1"/>
  <c r="M186" i="160" s="1"/>
  <c r="J152" i="160"/>
  <c r="K152" i="160" s="1"/>
  <c r="M152" i="160" s="1"/>
  <c r="O152" i="160"/>
  <c r="G153" i="160" s="1"/>
  <c r="C29" i="160"/>
  <c r="E28" i="160"/>
  <c r="M85" i="160" l="1"/>
  <c r="N246" i="160"/>
  <c r="N210" i="160"/>
  <c r="K210" i="160"/>
  <c r="E49" i="160" s="1"/>
  <c r="J247" i="160"/>
  <c r="K247" i="160" s="1"/>
  <c r="M247" i="160" s="1"/>
  <c r="O247" i="160"/>
  <c r="G248" i="160" s="1"/>
  <c r="G211" i="160"/>
  <c r="F161" i="160"/>
  <c r="C162" i="160"/>
  <c r="B162" i="160" s="1"/>
  <c r="E161" i="160"/>
  <c r="D162" i="160"/>
  <c r="F129" i="160"/>
  <c r="E129" i="160"/>
  <c r="D130" i="160"/>
  <c r="C130" i="160"/>
  <c r="B130" i="160" s="1"/>
  <c r="F95" i="160"/>
  <c r="D96" i="160"/>
  <c r="C96" i="160"/>
  <c r="B96" i="160" s="1"/>
  <c r="K118" i="160"/>
  <c r="M118" i="160" s="1"/>
  <c r="N118" i="160"/>
  <c r="J87" i="160"/>
  <c r="O87" i="160"/>
  <c r="G88" i="160" s="1"/>
  <c r="J119" i="160"/>
  <c r="O119" i="160"/>
  <c r="G120" i="160" s="1"/>
  <c r="K86" i="160"/>
  <c r="N86" i="160"/>
  <c r="N186" i="160"/>
  <c r="N152" i="160"/>
  <c r="E95" i="160"/>
  <c r="O153" i="160"/>
  <c r="G154" i="160" s="1"/>
  <c r="J153" i="160"/>
  <c r="K153" i="160" s="1"/>
  <c r="M153" i="160" s="1"/>
  <c r="J187" i="160"/>
  <c r="K187" i="160" s="1"/>
  <c r="M187" i="160" s="1"/>
  <c r="O187" i="160"/>
  <c r="G188" i="160" s="1"/>
  <c r="B29" i="160"/>
  <c r="D29" i="160"/>
  <c r="F29" i="160" s="1"/>
  <c r="M86" i="160" l="1"/>
  <c r="O211" i="160"/>
  <c r="G212" i="160" s="1"/>
  <c r="J211" i="160"/>
  <c r="J248" i="160"/>
  <c r="K248" i="160" s="1"/>
  <c r="M248" i="160" s="1"/>
  <c r="O248" i="160"/>
  <c r="G249" i="160" s="1"/>
  <c r="M210" i="160"/>
  <c r="N247" i="160"/>
  <c r="F162" i="160"/>
  <c r="E162" i="160"/>
  <c r="F130" i="160"/>
  <c r="E130" i="160"/>
  <c r="E96" i="160"/>
  <c r="C97" i="160"/>
  <c r="B97" i="160" s="1"/>
  <c r="D97" i="160"/>
  <c r="F96" i="160"/>
  <c r="N153" i="160"/>
  <c r="K87" i="160"/>
  <c r="N87" i="160"/>
  <c r="O88" i="160"/>
  <c r="G89" i="160" s="1"/>
  <c r="J88" i="160"/>
  <c r="O120" i="160"/>
  <c r="G121" i="160" s="1"/>
  <c r="J120" i="160"/>
  <c r="K120" i="160" s="1"/>
  <c r="M120" i="160" s="1"/>
  <c r="K119" i="160"/>
  <c r="M119" i="160" s="1"/>
  <c r="N119" i="160"/>
  <c r="N187" i="160"/>
  <c r="O188" i="160"/>
  <c r="G189" i="160" s="1"/>
  <c r="J188" i="160"/>
  <c r="K188" i="160" s="1"/>
  <c r="M188" i="160" s="1"/>
  <c r="J154" i="160"/>
  <c r="K154" i="160" s="1"/>
  <c r="M154" i="160" s="1"/>
  <c r="O154" i="160"/>
  <c r="G155" i="160" s="1"/>
  <c r="C30" i="160"/>
  <c r="E29" i="160"/>
  <c r="N88" i="160" l="1"/>
  <c r="N211" i="160"/>
  <c r="D50" i="160"/>
  <c r="M87" i="160"/>
  <c r="N248" i="160"/>
  <c r="J249" i="160"/>
  <c r="K249" i="160" s="1"/>
  <c r="M249" i="160" s="1"/>
  <c r="O249" i="160"/>
  <c r="G250" i="160" s="1"/>
  <c r="K211" i="160"/>
  <c r="J212" i="160"/>
  <c r="D51" i="160" s="1"/>
  <c r="O212" i="160"/>
  <c r="G213" i="160" s="1"/>
  <c r="E97" i="160"/>
  <c r="F97" i="160"/>
  <c r="O89" i="160"/>
  <c r="G90" i="160" s="1"/>
  <c r="J89" i="160"/>
  <c r="N120" i="160"/>
  <c r="J121" i="160"/>
  <c r="O121" i="160"/>
  <c r="G122" i="160" s="1"/>
  <c r="K88" i="160"/>
  <c r="N188" i="160"/>
  <c r="N154" i="160"/>
  <c r="O155" i="160"/>
  <c r="G156" i="160" s="1"/>
  <c r="J155" i="160"/>
  <c r="K155" i="160" s="1"/>
  <c r="M155" i="160" s="1"/>
  <c r="J189" i="160"/>
  <c r="K189" i="160" s="1"/>
  <c r="M189" i="160" s="1"/>
  <c r="O189" i="160"/>
  <c r="G190" i="160" s="1"/>
  <c r="B30" i="160"/>
  <c r="D30" i="160"/>
  <c r="F30" i="160" s="1"/>
  <c r="M88" i="160" l="1"/>
  <c r="M211" i="160"/>
  <c r="E50" i="160"/>
  <c r="N89" i="160"/>
  <c r="N249" i="160"/>
  <c r="N212" i="160"/>
  <c r="K212" i="160"/>
  <c r="O250" i="160"/>
  <c r="G251" i="160" s="1"/>
  <c r="J250" i="160"/>
  <c r="K250" i="160" s="1"/>
  <c r="M250" i="160" s="1"/>
  <c r="O213" i="160"/>
  <c r="G214" i="160" s="1"/>
  <c r="J213" i="160"/>
  <c r="K121" i="160"/>
  <c r="M121" i="160" s="1"/>
  <c r="N121" i="160"/>
  <c r="K89" i="160"/>
  <c r="J122" i="160"/>
  <c r="K122" i="160" s="1"/>
  <c r="M122" i="160" s="1"/>
  <c r="O122" i="160"/>
  <c r="G123" i="160" s="1"/>
  <c r="O90" i="160"/>
  <c r="G91" i="160" s="1"/>
  <c r="J90" i="160"/>
  <c r="N189" i="160"/>
  <c r="O190" i="160"/>
  <c r="G191" i="160" s="1"/>
  <c r="J190" i="160"/>
  <c r="K190" i="160" s="1"/>
  <c r="M190" i="160" s="1"/>
  <c r="N155" i="160"/>
  <c r="J156" i="160"/>
  <c r="K156" i="160" s="1"/>
  <c r="M156" i="160" s="1"/>
  <c r="O156" i="160"/>
  <c r="G157" i="160" s="1"/>
  <c r="E30" i="160"/>
  <c r="C31" i="160"/>
  <c r="K213" i="160" l="1"/>
  <c r="D52" i="160"/>
  <c r="M212" i="160"/>
  <c r="E51" i="160"/>
  <c r="M89" i="160"/>
  <c r="N250" i="160"/>
  <c r="N213" i="160"/>
  <c r="J251" i="160"/>
  <c r="K251" i="160" s="1"/>
  <c r="M251" i="160" s="1"/>
  <c r="O251" i="160"/>
  <c r="G252" i="160" s="1"/>
  <c r="J214" i="160"/>
  <c r="O214" i="160"/>
  <c r="G215" i="160" s="1"/>
  <c r="N122" i="160"/>
  <c r="K90" i="160"/>
  <c r="N90" i="160"/>
  <c r="O91" i="160"/>
  <c r="G92" i="160" s="1"/>
  <c r="J91" i="160"/>
  <c r="J123" i="160"/>
  <c r="O123" i="160"/>
  <c r="G124" i="160" s="1"/>
  <c r="N190" i="160"/>
  <c r="N156" i="160"/>
  <c r="O157" i="160"/>
  <c r="G158" i="160" s="1"/>
  <c r="J157" i="160"/>
  <c r="K157" i="160" s="1"/>
  <c r="M157" i="160" s="1"/>
  <c r="J191" i="160"/>
  <c r="O191" i="160"/>
  <c r="D31" i="160"/>
  <c r="F31" i="160" s="1"/>
  <c r="B31" i="160"/>
  <c r="M90" i="160" l="1"/>
  <c r="M213" i="160"/>
  <c r="E52" i="160"/>
  <c r="K214" i="160"/>
  <c r="D53" i="160"/>
  <c r="N251" i="160"/>
  <c r="N214" i="160"/>
  <c r="J252" i="160"/>
  <c r="K252" i="160" s="1"/>
  <c r="M252" i="160" s="1"/>
  <c r="O252" i="160"/>
  <c r="J215" i="160"/>
  <c r="O215" i="160"/>
  <c r="G216" i="160" s="1"/>
  <c r="G192" i="160"/>
  <c r="J92" i="160"/>
  <c r="O92" i="160"/>
  <c r="G93" i="160" s="1"/>
  <c r="O124" i="160"/>
  <c r="G125" i="160" s="1"/>
  <c r="J124" i="160"/>
  <c r="K124" i="160" s="1"/>
  <c r="M124" i="160" s="1"/>
  <c r="K123" i="160"/>
  <c r="M123" i="160" s="1"/>
  <c r="N123" i="160"/>
  <c r="K91" i="160"/>
  <c r="N91" i="160"/>
  <c r="K191" i="160"/>
  <c r="N157" i="160"/>
  <c r="N191" i="160"/>
  <c r="J158" i="160"/>
  <c r="K158" i="160" s="1"/>
  <c r="M158" i="160" s="1"/>
  <c r="O158" i="160"/>
  <c r="G159" i="160" s="1"/>
  <c r="E31" i="160"/>
  <c r="C32" i="160"/>
  <c r="M91" i="160" l="1"/>
  <c r="M214" i="160"/>
  <c r="E53" i="160"/>
  <c r="K215" i="160"/>
  <c r="D54" i="160"/>
  <c r="J216" i="160"/>
  <c r="O216" i="160"/>
  <c r="G217" i="160" s="1"/>
  <c r="N252" i="160"/>
  <c r="N215" i="160"/>
  <c r="O192" i="160"/>
  <c r="J192" i="160"/>
  <c r="J93" i="160"/>
  <c r="O93" i="160"/>
  <c r="G94" i="160" s="1"/>
  <c r="K92" i="160"/>
  <c r="N92" i="160"/>
  <c r="J125" i="160"/>
  <c r="K125" i="160" s="1"/>
  <c r="M125" i="160" s="1"/>
  <c r="O125" i="160"/>
  <c r="G126" i="160" s="1"/>
  <c r="N124" i="160"/>
  <c r="M191" i="160"/>
  <c r="O159" i="160"/>
  <c r="G160" i="160" s="1"/>
  <c r="J159" i="160"/>
  <c r="K159" i="160" s="1"/>
  <c r="M159" i="160" s="1"/>
  <c r="N158" i="160"/>
  <c r="D32" i="160"/>
  <c r="F32" i="160" s="1"/>
  <c r="B32" i="160"/>
  <c r="M92" i="160" l="1"/>
  <c r="M215" i="160"/>
  <c r="E54" i="160"/>
  <c r="K216" i="160"/>
  <c r="D55" i="160"/>
  <c r="N216" i="160"/>
  <c r="O254" i="160"/>
  <c r="G254" i="160"/>
  <c r="J217" i="160"/>
  <c r="O217" i="160"/>
  <c r="G218" i="160" s="1"/>
  <c r="K192" i="160"/>
  <c r="N192" i="160"/>
  <c r="G193" i="160"/>
  <c r="J126" i="160"/>
  <c r="O126" i="160"/>
  <c r="G127" i="160" s="1"/>
  <c r="J94" i="160"/>
  <c r="O94" i="160"/>
  <c r="G95" i="160" s="1"/>
  <c r="K93" i="160"/>
  <c r="N93" i="160"/>
  <c r="N125" i="160"/>
  <c r="O160" i="160"/>
  <c r="J160" i="160"/>
  <c r="N160" i="160" s="1"/>
  <c r="N159" i="160"/>
  <c r="C33" i="160"/>
  <c r="E32" i="160"/>
  <c r="M216" i="160" l="1"/>
  <c r="E55" i="160"/>
  <c r="K217" i="160"/>
  <c r="D56" i="160"/>
  <c r="M93" i="160"/>
  <c r="N217" i="160"/>
  <c r="J218" i="160"/>
  <c r="O218" i="160"/>
  <c r="G219" i="160" s="1"/>
  <c r="N254" i="160"/>
  <c r="J254" i="160"/>
  <c r="J193" i="160"/>
  <c r="O193" i="160"/>
  <c r="O195" i="160" s="1"/>
  <c r="G195" i="160"/>
  <c r="M192" i="160"/>
  <c r="G161" i="160"/>
  <c r="K94" i="160"/>
  <c r="N94" i="160"/>
  <c r="J127" i="160"/>
  <c r="O127" i="160"/>
  <c r="G128" i="160" s="1"/>
  <c r="J95" i="160"/>
  <c r="O95" i="160"/>
  <c r="K126" i="160"/>
  <c r="M126" i="160" s="1"/>
  <c r="N126" i="160"/>
  <c r="K160" i="160"/>
  <c r="B33" i="160"/>
  <c r="D33" i="160"/>
  <c r="F33" i="160" s="1"/>
  <c r="K218" i="160" l="1"/>
  <c r="D57" i="160"/>
  <c r="M94" i="160"/>
  <c r="M217" i="160"/>
  <c r="E56" i="160"/>
  <c r="N218" i="160"/>
  <c r="J219" i="160"/>
  <c r="O219" i="160"/>
  <c r="G220" i="160" s="1"/>
  <c r="M254" i="160"/>
  <c r="K254" i="160"/>
  <c r="K193" i="160"/>
  <c r="J195" i="160"/>
  <c r="N193" i="160"/>
  <c r="N195" i="160" s="1"/>
  <c r="O161" i="160"/>
  <c r="G162" i="160" s="1"/>
  <c r="G164" i="160" s="1"/>
  <c r="J161" i="160"/>
  <c r="K161" i="160" s="1"/>
  <c r="M161" i="160" s="1"/>
  <c r="J128" i="160"/>
  <c r="K128" i="160" s="1"/>
  <c r="M128" i="160" s="1"/>
  <c r="O128" i="160"/>
  <c r="G129" i="160" s="1"/>
  <c r="G96" i="160"/>
  <c r="K95" i="160"/>
  <c r="K127" i="160"/>
  <c r="M127" i="160" s="1"/>
  <c r="N127" i="160"/>
  <c r="N95" i="160"/>
  <c r="M160" i="160"/>
  <c r="C34" i="160"/>
  <c r="E33" i="160"/>
  <c r="K219" i="160" l="1"/>
  <c r="D58" i="160"/>
  <c r="M218" i="160"/>
  <c r="E57" i="160"/>
  <c r="N219" i="160"/>
  <c r="J220" i="160"/>
  <c r="O220" i="160"/>
  <c r="G221" i="160" s="1"/>
  <c r="M193" i="160"/>
  <c r="M195" i="160" s="1"/>
  <c r="K195" i="160"/>
  <c r="N161" i="160"/>
  <c r="O162" i="160"/>
  <c r="O164" i="160" s="1"/>
  <c r="J162" i="160"/>
  <c r="N128" i="160"/>
  <c r="O129" i="160"/>
  <c r="J129" i="160"/>
  <c r="K129" i="160" s="1"/>
  <c r="M129" i="160" s="1"/>
  <c r="O96" i="160"/>
  <c r="J96" i="160"/>
  <c r="M95" i="160"/>
  <c r="B34" i="160"/>
  <c r="D34" i="160"/>
  <c r="K162" i="160" l="1"/>
  <c r="J164" i="160"/>
  <c r="K220" i="160"/>
  <c r="D59" i="160"/>
  <c r="M219" i="160"/>
  <c r="E58" i="160"/>
  <c r="N220" i="160"/>
  <c r="O221" i="160"/>
  <c r="G222" i="160" s="1"/>
  <c r="J221" i="160"/>
  <c r="N162" i="160"/>
  <c r="N164" i="160" s="1"/>
  <c r="N129" i="160"/>
  <c r="G130" i="160"/>
  <c r="N96" i="160"/>
  <c r="K96" i="160"/>
  <c r="G97" i="160"/>
  <c r="F34" i="160"/>
  <c r="C35" i="160"/>
  <c r="D35" i="160" s="1"/>
  <c r="C36" i="160" s="1"/>
  <c r="C64" i="160"/>
  <c r="E34" i="160"/>
  <c r="M162" i="160" l="1"/>
  <c r="M164" i="160" s="1"/>
  <c r="K164" i="160"/>
  <c r="K221" i="160"/>
  <c r="D60" i="160"/>
  <c r="M220" i="160"/>
  <c r="E59" i="160"/>
  <c r="N221" i="160"/>
  <c r="O222" i="160"/>
  <c r="G223" i="160" s="1"/>
  <c r="J222" i="160"/>
  <c r="O130" i="160"/>
  <c r="O132" i="160" s="1"/>
  <c r="J130" i="160"/>
  <c r="N130" i="160" s="1"/>
  <c r="N132" i="160" s="1"/>
  <c r="G132" i="160"/>
  <c r="O97" i="160"/>
  <c r="O99" i="160" s="1"/>
  <c r="J97" i="160"/>
  <c r="G99" i="160"/>
  <c r="M96" i="160"/>
  <c r="B36" i="160"/>
  <c r="D36" i="160"/>
  <c r="F35" i="160"/>
  <c r="E35" i="160"/>
  <c r="F64" i="160"/>
  <c r="B35" i="160"/>
  <c r="K222" i="160" l="1"/>
  <c r="D61" i="160"/>
  <c r="M221" i="160"/>
  <c r="E60" i="160"/>
  <c r="N222" i="160"/>
  <c r="O223" i="160"/>
  <c r="J223" i="160"/>
  <c r="D62" i="160" s="1"/>
  <c r="G225" i="160"/>
  <c r="K130" i="160"/>
  <c r="J132" i="160"/>
  <c r="K97" i="160"/>
  <c r="J99" i="160"/>
  <c r="N97" i="160"/>
  <c r="N99" i="160" s="1"/>
  <c r="C37" i="160"/>
  <c r="F36" i="160"/>
  <c r="E36" i="160"/>
  <c r="D64" i="160" l="1"/>
  <c r="M222" i="160"/>
  <c r="E61" i="160"/>
  <c r="K223" i="160"/>
  <c r="E62" i="160" s="1"/>
  <c r="J225" i="160"/>
  <c r="N223" i="160"/>
  <c r="N225" i="160" s="1"/>
  <c r="O225" i="160"/>
  <c r="M130" i="160"/>
  <c r="M132" i="160" s="1"/>
  <c r="K132" i="160"/>
  <c r="M97" i="160"/>
  <c r="M99" i="160" s="1"/>
  <c r="K99" i="160"/>
  <c r="D37" i="160"/>
  <c r="B37" i="160"/>
  <c r="E64" i="160" l="1"/>
  <c r="M223" i="160"/>
  <c r="M225" i="160" s="1"/>
  <c r="K225" i="160"/>
  <c r="E37" i="160"/>
  <c r="F37" i="160"/>
  <c r="H98" i="168"/>
  <c r="I98" i="168" s="1"/>
  <c r="L17" i="150" l="1"/>
  <c r="L301" i="157" l="1"/>
  <c r="L300" i="157"/>
  <c r="L299" i="157"/>
  <c r="L298" i="157"/>
  <c r="L297" i="157"/>
  <c r="L296" i="157"/>
  <c r="L295" i="157"/>
  <c r="L294" i="157"/>
  <c r="L293" i="157"/>
  <c r="L292" i="157"/>
  <c r="L291" i="157"/>
  <c r="L290" i="157"/>
  <c r="L289" i="157"/>
  <c r="L288" i="157"/>
  <c r="L287" i="157"/>
  <c r="L286" i="157"/>
  <c r="K281" i="157"/>
  <c r="M281" i="157" s="1"/>
  <c r="K280" i="157"/>
  <c r="G280" i="157"/>
  <c r="C280" i="157"/>
  <c r="D280" i="157" s="1"/>
  <c r="L275" i="157"/>
  <c r="L274" i="157"/>
  <c r="L273" i="157"/>
  <c r="L272" i="157"/>
  <c r="L271" i="157"/>
  <c r="L270" i="157"/>
  <c r="L269" i="157"/>
  <c r="L268" i="157"/>
  <c r="L267" i="157"/>
  <c r="L266" i="157"/>
  <c r="L265" i="157"/>
  <c r="L264" i="157"/>
  <c r="L263" i="157"/>
  <c r="L262" i="157"/>
  <c r="L261" i="157"/>
  <c r="L260" i="157"/>
  <c r="K255" i="157"/>
  <c r="M255" i="157" s="1"/>
  <c r="K254" i="157"/>
  <c r="M254" i="157" s="1"/>
  <c r="K253" i="157"/>
  <c r="M253" i="157" s="1"/>
  <c r="G253" i="157"/>
  <c r="C253" i="157"/>
  <c r="D253" i="157" s="1"/>
  <c r="F253" i="157" s="1"/>
  <c r="L248" i="157"/>
  <c r="L247" i="157"/>
  <c r="L246" i="157"/>
  <c r="L245" i="157"/>
  <c r="L244" i="157"/>
  <c r="L243" i="157"/>
  <c r="L242" i="157"/>
  <c r="L241" i="157"/>
  <c r="L240" i="157"/>
  <c r="L239" i="157"/>
  <c r="L238" i="157"/>
  <c r="L237" i="157"/>
  <c r="L236" i="157"/>
  <c r="L235" i="157"/>
  <c r="L234" i="157"/>
  <c r="L233" i="157"/>
  <c r="K228" i="157"/>
  <c r="M228" i="157" s="1"/>
  <c r="K227" i="157"/>
  <c r="M227" i="157" s="1"/>
  <c r="K226" i="157"/>
  <c r="K225" i="157"/>
  <c r="M225" i="157" s="1"/>
  <c r="G225" i="157"/>
  <c r="C225" i="157"/>
  <c r="D225" i="157" s="1"/>
  <c r="D226" i="157" s="1"/>
  <c r="L220" i="157"/>
  <c r="L219" i="157"/>
  <c r="L218" i="157"/>
  <c r="L217" i="157"/>
  <c r="L216" i="157"/>
  <c r="L215" i="157"/>
  <c r="L214" i="157"/>
  <c r="L213" i="157"/>
  <c r="L212" i="157"/>
  <c r="L211" i="157"/>
  <c r="L210" i="157"/>
  <c r="L209" i="157"/>
  <c r="L208" i="157"/>
  <c r="L207" i="157"/>
  <c r="L206" i="157"/>
  <c r="L205" i="157"/>
  <c r="K200" i="157"/>
  <c r="M200" i="157" s="1"/>
  <c r="K199" i="157"/>
  <c r="M199" i="157" s="1"/>
  <c r="K198" i="157"/>
  <c r="M198" i="157" s="1"/>
  <c r="K197" i="157"/>
  <c r="M197" i="157" s="1"/>
  <c r="K196" i="157"/>
  <c r="M196" i="157" s="1"/>
  <c r="G196" i="157"/>
  <c r="C196" i="157"/>
  <c r="D196" i="157" s="1"/>
  <c r="D197" i="157" s="1"/>
  <c r="L191" i="157"/>
  <c r="L190" i="157"/>
  <c r="L189" i="157"/>
  <c r="L188" i="157"/>
  <c r="L187" i="157"/>
  <c r="L186" i="157"/>
  <c r="L185" i="157"/>
  <c r="L184" i="157"/>
  <c r="L183" i="157"/>
  <c r="L182" i="157"/>
  <c r="L181" i="157"/>
  <c r="L180" i="157"/>
  <c r="L179" i="157"/>
  <c r="L178" i="157"/>
  <c r="L177" i="157"/>
  <c r="L176" i="157"/>
  <c r="K171" i="157"/>
  <c r="M171" i="157" s="1"/>
  <c r="K170" i="157"/>
  <c r="M170" i="157" s="1"/>
  <c r="K169" i="157"/>
  <c r="M169" i="157" s="1"/>
  <c r="K168" i="157"/>
  <c r="M168" i="157" s="1"/>
  <c r="K167" i="157"/>
  <c r="M167" i="157" s="1"/>
  <c r="K166" i="157"/>
  <c r="G166" i="157"/>
  <c r="C166" i="157"/>
  <c r="D166" i="157" s="1"/>
  <c r="L161" i="157"/>
  <c r="L160" i="157"/>
  <c r="L159" i="157"/>
  <c r="L158" i="157"/>
  <c r="L157" i="157"/>
  <c r="L156" i="157"/>
  <c r="L155" i="157"/>
  <c r="L154" i="157"/>
  <c r="L153" i="157"/>
  <c r="L152" i="157"/>
  <c r="L151" i="157"/>
  <c r="L150" i="157"/>
  <c r="L149" i="157"/>
  <c r="L148" i="157"/>
  <c r="L147" i="157"/>
  <c r="L146" i="157"/>
  <c r="K141" i="157"/>
  <c r="M141" i="157" s="1"/>
  <c r="K140" i="157"/>
  <c r="M140" i="157" s="1"/>
  <c r="K139" i="157"/>
  <c r="M139" i="157" s="1"/>
  <c r="K138" i="157"/>
  <c r="M138" i="157" s="1"/>
  <c r="K137" i="157"/>
  <c r="M137" i="157" s="1"/>
  <c r="K136" i="157"/>
  <c r="M136" i="157" s="1"/>
  <c r="K135" i="157"/>
  <c r="M135" i="157" s="1"/>
  <c r="G135" i="157"/>
  <c r="C135" i="157"/>
  <c r="D135" i="157" s="1"/>
  <c r="D136" i="157" s="1"/>
  <c r="L130" i="157"/>
  <c r="L129" i="157"/>
  <c r="L128" i="157"/>
  <c r="L127" i="157"/>
  <c r="L126" i="157"/>
  <c r="L125" i="157"/>
  <c r="L124" i="157"/>
  <c r="L123" i="157"/>
  <c r="L122" i="157"/>
  <c r="L121" i="157"/>
  <c r="L120" i="157"/>
  <c r="L119" i="157"/>
  <c r="L118" i="157"/>
  <c r="L117" i="157"/>
  <c r="L116" i="157"/>
  <c r="L115" i="157"/>
  <c r="K110" i="157"/>
  <c r="M110" i="157" s="1"/>
  <c r="K109" i="157"/>
  <c r="M109" i="157" s="1"/>
  <c r="K108" i="157"/>
  <c r="M108" i="157" s="1"/>
  <c r="K107" i="157"/>
  <c r="M107" i="157" s="1"/>
  <c r="K106" i="157"/>
  <c r="M106" i="157" s="1"/>
  <c r="K105" i="157"/>
  <c r="M105" i="157" s="1"/>
  <c r="K104" i="157"/>
  <c r="M104" i="157" s="1"/>
  <c r="G104" i="157"/>
  <c r="C104" i="157"/>
  <c r="D104" i="157" s="1"/>
  <c r="L98" i="157"/>
  <c r="L97" i="157"/>
  <c r="L96" i="157"/>
  <c r="L95" i="157"/>
  <c r="L94" i="157"/>
  <c r="L93" i="157"/>
  <c r="L92" i="157"/>
  <c r="L91" i="157"/>
  <c r="L90" i="157"/>
  <c r="L89" i="157"/>
  <c r="L88" i="157"/>
  <c r="L87" i="157"/>
  <c r="L86" i="157"/>
  <c r="L85" i="157"/>
  <c r="L84" i="157"/>
  <c r="L83" i="157"/>
  <c r="K78" i="157"/>
  <c r="M78" i="157" s="1"/>
  <c r="K77" i="157"/>
  <c r="M77" i="157" s="1"/>
  <c r="K76" i="157"/>
  <c r="M76" i="157" s="1"/>
  <c r="K75" i="157"/>
  <c r="M75" i="157" s="1"/>
  <c r="K74" i="157"/>
  <c r="M74" i="157" s="1"/>
  <c r="K73" i="157"/>
  <c r="M73" i="157" s="1"/>
  <c r="M72" i="157"/>
  <c r="K72" i="157"/>
  <c r="G72" i="157"/>
  <c r="C72" i="157"/>
  <c r="D72" i="157" s="1"/>
  <c r="F18" i="157"/>
  <c r="L17" i="157"/>
  <c r="F17" i="157"/>
  <c r="E16" i="157"/>
  <c r="E19" i="157" s="1"/>
  <c r="D16" i="157"/>
  <c r="D19" i="157" s="1"/>
  <c r="C16" i="157"/>
  <c r="F15" i="157"/>
  <c r="F14" i="157"/>
  <c r="F13" i="157"/>
  <c r="F12" i="157"/>
  <c r="F11" i="157"/>
  <c r="F10" i="157"/>
  <c r="F9" i="157"/>
  <c r="F8" i="157"/>
  <c r="F7" i="157"/>
  <c r="F6" i="157"/>
  <c r="F5" i="157"/>
  <c r="F4" i="157"/>
  <c r="F3" i="157"/>
  <c r="F2" i="157"/>
  <c r="F16" i="157" l="1"/>
  <c r="F19" i="157" s="1"/>
  <c r="F55" i="157"/>
  <c r="F59" i="157"/>
  <c r="F63" i="157"/>
  <c r="F67" i="157"/>
  <c r="C19" i="157"/>
  <c r="G83" i="168"/>
  <c r="A48" i="157"/>
  <c r="B48" i="157" s="1"/>
  <c r="C23" i="157"/>
  <c r="D23" i="157" s="1"/>
  <c r="F53" i="157"/>
  <c r="F57" i="157"/>
  <c r="F61" i="157"/>
  <c r="F65" i="157"/>
  <c r="L163" i="157"/>
  <c r="L222" i="157"/>
  <c r="L303" i="157"/>
  <c r="F54" i="157"/>
  <c r="F58" i="157"/>
  <c r="F62" i="157"/>
  <c r="F66" i="157"/>
  <c r="F52" i="157"/>
  <c r="F56" i="157"/>
  <c r="F60" i="157"/>
  <c r="F64" i="157"/>
  <c r="L100" i="157"/>
  <c r="L132" i="157"/>
  <c r="E135" i="157"/>
  <c r="E196" i="157"/>
  <c r="F135" i="157"/>
  <c r="C136" i="157"/>
  <c r="E136" i="157" s="1"/>
  <c r="F196" i="157"/>
  <c r="C197" i="157"/>
  <c r="E197" i="157" s="1"/>
  <c r="F225" i="157"/>
  <c r="D167" i="157"/>
  <c r="F166" i="157"/>
  <c r="C167" i="157"/>
  <c r="E166" i="157"/>
  <c r="D227" i="157"/>
  <c r="F226" i="157"/>
  <c r="C227" i="157"/>
  <c r="D73" i="157"/>
  <c r="F72" i="157"/>
  <c r="C73" i="157"/>
  <c r="E72" i="157"/>
  <c r="D105" i="157"/>
  <c r="F104" i="157"/>
  <c r="E104" i="157"/>
  <c r="D137" i="157"/>
  <c r="F136" i="157"/>
  <c r="C137" i="157"/>
  <c r="C105" i="157"/>
  <c r="M166" i="157"/>
  <c r="D198" i="157"/>
  <c r="F197" i="157"/>
  <c r="C198" i="157"/>
  <c r="M226" i="157"/>
  <c r="L193" i="157"/>
  <c r="C254" i="157"/>
  <c r="E253" i="157"/>
  <c r="H253" i="157" s="1"/>
  <c r="D254" i="157"/>
  <c r="L250" i="157"/>
  <c r="C226" i="157"/>
  <c r="E226" i="157" s="1"/>
  <c r="E225" i="157"/>
  <c r="L277" i="157"/>
  <c r="M280" i="157"/>
  <c r="D281" i="157"/>
  <c r="F280" i="157"/>
  <c r="E280" i="157"/>
  <c r="C281" i="157"/>
  <c r="H135" i="157" l="1"/>
  <c r="N135" i="157" s="1"/>
  <c r="B49" i="157"/>
  <c r="A49" i="157"/>
  <c r="C24" i="157"/>
  <c r="F23" i="157"/>
  <c r="E23" i="157"/>
  <c r="F69" i="157"/>
  <c r="H196" i="157"/>
  <c r="N196" i="157" s="1"/>
  <c r="H72" i="157"/>
  <c r="O72" i="157" s="1"/>
  <c r="G73" i="157" s="1"/>
  <c r="H225" i="157"/>
  <c r="O225" i="157" s="1"/>
  <c r="H166" i="157"/>
  <c r="O166" i="157" s="1"/>
  <c r="H280" i="157"/>
  <c r="C282" i="157"/>
  <c r="F281" i="157"/>
  <c r="D282" i="157"/>
  <c r="E281" i="157"/>
  <c r="D255" i="157"/>
  <c r="F254" i="157"/>
  <c r="C255" i="157"/>
  <c r="E254" i="157"/>
  <c r="N253" i="157"/>
  <c r="C199" i="157"/>
  <c r="E198" i="157"/>
  <c r="D199" i="157"/>
  <c r="F198" i="157"/>
  <c r="D168" i="157"/>
  <c r="C168" i="157"/>
  <c r="E167" i="157"/>
  <c r="F167" i="157"/>
  <c r="O253" i="157"/>
  <c r="L44" i="157"/>
  <c r="F137" i="157"/>
  <c r="D138" i="157"/>
  <c r="C138" i="157"/>
  <c r="E137" i="157"/>
  <c r="H104" i="157"/>
  <c r="C228" i="157"/>
  <c r="E227" i="157"/>
  <c r="F227" i="157"/>
  <c r="D228" i="157"/>
  <c r="D74" i="157"/>
  <c r="F73" i="157"/>
  <c r="E73" i="157"/>
  <c r="C74" i="157"/>
  <c r="C106" i="157"/>
  <c r="E105" i="157"/>
  <c r="D106" i="157"/>
  <c r="F105" i="157"/>
  <c r="O135" i="157" l="1"/>
  <c r="G136" i="157" s="1"/>
  <c r="H136" i="157" s="1"/>
  <c r="H23" i="157"/>
  <c r="D24" i="157"/>
  <c r="B24" i="157"/>
  <c r="A50" i="157"/>
  <c r="B50" i="157"/>
  <c r="N72" i="157"/>
  <c r="O196" i="157"/>
  <c r="G197" i="157" s="1"/>
  <c r="H197" i="157" s="1"/>
  <c r="N225" i="157"/>
  <c r="N166" i="157"/>
  <c r="N280" i="157"/>
  <c r="O280" i="157"/>
  <c r="G281" i="157" s="1"/>
  <c r="D75" i="157"/>
  <c r="F74" i="157"/>
  <c r="C75" i="157"/>
  <c r="E74" i="157"/>
  <c r="H73" i="157"/>
  <c r="D139" i="157"/>
  <c r="F138" i="157"/>
  <c r="C139" i="157"/>
  <c r="E138" i="157"/>
  <c r="D200" i="157"/>
  <c r="F199" i="157"/>
  <c r="C200" i="157"/>
  <c r="E199" i="157"/>
  <c r="D283" i="157"/>
  <c r="E282" i="157"/>
  <c r="F282" i="157"/>
  <c r="C283" i="157"/>
  <c r="D107" i="157"/>
  <c r="F106" i="157"/>
  <c r="C107" i="157"/>
  <c r="E106" i="157"/>
  <c r="D229" i="157"/>
  <c r="C229" i="157"/>
  <c r="F228" i="157"/>
  <c r="E228" i="157"/>
  <c r="O104" i="157"/>
  <c r="N104" i="157"/>
  <c r="G167" i="157"/>
  <c r="G254" i="157"/>
  <c r="D169" i="157"/>
  <c r="F168" i="157"/>
  <c r="C169" i="157"/>
  <c r="E168" i="157"/>
  <c r="E255" i="157"/>
  <c r="D256" i="157"/>
  <c r="C256" i="157"/>
  <c r="F255" i="157"/>
  <c r="G226" i="157"/>
  <c r="A51" i="157" l="1"/>
  <c r="B51" i="157"/>
  <c r="O23" i="157"/>
  <c r="G24" i="157" s="1"/>
  <c r="N23" i="157"/>
  <c r="E24" i="157"/>
  <c r="C25" i="157"/>
  <c r="F24" i="157"/>
  <c r="O197" i="157"/>
  <c r="G198" i="157" s="1"/>
  <c r="O136" i="157"/>
  <c r="G137" i="157" s="1"/>
  <c r="N73" i="157"/>
  <c r="N136" i="157"/>
  <c r="F256" i="157"/>
  <c r="E256" i="157"/>
  <c r="C257" i="157"/>
  <c r="D257" i="157"/>
  <c r="E169" i="157"/>
  <c r="D170" i="157"/>
  <c r="F169" i="157"/>
  <c r="C170" i="157"/>
  <c r="H167" i="157"/>
  <c r="H254" i="157"/>
  <c r="C108" i="157"/>
  <c r="E107" i="157"/>
  <c r="F107" i="157"/>
  <c r="D108" i="157"/>
  <c r="C284" i="157"/>
  <c r="F283" i="157"/>
  <c r="D284" i="157"/>
  <c r="E283" i="157"/>
  <c r="D201" i="157"/>
  <c r="C201" i="157"/>
  <c r="F200" i="157"/>
  <c r="E200" i="157"/>
  <c r="D140" i="157"/>
  <c r="F139" i="157"/>
  <c r="E139" i="157"/>
  <c r="C140" i="157"/>
  <c r="O73" i="157"/>
  <c r="C230" i="157"/>
  <c r="F229" i="157"/>
  <c r="E229" i="157"/>
  <c r="D230" i="157"/>
  <c r="D76" i="157"/>
  <c r="F75" i="157"/>
  <c r="C76" i="157"/>
  <c r="E75" i="157"/>
  <c r="H226" i="157"/>
  <c r="G105" i="157"/>
  <c r="N197" i="157"/>
  <c r="H281" i="157"/>
  <c r="H24" i="157" l="1"/>
  <c r="J24" i="157"/>
  <c r="B52" i="157"/>
  <c r="A52" i="157"/>
  <c r="D25" i="157"/>
  <c r="B25" i="157"/>
  <c r="N254" i="157"/>
  <c r="O226" i="157"/>
  <c r="G227" i="157" s="1"/>
  <c r="N226" i="157"/>
  <c r="O167" i="157"/>
  <c r="D171" i="157"/>
  <c r="F170" i="157"/>
  <c r="E170" i="157"/>
  <c r="C171" i="157"/>
  <c r="D109" i="157"/>
  <c r="F108" i="157"/>
  <c r="C109" i="157"/>
  <c r="E108" i="157"/>
  <c r="F257" i="157"/>
  <c r="D258" i="157"/>
  <c r="C258" i="157"/>
  <c r="E257" i="157"/>
  <c r="H105" i="157"/>
  <c r="F230" i="157"/>
  <c r="E230" i="157"/>
  <c r="C231" i="157"/>
  <c r="D231" i="157"/>
  <c r="H198" i="157"/>
  <c r="O281" i="157"/>
  <c r="G74" i="157"/>
  <c r="D141" i="157"/>
  <c r="F140" i="157"/>
  <c r="C141" i="157"/>
  <c r="E140" i="157"/>
  <c r="D202" i="157"/>
  <c r="E201" i="157"/>
  <c r="C202" i="157"/>
  <c r="F201" i="157"/>
  <c r="N281" i="157"/>
  <c r="D77" i="157"/>
  <c r="F76" i="157"/>
  <c r="C77" i="157"/>
  <c r="E76" i="157"/>
  <c r="D285" i="157"/>
  <c r="E284" i="157"/>
  <c r="C285" i="157"/>
  <c r="B285" i="157" s="1"/>
  <c r="F284" i="157"/>
  <c r="O254" i="157"/>
  <c r="N167" i="157"/>
  <c r="H137" i="157"/>
  <c r="N24" i="157" l="1"/>
  <c r="C26" i="157"/>
  <c r="E25" i="157"/>
  <c r="F25" i="157"/>
  <c r="A53" i="157"/>
  <c r="B53" i="157"/>
  <c r="I36" i="157"/>
  <c r="I39" i="157"/>
  <c r="I38" i="157"/>
  <c r="I30" i="157"/>
  <c r="I40" i="157"/>
  <c r="I32" i="157"/>
  <c r="I24" i="157"/>
  <c r="I29" i="157"/>
  <c r="I26" i="157"/>
  <c r="I41" i="157"/>
  <c r="I28" i="157"/>
  <c r="I34" i="157"/>
  <c r="I25" i="157"/>
  <c r="I33" i="157"/>
  <c r="I27" i="157"/>
  <c r="I37" i="157"/>
  <c r="I42" i="157"/>
  <c r="I35" i="157"/>
  <c r="I31" i="157"/>
  <c r="O198" i="157"/>
  <c r="G199" i="157" s="1"/>
  <c r="O105" i="157"/>
  <c r="G106" i="157" s="1"/>
  <c r="N137" i="157"/>
  <c r="N105" i="157"/>
  <c r="N198" i="157"/>
  <c r="O137" i="157"/>
  <c r="G138" i="157" s="1"/>
  <c r="C203" i="157"/>
  <c r="F202" i="157"/>
  <c r="E202" i="157"/>
  <c r="D203" i="157"/>
  <c r="D259" i="157"/>
  <c r="E258" i="157"/>
  <c r="C259" i="157"/>
  <c r="B259" i="157" s="1"/>
  <c r="F258" i="157"/>
  <c r="F231" i="157"/>
  <c r="D232" i="157"/>
  <c r="E231" i="157"/>
  <c r="C232" i="157"/>
  <c r="B232" i="157" s="1"/>
  <c r="G255" i="157"/>
  <c r="F285" i="157"/>
  <c r="C286" i="157"/>
  <c r="B286" i="157" s="1"/>
  <c r="E285" i="157"/>
  <c r="D286" i="157"/>
  <c r="F77" i="157"/>
  <c r="D78" i="157"/>
  <c r="C78" i="157"/>
  <c r="E77" i="157"/>
  <c r="H74" i="157"/>
  <c r="F171" i="157"/>
  <c r="D172" i="157"/>
  <c r="E171" i="157"/>
  <c r="C172" i="157"/>
  <c r="D142" i="157"/>
  <c r="C142" i="157"/>
  <c r="F141" i="157"/>
  <c r="E141" i="157"/>
  <c r="H227" i="157"/>
  <c r="C110" i="157"/>
  <c r="E109" i="157"/>
  <c r="D110" i="157"/>
  <c r="F109" i="157"/>
  <c r="G282" i="157"/>
  <c r="G168" i="157"/>
  <c r="A54" i="157" l="1"/>
  <c r="B54" i="157"/>
  <c r="K24" i="157"/>
  <c r="M24" i="157" s="1"/>
  <c r="O24" i="157"/>
  <c r="G25" i="157" s="1"/>
  <c r="D26" i="157"/>
  <c r="B26" i="157"/>
  <c r="N74" i="157"/>
  <c r="C260" i="157"/>
  <c r="B260" i="157" s="1"/>
  <c r="D260" i="157"/>
  <c r="F259" i="157"/>
  <c r="E259" i="157"/>
  <c r="D143" i="157"/>
  <c r="E142" i="157"/>
  <c r="C143" i="157"/>
  <c r="F142" i="157"/>
  <c r="D233" i="157"/>
  <c r="E232" i="157"/>
  <c r="C233" i="157"/>
  <c r="B233" i="157" s="1"/>
  <c r="F232" i="157"/>
  <c r="F203" i="157"/>
  <c r="E203" i="157"/>
  <c r="D204" i="157"/>
  <c r="C204" i="157"/>
  <c r="B204" i="157" s="1"/>
  <c r="H199" i="157"/>
  <c r="D287" i="157"/>
  <c r="E286" i="157"/>
  <c r="F286" i="157"/>
  <c r="C287" i="157"/>
  <c r="B287" i="157" s="1"/>
  <c r="H138" i="157"/>
  <c r="O227" i="157"/>
  <c r="D173" i="157"/>
  <c r="E172" i="157"/>
  <c r="C173" i="157"/>
  <c r="F172" i="157"/>
  <c r="H255" i="157"/>
  <c r="H168" i="157"/>
  <c r="H282" i="157"/>
  <c r="H106" i="157"/>
  <c r="C79" i="157"/>
  <c r="F78" i="157"/>
  <c r="E78" i="157"/>
  <c r="D79" i="157"/>
  <c r="D111" i="157"/>
  <c r="C111" i="157"/>
  <c r="F110" i="157"/>
  <c r="E110" i="157"/>
  <c r="N227" i="157"/>
  <c r="O74" i="157"/>
  <c r="F26" i="157" l="1"/>
  <c r="C27" i="157"/>
  <c r="E26" i="157"/>
  <c r="B83" i="168"/>
  <c r="J25" i="157"/>
  <c r="K25" i="157" s="1"/>
  <c r="M25" i="157" s="1"/>
  <c r="O25" i="157"/>
  <c r="G26" i="157" s="1"/>
  <c r="A55" i="157"/>
  <c r="B55" i="157"/>
  <c r="O168" i="157"/>
  <c r="G169" i="157" s="1"/>
  <c r="N282" i="157"/>
  <c r="O199" i="157"/>
  <c r="G200" i="157" s="1"/>
  <c r="H44" i="157"/>
  <c r="G75" i="157"/>
  <c r="N106" i="157"/>
  <c r="O138" i="157"/>
  <c r="C288" i="157"/>
  <c r="B288" i="157" s="1"/>
  <c r="F287" i="157"/>
  <c r="D288" i="157"/>
  <c r="E287" i="157"/>
  <c r="F204" i="157"/>
  <c r="D205" i="157"/>
  <c r="E204" i="157"/>
  <c r="C205" i="157"/>
  <c r="B205" i="157" s="1"/>
  <c r="F79" i="157"/>
  <c r="C80" i="157"/>
  <c r="E79" i="157"/>
  <c r="D80" i="157"/>
  <c r="D174" i="157"/>
  <c r="C174" i="157"/>
  <c r="E173" i="157"/>
  <c r="F173" i="157"/>
  <c r="C234" i="157"/>
  <c r="B234" i="157" s="1"/>
  <c r="F233" i="157"/>
  <c r="E233" i="157"/>
  <c r="D234" i="157"/>
  <c r="E260" i="157"/>
  <c r="D261" i="157"/>
  <c r="F260" i="157"/>
  <c r="C261" i="157"/>
  <c r="B261" i="157" s="1"/>
  <c r="C112" i="157"/>
  <c r="F111" i="157"/>
  <c r="E111" i="157"/>
  <c r="D112" i="157"/>
  <c r="O255" i="157"/>
  <c r="O106" i="157"/>
  <c r="N168" i="157"/>
  <c r="N255" i="157"/>
  <c r="G228" i="157"/>
  <c r="N138" i="157"/>
  <c r="N199" i="157"/>
  <c r="C144" i="157"/>
  <c r="D144" i="157"/>
  <c r="F143" i="157"/>
  <c r="E143" i="157"/>
  <c r="N25" i="157" l="1"/>
  <c r="J26" i="157"/>
  <c r="K26" i="157" s="1"/>
  <c r="M26" i="157" s="1"/>
  <c r="O26" i="157"/>
  <c r="G27" i="157" s="1"/>
  <c r="D27" i="157"/>
  <c r="B27" i="157"/>
  <c r="B56" i="157"/>
  <c r="A56" i="157"/>
  <c r="I44" i="157"/>
  <c r="F261" i="157"/>
  <c r="D262" i="157"/>
  <c r="C262" i="157"/>
  <c r="B262" i="157" s="1"/>
  <c r="E261" i="157"/>
  <c r="H75" i="157"/>
  <c r="D206" i="157"/>
  <c r="E205" i="157"/>
  <c r="C206" i="157"/>
  <c r="B206" i="157" s="1"/>
  <c r="F205" i="157"/>
  <c r="H228" i="157"/>
  <c r="N228" i="157" s="1"/>
  <c r="G107" i="157"/>
  <c r="F234" i="157"/>
  <c r="E234" i="157"/>
  <c r="C235" i="157"/>
  <c r="B235" i="157" s="1"/>
  <c r="D235" i="157"/>
  <c r="C175" i="157"/>
  <c r="B175" i="157" s="1"/>
  <c r="E174" i="157"/>
  <c r="D175" i="157"/>
  <c r="F174" i="157"/>
  <c r="D289" i="157"/>
  <c r="E288" i="157"/>
  <c r="C289" i="157"/>
  <c r="B289" i="157" s="1"/>
  <c r="F288" i="157"/>
  <c r="F144" i="157"/>
  <c r="D145" i="157"/>
  <c r="C145" i="157"/>
  <c r="B145" i="157" s="1"/>
  <c r="E144" i="157"/>
  <c r="G256" i="157"/>
  <c r="H169" i="157"/>
  <c r="K282" i="157"/>
  <c r="O282" i="157"/>
  <c r="F112" i="157"/>
  <c r="C113" i="157"/>
  <c r="E112" i="157"/>
  <c r="D113" i="157"/>
  <c r="F80" i="157"/>
  <c r="D81" i="157"/>
  <c r="E80" i="157"/>
  <c r="C81" i="157"/>
  <c r="G139" i="157"/>
  <c r="H200" i="157"/>
  <c r="N26" i="157" l="1"/>
  <c r="A57" i="157"/>
  <c r="B57" i="157"/>
  <c r="O27" i="157"/>
  <c r="G28" i="157" s="1"/>
  <c r="E27" i="157"/>
  <c r="C28" i="157"/>
  <c r="F27" i="157"/>
  <c r="C83" i="168"/>
  <c r="N200" i="157"/>
  <c r="O75" i="157"/>
  <c r="G76" i="157" s="1"/>
  <c r="N75" i="157"/>
  <c r="M282" i="157"/>
  <c r="F145" i="157"/>
  <c r="D146" i="157"/>
  <c r="E145" i="157"/>
  <c r="C146" i="157"/>
  <c r="B146" i="157" s="1"/>
  <c r="D263" i="157"/>
  <c r="E262" i="157"/>
  <c r="F262" i="157"/>
  <c r="C263" i="157"/>
  <c r="B263" i="157" s="1"/>
  <c r="O200" i="157"/>
  <c r="D82" i="157"/>
  <c r="E81" i="157"/>
  <c r="C82" i="157"/>
  <c r="B82" i="157" s="1"/>
  <c r="F81" i="157"/>
  <c r="F289" i="157"/>
  <c r="C290" i="157"/>
  <c r="B290" i="157" s="1"/>
  <c r="E289" i="157"/>
  <c r="D290" i="157"/>
  <c r="F235" i="157"/>
  <c r="D236" i="157"/>
  <c r="E235" i="157"/>
  <c r="C236" i="157"/>
  <c r="B236" i="157" s="1"/>
  <c r="F113" i="157"/>
  <c r="D114" i="157"/>
  <c r="E113" i="157"/>
  <c r="C114" i="157"/>
  <c r="B114" i="157" s="1"/>
  <c r="G283" i="157"/>
  <c r="H283" i="157" s="1"/>
  <c r="H139" i="157"/>
  <c r="O169" i="157"/>
  <c r="C207" i="157"/>
  <c r="B207" i="157" s="1"/>
  <c r="F206" i="157"/>
  <c r="E206" i="157"/>
  <c r="D207" i="157"/>
  <c r="N169" i="157"/>
  <c r="H256" i="157"/>
  <c r="N256" i="157" s="1"/>
  <c r="F175" i="157"/>
  <c r="E175" i="157"/>
  <c r="D176" i="157"/>
  <c r="C176" i="157"/>
  <c r="B176" i="157" s="1"/>
  <c r="H107" i="157"/>
  <c r="O228" i="157"/>
  <c r="J27" i="157" l="1"/>
  <c r="K27" i="157" s="1"/>
  <c r="M27" i="157" s="1"/>
  <c r="A58" i="157"/>
  <c r="B58" i="157"/>
  <c r="D28" i="157"/>
  <c r="B28" i="157"/>
  <c r="O28" i="157"/>
  <c r="G29" i="157" s="1"/>
  <c r="F207" i="157"/>
  <c r="E207" i="157"/>
  <c r="D208" i="157"/>
  <c r="C208" i="157"/>
  <c r="B208" i="157" s="1"/>
  <c r="G170" i="157"/>
  <c r="G229" i="157"/>
  <c r="O107" i="157"/>
  <c r="D237" i="157"/>
  <c r="E236" i="157"/>
  <c r="C237" i="157"/>
  <c r="B237" i="157" s="1"/>
  <c r="F236" i="157"/>
  <c r="H76" i="157"/>
  <c r="C83" i="157"/>
  <c r="B83" i="157" s="1"/>
  <c r="E82" i="157"/>
  <c r="F82" i="157"/>
  <c r="D83" i="157"/>
  <c r="O283" i="157"/>
  <c r="N283" i="157"/>
  <c r="O139" i="157"/>
  <c r="N107" i="157"/>
  <c r="F176" i="157"/>
  <c r="D177" i="157"/>
  <c r="E176" i="157"/>
  <c r="C177" i="157"/>
  <c r="B177" i="157" s="1"/>
  <c r="N139" i="157"/>
  <c r="D115" i="157"/>
  <c r="E114" i="157"/>
  <c r="C115" i="157"/>
  <c r="B115" i="157" s="1"/>
  <c r="F114" i="157"/>
  <c r="D291" i="157"/>
  <c r="E290" i="157"/>
  <c r="F290" i="157"/>
  <c r="C291" i="157"/>
  <c r="B291" i="157" s="1"/>
  <c r="G201" i="157"/>
  <c r="C264" i="157"/>
  <c r="B264" i="157" s="1"/>
  <c r="D264" i="157"/>
  <c r="F263" i="157"/>
  <c r="E263" i="157"/>
  <c r="D147" i="157"/>
  <c r="E146" i="157"/>
  <c r="C147" i="157"/>
  <c r="B147" i="157" s="1"/>
  <c r="F146" i="157"/>
  <c r="N27" i="157" l="1"/>
  <c r="E28" i="157"/>
  <c r="C29" i="157"/>
  <c r="F28" i="157"/>
  <c r="O29" i="157"/>
  <c r="G30" i="157" s="1"/>
  <c r="A59" i="157"/>
  <c r="B59" i="157"/>
  <c r="C292" i="157"/>
  <c r="B292" i="157" s="1"/>
  <c r="F291" i="157"/>
  <c r="D292" i="157"/>
  <c r="E291" i="157"/>
  <c r="G140" i="157"/>
  <c r="H229" i="157"/>
  <c r="N229" i="157" s="1"/>
  <c r="B84" i="168"/>
  <c r="C238" i="157"/>
  <c r="B238" i="157" s="1"/>
  <c r="F237" i="157"/>
  <c r="E237" i="157"/>
  <c r="D238" i="157"/>
  <c r="C148" i="157"/>
  <c r="B148" i="157" s="1"/>
  <c r="D148" i="157"/>
  <c r="F147" i="157"/>
  <c r="E147" i="157"/>
  <c r="K283" i="157"/>
  <c r="G108" i="157"/>
  <c r="H201" i="157"/>
  <c r="N201" i="157" s="1"/>
  <c r="C116" i="157"/>
  <c r="B116" i="157" s="1"/>
  <c r="F115" i="157"/>
  <c r="E115" i="157"/>
  <c r="D116" i="157"/>
  <c r="E264" i="157"/>
  <c r="C265" i="157"/>
  <c r="B265" i="157" s="1"/>
  <c r="F264" i="157"/>
  <c r="D265" i="157"/>
  <c r="D178" i="157"/>
  <c r="E177" i="157"/>
  <c r="C178" i="157"/>
  <c r="B178" i="157" s="1"/>
  <c r="F177" i="157"/>
  <c r="F83" i="157"/>
  <c r="C84" i="157"/>
  <c r="B84" i="157" s="1"/>
  <c r="E83" i="157"/>
  <c r="D84" i="157"/>
  <c r="O76" i="157"/>
  <c r="F208" i="157"/>
  <c r="D209" i="157"/>
  <c r="E208" i="157"/>
  <c r="C209" i="157"/>
  <c r="B209" i="157" s="1"/>
  <c r="K256" i="157"/>
  <c r="O256" i="157"/>
  <c r="G284" i="157"/>
  <c r="H284" i="157" s="1"/>
  <c r="N76" i="157"/>
  <c r="H170" i="157"/>
  <c r="J28" i="157" l="1"/>
  <c r="N28" i="157" s="1"/>
  <c r="B29" i="157"/>
  <c r="D29" i="157"/>
  <c r="B60" i="157"/>
  <c r="A60" i="157"/>
  <c r="O30" i="157"/>
  <c r="G31" i="157" s="1"/>
  <c r="O284" i="157"/>
  <c r="G77" i="157"/>
  <c r="N170" i="157"/>
  <c r="M256" i="157"/>
  <c r="D210" i="157"/>
  <c r="E209" i="157"/>
  <c r="C210" i="157"/>
  <c r="B210" i="157" s="1"/>
  <c r="F209" i="157"/>
  <c r="H108" i="157"/>
  <c r="O108" i="157" s="1"/>
  <c r="M283" i="157"/>
  <c r="H140" i="157"/>
  <c r="N140" i="157" s="1"/>
  <c r="D293" i="157"/>
  <c r="E292" i="157"/>
  <c r="C293" i="157"/>
  <c r="B293" i="157" s="1"/>
  <c r="F292" i="157"/>
  <c r="G257" i="157"/>
  <c r="H257" i="157" s="1"/>
  <c r="C179" i="157"/>
  <c r="B179" i="157" s="1"/>
  <c r="E178" i="157"/>
  <c r="D179" i="157"/>
  <c r="F178" i="157"/>
  <c r="F148" i="157"/>
  <c r="D149" i="157"/>
  <c r="C149" i="157"/>
  <c r="B149" i="157" s="1"/>
  <c r="E148" i="157"/>
  <c r="F84" i="157"/>
  <c r="D85" i="157"/>
  <c r="E84" i="157"/>
  <c r="C85" i="157"/>
  <c r="B85" i="157" s="1"/>
  <c r="F116" i="157"/>
  <c r="C117" i="157"/>
  <c r="B117" i="157" s="1"/>
  <c r="E116" i="157"/>
  <c r="D117" i="157"/>
  <c r="O170" i="157"/>
  <c r="F265" i="157"/>
  <c r="D266" i="157"/>
  <c r="C266" i="157"/>
  <c r="B266" i="157" s="1"/>
  <c r="E265" i="157"/>
  <c r="F238" i="157"/>
  <c r="E238" i="157"/>
  <c r="C239" i="157"/>
  <c r="B239" i="157" s="1"/>
  <c r="D239" i="157"/>
  <c r="K28" i="157" l="1"/>
  <c r="M28" i="157" s="1"/>
  <c r="O31" i="157"/>
  <c r="G32" i="157" s="1"/>
  <c r="C30" i="157"/>
  <c r="E29" i="157"/>
  <c r="F29" i="157"/>
  <c r="A61" i="157"/>
  <c r="B61" i="157"/>
  <c r="K201" i="157"/>
  <c r="D86" i="157"/>
  <c r="E85" i="157"/>
  <c r="C86" i="157"/>
  <c r="B86" i="157" s="1"/>
  <c r="F85" i="157"/>
  <c r="O140" i="157"/>
  <c r="G141" i="157" s="1"/>
  <c r="G109" i="157"/>
  <c r="C84" i="168"/>
  <c r="F239" i="157"/>
  <c r="D240" i="157"/>
  <c r="E239" i="157"/>
  <c r="C240" i="157"/>
  <c r="B240" i="157" s="1"/>
  <c r="F117" i="157"/>
  <c r="D118" i="157"/>
  <c r="E117" i="157"/>
  <c r="C118" i="157"/>
  <c r="B118" i="157" s="1"/>
  <c r="F293" i="157"/>
  <c r="C294" i="157"/>
  <c r="B294" i="157" s="1"/>
  <c r="E293" i="157"/>
  <c r="D294" i="157"/>
  <c r="K284" i="157"/>
  <c r="H77" i="157"/>
  <c r="O77" i="157" s="1"/>
  <c r="G78" i="157" s="1"/>
  <c r="F149" i="157"/>
  <c r="D150" i="157"/>
  <c r="E149" i="157"/>
  <c r="C150" i="157"/>
  <c r="B150" i="157" s="1"/>
  <c r="O201" i="157"/>
  <c r="G202" i="157" s="1"/>
  <c r="H202" i="157" s="1"/>
  <c r="G171" i="157"/>
  <c r="G285" i="157"/>
  <c r="H285" i="157" s="1"/>
  <c r="K229" i="157"/>
  <c r="O229" i="157"/>
  <c r="D267" i="157"/>
  <c r="E266" i="157"/>
  <c r="C267" i="157"/>
  <c r="B267" i="157" s="1"/>
  <c r="F266" i="157"/>
  <c r="F179" i="157"/>
  <c r="E179" i="157"/>
  <c r="D180" i="157"/>
  <c r="C180" i="157"/>
  <c r="B180" i="157" s="1"/>
  <c r="O257" i="157"/>
  <c r="N257" i="157"/>
  <c r="N108" i="157"/>
  <c r="C211" i="157"/>
  <c r="B211" i="157" s="1"/>
  <c r="F210" i="157"/>
  <c r="E210" i="157"/>
  <c r="D211" i="157"/>
  <c r="N284" i="157"/>
  <c r="J29" i="157" l="1"/>
  <c r="K29" i="157" s="1"/>
  <c r="M29" i="157" s="1"/>
  <c r="A62" i="157"/>
  <c r="B62" i="157"/>
  <c r="B30" i="157"/>
  <c r="D30" i="157"/>
  <c r="O32" i="157"/>
  <c r="G33" i="157" s="1"/>
  <c r="I285" i="157"/>
  <c r="O285" i="157" s="1"/>
  <c r="G286" i="157" s="1"/>
  <c r="I299" i="157"/>
  <c r="I296" i="157"/>
  <c r="I291" i="157"/>
  <c r="I289" i="157"/>
  <c r="I295" i="157"/>
  <c r="I301" i="157"/>
  <c r="I288" i="157"/>
  <c r="H303" i="157"/>
  <c r="I290" i="157"/>
  <c r="I287" i="157"/>
  <c r="I298" i="157"/>
  <c r="I300" i="157"/>
  <c r="I292" i="157"/>
  <c r="I293" i="157"/>
  <c r="I294" i="157"/>
  <c r="I286" i="157"/>
  <c r="I297" i="157"/>
  <c r="N77" i="157"/>
  <c r="H78" i="157"/>
  <c r="O78" i="157" s="1"/>
  <c r="G79" i="157" s="1"/>
  <c r="H171" i="157"/>
  <c r="N171" i="157" s="1"/>
  <c r="F211" i="157"/>
  <c r="E211" i="157"/>
  <c r="D212" i="157"/>
  <c r="C212" i="157"/>
  <c r="B212" i="157" s="1"/>
  <c r="G230" i="157"/>
  <c r="H230" i="157" s="1"/>
  <c r="M284" i="157"/>
  <c r="G258" i="157"/>
  <c r="H258" i="157" s="1"/>
  <c r="C268" i="157"/>
  <c r="B268" i="157" s="1"/>
  <c r="D268" i="157"/>
  <c r="F267" i="157"/>
  <c r="E267" i="157"/>
  <c r="M229" i="157"/>
  <c r="J285" i="157"/>
  <c r="N285" i="157" s="1"/>
  <c r="D151" i="157"/>
  <c r="E150" i="157"/>
  <c r="C151" i="157"/>
  <c r="B151" i="157" s="1"/>
  <c r="F150" i="157"/>
  <c r="M201" i="157"/>
  <c r="F180" i="157"/>
  <c r="D181" i="157"/>
  <c r="E180" i="157"/>
  <c r="C181" i="157"/>
  <c r="B181" i="157" s="1"/>
  <c r="K257" i="157"/>
  <c r="C87" i="157"/>
  <c r="B87" i="157" s="1"/>
  <c r="E86" i="157"/>
  <c r="F86" i="157"/>
  <c r="D87" i="157"/>
  <c r="N202" i="157"/>
  <c r="O202" i="157"/>
  <c r="G203" i="157" s="1"/>
  <c r="H203" i="157" s="1"/>
  <c r="D295" i="157"/>
  <c r="E294" i="157"/>
  <c r="F294" i="157"/>
  <c r="C295" i="157"/>
  <c r="B295" i="157" s="1"/>
  <c r="D119" i="157"/>
  <c r="E118" i="157"/>
  <c r="C119" i="157"/>
  <c r="B119" i="157" s="1"/>
  <c r="F118" i="157"/>
  <c r="H109" i="157"/>
  <c r="N109" i="157" s="1"/>
  <c r="D241" i="157"/>
  <c r="E240" i="157"/>
  <c r="C241" i="157"/>
  <c r="B241" i="157" s="1"/>
  <c r="F240" i="157"/>
  <c r="H141" i="157"/>
  <c r="N141" i="157" s="1"/>
  <c r="N29" i="157" l="1"/>
  <c r="A63" i="157"/>
  <c r="B63" i="157"/>
  <c r="O33" i="157"/>
  <c r="G34" i="157" s="1"/>
  <c r="E30" i="157"/>
  <c r="C31" i="157"/>
  <c r="F30" i="157"/>
  <c r="I303" i="157"/>
  <c r="O171" i="157"/>
  <c r="G172" i="157" s="1"/>
  <c r="H172" i="157" s="1"/>
  <c r="H79" i="157"/>
  <c r="N79" i="157" s="1"/>
  <c r="C152" i="157"/>
  <c r="B152" i="157" s="1"/>
  <c r="D152" i="157"/>
  <c r="F151" i="157"/>
  <c r="E151" i="157"/>
  <c r="E268" i="157"/>
  <c r="D269" i="157"/>
  <c r="C269" i="157"/>
  <c r="B269" i="157" s="1"/>
  <c r="F268" i="157"/>
  <c r="O141" i="157"/>
  <c r="G142" i="157" s="1"/>
  <c r="O109" i="157"/>
  <c r="G110" i="157" s="1"/>
  <c r="C120" i="157"/>
  <c r="B120" i="157" s="1"/>
  <c r="E119" i="157"/>
  <c r="F119" i="157"/>
  <c r="D120" i="157"/>
  <c r="C296" i="157"/>
  <c r="B296" i="157" s="1"/>
  <c r="F295" i="157"/>
  <c r="D296" i="157"/>
  <c r="E295" i="157"/>
  <c r="F87" i="157"/>
  <c r="C88" i="157"/>
  <c r="B88" i="157" s="1"/>
  <c r="E87" i="157"/>
  <c r="D88" i="157"/>
  <c r="M257" i="157"/>
  <c r="D182" i="157"/>
  <c r="E181" i="157"/>
  <c r="C182" i="157"/>
  <c r="B182" i="157" s="1"/>
  <c r="F181" i="157"/>
  <c r="K285" i="157"/>
  <c r="N78" i="157"/>
  <c r="O203" i="157"/>
  <c r="G204" i="157" s="1"/>
  <c r="H204" i="157" s="1"/>
  <c r="I204" i="157" s="1"/>
  <c r="K203" i="157"/>
  <c r="M203" i="157" s="1"/>
  <c r="D242" i="157"/>
  <c r="C242" i="157"/>
  <c r="B242" i="157" s="1"/>
  <c r="F241" i="157"/>
  <c r="E241" i="157"/>
  <c r="K202" i="157"/>
  <c r="J286" i="157"/>
  <c r="K286" i="157" s="1"/>
  <c r="M286" i="157" s="1"/>
  <c r="O286" i="157"/>
  <c r="G287" i="157" s="1"/>
  <c r="O230" i="157"/>
  <c r="G231" i="157" s="1"/>
  <c r="H231" i="157" s="1"/>
  <c r="F212" i="157"/>
  <c r="D213" i="157"/>
  <c r="E212" i="157"/>
  <c r="C213" i="157"/>
  <c r="B213" i="157" s="1"/>
  <c r="J30" i="157" l="1"/>
  <c r="D31" i="157"/>
  <c r="B31" i="157"/>
  <c r="O34" i="157"/>
  <c r="G35" i="157" s="1"/>
  <c r="B64" i="157"/>
  <c r="A64" i="157"/>
  <c r="I205" i="157"/>
  <c r="I220" i="157"/>
  <c r="I217" i="157"/>
  <c r="I216" i="157"/>
  <c r="I211" i="157"/>
  <c r="I214" i="157"/>
  <c r="I210" i="157"/>
  <c r="I207" i="157"/>
  <c r="I218" i="157"/>
  <c r="I209" i="157"/>
  <c r="H222" i="157"/>
  <c r="I208" i="157"/>
  <c r="I215" i="157"/>
  <c r="I213" i="157"/>
  <c r="I206" i="157"/>
  <c r="I219" i="157"/>
  <c r="I212" i="157"/>
  <c r="O258" i="157"/>
  <c r="G259" i="157" s="1"/>
  <c r="E84" i="168"/>
  <c r="D84" i="168"/>
  <c r="N203" i="157"/>
  <c r="O231" i="157"/>
  <c r="G232" i="157" s="1"/>
  <c r="H232" i="157" s="1"/>
  <c r="I232" i="157" s="1"/>
  <c r="K231" i="157"/>
  <c r="M231" i="157" s="1"/>
  <c r="O287" i="157"/>
  <c r="G288" i="157" s="1"/>
  <c r="J287" i="157"/>
  <c r="K287" i="157" s="1"/>
  <c r="M287" i="157" s="1"/>
  <c r="H142" i="157"/>
  <c r="O204" i="157"/>
  <c r="G205" i="157" s="1"/>
  <c r="J204" i="157"/>
  <c r="N204" i="157" s="1"/>
  <c r="K258" i="157"/>
  <c r="N286" i="157"/>
  <c r="C243" i="157"/>
  <c r="B243" i="157" s="1"/>
  <c r="D243" i="157"/>
  <c r="F242" i="157"/>
  <c r="E242" i="157"/>
  <c r="F88" i="157"/>
  <c r="D89" i="157"/>
  <c r="E88" i="157"/>
  <c r="C89" i="157"/>
  <c r="B89" i="157" s="1"/>
  <c r="F120" i="157"/>
  <c r="C121" i="157"/>
  <c r="B121" i="157" s="1"/>
  <c r="E120" i="157"/>
  <c r="D121" i="157"/>
  <c r="H110" i="157"/>
  <c r="O110" i="157" s="1"/>
  <c r="G111" i="157" s="1"/>
  <c r="F269" i="157"/>
  <c r="D270" i="157"/>
  <c r="C270" i="157"/>
  <c r="B270" i="157" s="1"/>
  <c r="E269" i="157"/>
  <c r="F152" i="157"/>
  <c r="D153" i="157"/>
  <c r="C153" i="157"/>
  <c r="B153" i="157" s="1"/>
  <c r="E152" i="157"/>
  <c r="D214" i="157"/>
  <c r="E213" i="157"/>
  <c r="C214" i="157"/>
  <c r="B214" i="157" s="1"/>
  <c r="F213" i="157"/>
  <c r="K230" i="157"/>
  <c r="N230" i="157"/>
  <c r="N258" i="157"/>
  <c r="M202" i="157"/>
  <c r="M285" i="157"/>
  <c r="C183" i="157"/>
  <c r="B183" i="157" s="1"/>
  <c r="E182" i="157"/>
  <c r="D183" i="157"/>
  <c r="F182" i="157"/>
  <c r="D297" i="157"/>
  <c r="E296" i="157"/>
  <c r="C297" i="157"/>
  <c r="B297" i="157" s="1"/>
  <c r="F296" i="157"/>
  <c r="N172" i="157"/>
  <c r="O79" i="157"/>
  <c r="G80" i="157" s="1"/>
  <c r="H80" i="157" s="1"/>
  <c r="O35" i="157" l="1"/>
  <c r="G36" i="157" s="1"/>
  <c r="A65" i="157"/>
  <c r="B65" i="157"/>
  <c r="F31" i="157"/>
  <c r="C32" i="157"/>
  <c r="E31" i="157"/>
  <c r="K30" i="157"/>
  <c r="M30" i="157" s="1"/>
  <c r="N30" i="157"/>
  <c r="I222" i="157"/>
  <c r="I242" i="157"/>
  <c r="J259" i="157"/>
  <c r="H259" i="157"/>
  <c r="I246" i="157"/>
  <c r="I238" i="157"/>
  <c r="I236" i="157"/>
  <c r="I241" i="157"/>
  <c r="I239" i="157"/>
  <c r="H250" i="157"/>
  <c r="I243" i="157"/>
  <c r="I233" i="157"/>
  <c r="I234" i="157"/>
  <c r="I235" i="157"/>
  <c r="I240" i="157"/>
  <c r="I244" i="157"/>
  <c r="I247" i="157"/>
  <c r="I248" i="157"/>
  <c r="I237" i="157"/>
  <c r="I245" i="157"/>
  <c r="F84" i="168"/>
  <c r="N287" i="157"/>
  <c r="N231" i="157"/>
  <c r="H111" i="157"/>
  <c r="N111" i="157" s="1"/>
  <c r="O80" i="157"/>
  <c r="G81" i="157" s="1"/>
  <c r="H81" i="157" s="1"/>
  <c r="K80" i="157"/>
  <c r="M80" i="157" s="1"/>
  <c r="F297" i="157"/>
  <c r="C298" i="157"/>
  <c r="B298" i="157" s="1"/>
  <c r="E297" i="157"/>
  <c r="D298" i="157"/>
  <c r="F153" i="157"/>
  <c r="D154" i="157"/>
  <c r="E153" i="157"/>
  <c r="C154" i="157"/>
  <c r="B154" i="157" s="1"/>
  <c r="E270" i="157"/>
  <c r="C271" i="157"/>
  <c r="B271" i="157" s="1"/>
  <c r="F270" i="157"/>
  <c r="D271" i="157"/>
  <c r="N110" i="157"/>
  <c r="F243" i="157"/>
  <c r="D244" i="157"/>
  <c r="E243" i="157"/>
  <c r="C244" i="157"/>
  <c r="B244" i="157" s="1"/>
  <c r="M258" i="157"/>
  <c r="J288" i="157"/>
  <c r="O288" i="157"/>
  <c r="G289" i="157" s="1"/>
  <c r="C215" i="157"/>
  <c r="B215" i="157" s="1"/>
  <c r="F214" i="157"/>
  <c r="E214" i="157"/>
  <c r="D215" i="157"/>
  <c r="K172" i="157"/>
  <c r="O172" i="157"/>
  <c r="G173" i="157" s="1"/>
  <c r="H173" i="157" s="1"/>
  <c r="F121" i="157"/>
  <c r="D122" i="157"/>
  <c r="E121" i="157"/>
  <c r="C122" i="157"/>
  <c r="B122" i="157" s="1"/>
  <c r="J205" i="157"/>
  <c r="K205" i="157" s="1"/>
  <c r="M205" i="157" s="1"/>
  <c r="O205" i="157"/>
  <c r="G206" i="157" s="1"/>
  <c r="F183" i="157"/>
  <c r="E183" i="157"/>
  <c r="D184" i="157"/>
  <c r="C184" i="157"/>
  <c r="B184" i="157" s="1"/>
  <c r="K79" i="157"/>
  <c r="O142" i="157"/>
  <c r="G143" i="157" s="1"/>
  <c r="H143" i="157" s="1"/>
  <c r="M230" i="157"/>
  <c r="D90" i="157"/>
  <c r="E89" i="157"/>
  <c r="C90" i="157"/>
  <c r="B90" i="157" s="1"/>
  <c r="F89" i="157"/>
  <c r="K204" i="157"/>
  <c r="N142" i="157"/>
  <c r="J232" i="157"/>
  <c r="N232" i="157" s="1"/>
  <c r="O232" i="157"/>
  <c r="G233" i="157" s="1"/>
  <c r="J31" i="157" l="1"/>
  <c r="K31" i="157" s="1"/>
  <c r="M31" i="157" s="1"/>
  <c r="A66" i="157"/>
  <c r="B66" i="157"/>
  <c r="B32" i="157"/>
  <c r="D32" i="157"/>
  <c r="O36" i="157"/>
  <c r="G37" i="157" s="1"/>
  <c r="N259" i="157"/>
  <c r="I250" i="157"/>
  <c r="I259" i="157"/>
  <c r="K259" i="157" s="1"/>
  <c r="M259" i="157" s="1"/>
  <c r="I274" i="157"/>
  <c r="I261" i="157"/>
  <c r="I260" i="157"/>
  <c r="I272" i="157"/>
  <c r="I271" i="157"/>
  <c r="I265" i="157"/>
  <c r="I262" i="157"/>
  <c r="H277" i="157"/>
  <c r="I270" i="157"/>
  <c r="I267" i="157"/>
  <c r="I266" i="157"/>
  <c r="I264" i="157"/>
  <c r="I275" i="157"/>
  <c r="I269" i="157"/>
  <c r="I263" i="157"/>
  <c r="I268" i="157"/>
  <c r="I273" i="157"/>
  <c r="O173" i="157"/>
  <c r="G174" i="157" s="1"/>
  <c r="H174" i="157" s="1"/>
  <c r="N80" i="157"/>
  <c r="O233" i="157"/>
  <c r="G234" i="157" s="1"/>
  <c r="J233" i="157"/>
  <c r="K233" i="157" s="1"/>
  <c r="M233" i="157" s="1"/>
  <c r="M204" i="157"/>
  <c r="F184" i="157"/>
  <c r="D185" i="157"/>
  <c r="E184" i="157"/>
  <c r="C185" i="157"/>
  <c r="B185" i="157" s="1"/>
  <c r="D123" i="157"/>
  <c r="E122" i="157"/>
  <c r="C123" i="157"/>
  <c r="B123" i="157" s="1"/>
  <c r="F122" i="157"/>
  <c r="N173" i="157"/>
  <c r="O143" i="157"/>
  <c r="G144" i="157" s="1"/>
  <c r="H144" i="157" s="1"/>
  <c r="K143" i="157"/>
  <c r="M143" i="157" s="1"/>
  <c r="K142" i="157"/>
  <c r="N205" i="157"/>
  <c r="M172" i="157"/>
  <c r="O289" i="157"/>
  <c r="G290" i="157" s="1"/>
  <c r="J289" i="157"/>
  <c r="K289" i="157" s="1"/>
  <c r="M289" i="157" s="1"/>
  <c r="D155" i="157"/>
  <c r="E154" i="157"/>
  <c r="C155" i="157"/>
  <c r="B155" i="157" s="1"/>
  <c r="F154" i="157"/>
  <c r="M79" i="157"/>
  <c r="K288" i="157"/>
  <c r="M288" i="157" s="1"/>
  <c r="D299" i="157"/>
  <c r="E298" i="157"/>
  <c r="F298" i="157"/>
  <c r="C299" i="157"/>
  <c r="B299" i="157" s="1"/>
  <c r="K232" i="157"/>
  <c r="C91" i="157"/>
  <c r="B91" i="157" s="1"/>
  <c r="E90" i="157"/>
  <c r="F90" i="157"/>
  <c r="D91" i="157"/>
  <c r="J206" i="157"/>
  <c r="K206" i="157" s="1"/>
  <c r="M206" i="157" s="1"/>
  <c r="O206" i="157"/>
  <c r="G207" i="157" s="1"/>
  <c r="F215" i="157"/>
  <c r="E215" i="157"/>
  <c r="D216" i="157"/>
  <c r="C216" i="157"/>
  <c r="B216" i="157" s="1"/>
  <c r="N288" i="157"/>
  <c r="F244" i="157"/>
  <c r="D245" i="157"/>
  <c r="E244" i="157"/>
  <c r="C245" i="157"/>
  <c r="B245" i="157" s="1"/>
  <c r="D272" i="157"/>
  <c r="E271" i="157"/>
  <c r="F271" i="157"/>
  <c r="C272" i="157"/>
  <c r="B272" i="157" s="1"/>
  <c r="O81" i="157"/>
  <c r="G82" i="157" s="1"/>
  <c r="H82" i="157" s="1"/>
  <c r="I82" i="157" s="1"/>
  <c r="N31" i="157" l="1"/>
  <c r="C33" i="157"/>
  <c r="E32" i="157"/>
  <c r="F32" i="157"/>
  <c r="O37" i="157"/>
  <c r="G38" i="157" s="1"/>
  <c r="A67" i="157"/>
  <c r="B67" i="157"/>
  <c r="O259" i="157"/>
  <c r="G260" i="157" s="1"/>
  <c r="O260" i="157" s="1"/>
  <c r="G261" i="157" s="1"/>
  <c r="I88" i="157"/>
  <c r="I89" i="157"/>
  <c r="I97" i="157"/>
  <c r="I92" i="157"/>
  <c r="I91" i="157"/>
  <c r="I85" i="157"/>
  <c r="I94" i="157"/>
  <c r="H100" i="157"/>
  <c r="I87" i="157"/>
  <c r="I83" i="157"/>
  <c r="I95" i="157"/>
  <c r="I96" i="157"/>
  <c r="I84" i="157"/>
  <c r="I98" i="157"/>
  <c r="I93" i="157"/>
  <c r="I90" i="157"/>
  <c r="I86" i="157"/>
  <c r="I277" i="157"/>
  <c r="N206" i="157"/>
  <c r="K111" i="157"/>
  <c r="O111" i="157"/>
  <c r="G112" i="157" s="1"/>
  <c r="H112" i="157" s="1"/>
  <c r="O207" i="157"/>
  <c r="G208" i="157" s="1"/>
  <c r="J207" i="157"/>
  <c r="N207" i="157" s="1"/>
  <c r="F91" i="157"/>
  <c r="C92" i="157"/>
  <c r="B92" i="157" s="1"/>
  <c r="E91" i="157"/>
  <c r="D92" i="157"/>
  <c r="J290" i="157"/>
  <c r="K290" i="157" s="1"/>
  <c r="M290" i="157" s="1"/>
  <c r="O290" i="157"/>
  <c r="G291" i="157" s="1"/>
  <c r="C124" i="157"/>
  <c r="B124" i="157" s="1"/>
  <c r="E123" i="157"/>
  <c r="F123" i="157"/>
  <c r="D124" i="157"/>
  <c r="O82" i="157"/>
  <c r="G83" i="157" s="1"/>
  <c r="J82" i="157"/>
  <c r="D246" i="157"/>
  <c r="E245" i="157"/>
  <c r="C246" i="157"/>
  <c r="B246" i="157" s="1"/>
  <c r="F245" i="157"/>
  <c r="F216" i="157"/>
  <c r="D217" i="157"/>
  <c r="E216" i="157"/>
  <c r="C217" i="157"/>
  <c r="B217" i="157" s="1"/>
  <c r="O144" i="157"/>
  <c r="G145" i="157" s="1"/>
  <c r="H145" i="157" s="1"/>
  <c r="I145" i="157" s="1"/>
  <c r="K144" i="157"/>
  <c r="M144" i="157" s="1"/>
  <c r="K81" i="157"/>
  <c r="F272" i="157"/>
  <c r="C273" i="157"/>
  <c r="B273" i="157" s="1"/>
  <c r="E272" i="157"/>
  <c r="D273" i="157"/>
  <c r="M142" i="157"/>
  <c r="O174" i="157"/>
  <c r="G175" i="157" s="1"/>
  <c r="H175" i="157" s="1"/>
  <c r="I175" i="157" s="1"/>
  <c r="K174" i="157"/>
  <c r="M174" i="157" s="1"/>
  <c r="O234" i="157"/>
  <c r="G235" i="157" s="1"/>
  <c r="J234" i="157"/>
  <c r="N234" i="157" s="1"/>
  <c r="N81" i="157"/>
  <c r="M232" i="157"/>
  <c r="C300" i="157"/>
  <c r="B300" i="157" s="1"/>
  <c r="F299" i="157"/>
  <c r="D300" i="157"/>
  <c r="E299" i="157"/>
  <c r="C156" i="157"/>
  <c r="B156" i="157" s="1"/>
  <c r="D156" i="157"/>
  <c r="F155" i="157"/>
  <c r="E155" i="157"/>
  <c r="N289" i="157"/>
  <c r="N143" i="157"/>
  <c r="K173" i="157"/>
  <c r="D186" i="157"/>
  <c r="E185" i="157"/>
  <c r="C186" i="157"/>
  <c r="B186" i="157" s="1"/>
  <c r="F185" i="157"/>
  <c r="N233" i="157"/>
  <c r="O38" i="157" l="1"/>
  <c r="G39" i="157" s="1"/>
  <c r="J32" i="157"/>
  <c r="B33" i="157"/>
  <c r="D33" i="157"/>
  <c r="J260" i="157"/>
  <c r="K260" i="157" s="1"/>
  <c r="M260" i="157" s="1"/>
  <c r="N82" i="157"/>
  <c r="I152" i="157"/>
  <c r="I153" i="157"/>
  <c r="H193" i="157"/>
  <c r="I179" i="157"/>
  <c r="I189" i="157"/>
  <c r="I148" i="157"/>
  <c r="I157" i="157"/>
  <c r="I184" i="157"/>
  <c r="I176" i="157"/>
  <c r="I146" i="157"/>
  <c r="I151" i="157"/>
  <c r="I160" i="157"/>
  <c r="I186" i="157"/>
  <c r="I100" i="157"/>
  <c r="I155" i="157"/>
  <c r="H163" i="157"/>
  <c r="I181" i="157"/>
  <c r="I191" i="157"/>
  <c r="N260" i="157"/>
  <c r="I159" i="157"/>
  <c r="I158" i="157"/>
  <c r="I149" i="157"/>
  <c r="I147" i="157"/>
  <c r="I187" i="157"/>
  <c r="I190" i="157"/>
  <c r="I185" i="157"/>
  <c r="I178" i="157"/>
  <c r="I188" i="157"/>
  <c r="I156" i="157"/>
  <c r="I150" i="157"/>
  <c r="I154" i="157"/>
  <c r="I180" i="157"/>
  <c r="I161" i="157"/>
  <c r="I182" i="157"/>
  <c r="I183" i="157"/>
  <c r="I177" i="157"/>
  <c r="O261" i="157"/>
  <c r="G262" i="157" s="1"/>
  <c r="J261" i="157"/>
  <c r="N290" i="157"/>
  <c r="M173" i="157"/>
  <c r="O175" i="157"/>
  <c r="G176" i="157" s="1"/>
  <c r="J175" i="157"/>
  <c r="K175" i="157" s="1"/>
  <c r="M175" i="157" s="1"/>
  <c r="M81" i="157"/>
  <c r="O145" i="157"/>
  <c r="G146" i="157" s="1"/>
  <c r="J145" i="157"/>
  <c r="K145" i="157" s="1"/>
  <c r="M145" i="157" s="1"/>
  <c r="C247" i="157"/>
  <c r="B247" i="157" s="1"/>
  <c r="E246" i="157"/>
  <c r="D247" i="157"/>
  <c r="F246" i="157"/>
  <c r="O291" i="157"/>
  <c r="G292" i="157" s="1"/>
  <c r="J291" i="157"/>
  <c r="K291" i="157" s="1"/>
  <c r="M291" i="157" s="1"/>
  <c r="O235" i="157"/>
  <c r="G236" i="157" s="1"/>
  <c r="J235" i="157"/>
  <c r="K235" i="157" s="1"/>
  <c r="M235" i="157" s="1"/>
  <c r="D274" i="157"/>
  <c r="E273" i="157"/>
  <c r="C274" i="157"/>
  <c r="B274" i="157" s="1"/>
  <c r="F273" i="157"/>
  <c r="F92" i="157"/>
  <c r="D93" i="157"/>
  <c r="E92" i="157"/>
  <c r="C93" i="157"/>
  <c r="B93" i="157" s="1"/>
  <c r="K207" i="157"/>
  <c r="N112" i="157"/>
  <c r="F156" i="157"/>
  <c r="D157" i="157"/>
  <c r="C157" i="157"/>
  <c r="B157" i="157" s="1"/>
  <c r="E156" i="157"/>
  <c r="K82" i="157"/>
  <c r="M82" i="157" s="1"/>
  <c r="M111" i="157"/>
  <c r="C187" i="157"/>
  <c r="B187" i="157" s="1"/>
  <c r="E186" i="157"/>
  <c r="D187" i="157"/>
  <c r="F186" i="157"/>
  <c r="D301" i="157"/>
  <c r="E300" i="157"/>
  <c r="C301" i="157"/>
  <c r="B301" i="157" s="1"/>
  <c r="F300" i="157"/>
  <c r="K234" i="157"/>
  <c r="N174" i="157"/>
  <c r="N144" i="157"/>
  <c r="D218" i="157"/>
  <c r="E217" i="157"/>
  <c r="C218" i="157"/>
  <c r="B218" i="157" s="1"/>
  <c r="F217" i="157"/>
  <c r="O83" i="157"/>
  <c r="G84" i="157" s="1"/>
  <c r="J83" i="157"/>
  <c r="F124" i="157"/>
  <c r="C125" i="157"/>
  <c r="B125" i="157" s="1"/>
  <c r="E124" i="157"/>
  <c r="D125" i="157"/>
  <c r="O208" i="157"/>
  <c r="G209" i="157" s="1"/>
  <c r="J208" i="157"/>
  <c r="K208" i="157" s="1"/>
  <c r="M208" i="157" s="1"/>
  <c r="K32" i="157" l="1"/>
  <c r="M32" i="157" s="1"/>
  <c r="N32" i="157"/>
  <c r="C34" i="157"/>
  <c r="E33" i="157"/>
  <c r="F33" i="157"/>
  <c r="O39" i="157"/>
  <c r="G40" i="157" s="1"/>
  <c r="N83" i="157"/>
  <c r="I193" i="157"/>
  <c r="I163" i="157"/>
  <c r="K261" i="157"/>
  <c r="M261" i="157" s="1"/>
  <c r="N261" i="157"/>
  <c r="J262" i="157"/>
  <c r="O262" i="157"/>
  <c r="G263" i="157" s="1"/>
  <c r="O112" i="157"/>
  <c r="G113" i="157" s="1"/>
  <c r="N175" i="157"/>
  <c r="N208" i="157"/>
  <c r="N291" i="157"/>
  <c r="J209" i="157"/>
  <c r="O209" i="157"/>
  <c r="G210" i="157" s="1"/>
  <c r="C219" i="157"/>
  <c r="B219" i="157" s="1"/>
  <c r="F218" i="157"/>
  <c r="E218" i="157"/>
  <c r="D219" i="157"/>
  <c r="M234" i="157"/>
  <c r="F301" i="157"/>
  <c r="E301" i="157"/>
  <c r="F157" i="157"/>
  <c r="D158" i="157"/>
  <c r="E157" i="157"/>
  <c r="C158" i="157"/>
  <c r="B158" i="157" s="1"/>
  <c r="D94" i="157"/>
  <c r="E93" i="157"/>
  <c r="C94" i="157"/>
  <c r="B94" i="157" s="1"/>
  <c r="F93" i="157"/>
  <c r="O176" i="157"/>
  <c r="G177" i="157" s="1"/>
  <c r="J176" i="157"/>
  <c r="F125" i="157"/>
  <c r="D126" i="157"/>
  <c r="E125" i="157"/>
  <c r="C126" i="157"/>
  <c r="B126" i="157" s="1"/>
  <c r="F187" i="157"/>
  <c r="E187" i="157"/>
  <c r="D188" i="157"/>
  <c r="C188" i="157"/>
  <c r="B188" i="157" s="1"/>
  <c r="M207" i="157"/>
  <c r="N235" i="157"/>
  <c r="J292" i="157"/>
  <c r="K292" i="157" s="1"/>
  <c r="M292" i="157" s="1"/>
  <c r="O292" i="157"/>
  <c r="G293" i="157" s="1"/>
  <c r="O84" i="157"/>
  <c r="G85" i="157" s="1"/>
  <c r="J84" i="157"/>
  <c r="J146" i="157"/>
  <c r="N146" i="157" s="1"/>
  <c r="O146" i="157"/>
  <c r="G147" i="157" s="1"/>
  <c r="K83" i="157"/>
  <c r="K112" i="157"/>
  <c r="C275" i="157"/>
  <c r="B275" i="157" s="1"/>
  <c r="F274" i="157"/>
  <c r="D275" i="157"/>
  <c r="E274" i="157"/>
  <c r="J236" i="157"/>
  <c r="K236" i="157" s="1"/>
  <c r="M236" i="157" s="1"/>
  <c r="O236" i="157"/>
  <c r="G237" i="157" s="1"/>
  <c r="F247" i="157"/>
  <c r="E247" i="157"/>
  <c r="D248" i="157"/>
  <c r="C248" i="157"/>
  <c r="B248" i="157" s="1"/>
  <c r="N145" i="157"/>
  <c r="J33" i="157" l="1"/>
  <c r="K33" i="157" s="1"/>
  <c r="M33" i="157" s="1"/>
  <c r="B34" i="157"/>
  <c r="D34" i="157"/>
  <c r="O40" i="157"/>
  <c r="G41" i="157" s="1"/>
  <c r="J263" i="157"/>
  <c r="K263" i="157" s="1"/>
  <c r="M263" i="157" s="1"/>
  <c r="O263" i="157"/>
  <c r="G264" i="157" s="1"/>
  <c r="N262" i="157"/>
  <c r="K262" i="157"/>
  <c r="M262" i="157" s="1"/>
  <c r="H113" i="157"/>
  <c r="N236" i="157"/>
  <c r="F248" i="157"/>
  <c r="E248" i="157"/>
  <c r="E275" i="157"/>
  <c r="F275" i="157"/>
  <c r="K84" i="157"/>
  <c r="M84" i="157" s="1"/>
  <c r="D127" i="157"/>
  <c r="E126" i="157"/>
  <c r="C127" i="157"/>
  <c r="B127" i="157" s="1"/>
  <c r="F126" i="157"/>
  <c r="J177" i="157"/>
  <c r="K177" i="157" s="1"/>
  <c r="M177" i="157" s="1"/>
  <c r="O177" i="157"/>
  <c r="G178" i="157" s="1"/>
  <c r="C95" i="157"/>
  <c r="B95" i="157" s="1"/>
  <c r="E94" i="157"/>
  <c r="F94" i="157"/>
  <c r="D95" i="157"/>
  <c r="N84" i="157"/>
  <c r="O293" i="157"/>
  <c r="G294" i="157" s="1"/>
  <c r="J293" i="157"/>
  <c r="K293" i="157" s="1"/>
  <c r="M293" i="157" s="1"/>
  <c r="F219" i="157"/>
  <c r="E219" i="157"/>
  <c r="D220" i="157"/>
  <c r="C220" i="157"/>
  <c r="B220" i="157" s="1"/>
  <c r="J210" i="157"/>
  <c r="K210" i="157" s="1"/>
  <c r="M210" i="157" s="1"/>
  <c r="O210" i="157"/>
  <c r="G211" i="157" s="1"/>
  <c r="O237" i="157"/>
  <c r="G238" i="157" s="1"/>
  <c r="J237" i="157"/>
  <c r="K237" i="157" s="1"/>
  <c r="M237" i="157" s="1"/>
  <c r="M112" i="157"/>
  <c r="O147" i="157"/>
  <c r="G148" i="157" s="1"/>
  <c r="J147" i="157"/>
  <c r="K147" i="157" s="1"/>
  <c r="M147" i="157" s="1"/>
  <c r="J85" i="157"/>
  <c r="O85" i="157"/>
  <c r="G86" i="157" s="1"/>
  <c r="K176" i="157"/>
  <c r="K209" i="157"/>
  <c r="M209" i="157" s="1"/>
  <c r="M83" i="157"/>
  <c r="K146" i="157"/>
  <c r="N292" i="157"/>
  <c r="F188" i="157"/>
  <c r="D189" i="157"/>
  <c r="E188" i="157"/>
  <c r="C189" i="157"/>
  <c r="B189" i="157" s="1"/>
  <c r="N176" i="157"/>
  <c r="D159" i="157"/>
  <c r="E158" i="157"/>
  <c r="C159" i="157"/>
  <c r="B159" i="157" s="1"/>
  <c r="F158" i="157"/>
  <c r="N209" i="157"/>
  <c r="N33" i="157" l="1"/>
  <c r="E34" i="157"/>
  <c r="F34" i="157"/>
  <c r="C35" i="157"/>
  <c r="O41" i="157"/>
  <c r="G42" i="157" s="1"/>
  <c r="N263" i="157"/>
  <c r="N85" i="157"/>
  <c r="J264" i="157"/>
  <c r="O264" i="157"/>
  <c r="G265" i="157" s="1"/>
  <c r="N113" i="157"/>
  <c r="N210" i="157"/>
  <c r="N237" i="157"/>
  <c r="N177" i="157"/>
  <c r="O86" i="157"/>
  <c r="G87" i="157" s="1"/>
  <c r="J86" i="157"/>
  <c r="O211" i="157"/>
  <c r="G212" i="157" s="1"/>
  <c r="J211" i="157"/>
  <c r="K211" i="157" s="1"/>
  <c r="M211" i="157" s="1"/>
  <c r="F220" i="157"/>
  <c r="E220" i="157"/>
  <c r="J294" i="157"/>
  <c r="K294" i="157" s="1"/>
  <c r="M294" i="157" s="1"/>
  <c r="O294" i="157"/>
  <c r="G295" i="157" s="1"/>
  <c r="F95" i="157"/>
  <c r="C96" i="157"/>
  <c r="B96" i="157" s="1"/>
  <c r="E95" i="157"/>
  <c r="D96" i="157"/>
  <c r="O178" i="157"/>
  <c r="G179" i="157" s="1"/>
  <c r="J178" i="157"/>
  <c r="M146" i="157"/>
  <c r="M176" i="157"/>
  <c r="N147" i="157"/>
  <c r="D160" i="157"/>
  <c r="C160" i="157"/>
  <c r="B160" i="157" s="1"/>
  <c r="F159" i="157"/>
  <c r="E159" i="157"/>
  <c r="D190" i="157"/>
  <c r="E189" i="157"/>
  <c r="C190" i="157"/>
  <c r="B190" i="157" s="1"/>
  <c r="F189" i="157"/>
  <c r="O238" i="157"/>
  <c r="G239" i="157" s="1"/>
  <c r="J238" i="157"/>
  <c r="K238" i="157" s="1"/>
  <c r="M238" i="157" s="1"/>
  <c r="C128" i="157"/>
  <c r="B128" i="157" s="1"/>
  <c r="E127" i="157"/>
  <c r="F127" i="157"/>
  <c r="D128" i="157"/>
  <c r="K85" i="157"/>
  <c r="M85" i="157" s="1"/>
  <c r="O148" i="157"/>
  <c r="G149" i="157" s="1"/>
  <c r="J148" i="157"/>
  <c r="K148" i="157" s="1"/>
  <c r="M148" i="157" s="1"/>
  <c r="N293" i="157"/>
  <c r="J34" i="157" l="1"/>
  <c r="N34" i="157" s="1"/>
  <c r="O42" i="157"/>
  <c r="D35" i="157"/>
  <c r="B35" i="157"/>
  <c r="K34" i="157"/>
  <c r="M34" i="157" s="1"/>
  <c r="N86" i="157"/>
  <c r="O265" i="157"/>
  <c r="G266" i="157" s="1"/>
  <c r="J265" i="157"/>
  <c r="K264" i="157"/>
  <c r="M264" i="157" s="1"/>
  <c r="N264" i="157"/>
  <c r="K113" i="157"/>
  <c r="M113" i="157" s="1"/>
  <c r="O113" i="157"/>
  <c r="G114" i="157" s="1"/>
  <c r="H114" i="157" s="1"/>
  <c r="F128" i="157"/>
  <c r="C129" i="157"/>
  <c r="B129" i="157" s="1"/>
  <c r="E128" i="157"/>
  <c r="D129" i="157"/>
  <c r="O239" i="157"/>
  <c r="G240" i="157" s="1"/>
  <c r="J239" i="157"/>
  <c r="K239" i="157" s="1"/>
  <c r="M239" i="157" s="1"/>
  <c r="K178" i="157"/>
  <c r="M178" i="157" s="1"/>
  <c r="O212" i="157"/>
  <c r="G213" i="157" s="1"/>
  <c r="J212" i="157"/>
  <c r="K212" i="157" s="1"/>
  <c r="M212" i="157" s="1"/>
  <c r="O87" i="157"/>
  <c r="G88" i="157" s="1"/>
  <c r="J87" i="157"/>
  <c r="N148" i="157"/>
  <c r="D191" i="157"/>
  <c r="C191" i="157"/>
  <c r="B191" i="157" s="1"/>
  <c r="E190" i="157"/>
  <c r="F190" i="157"/>
  <c r="C161" i="157"/>
  <c r="B161" i="157" s="1"/>
  <c r="D161" i="157"/>
  <c r="F160" i="157"/>
  <c r="E160" i="157"/>
  <c r="N178" i="157"/>
  <c r="N294" i="157"/>
  <c r="O149" i="157"/>
  <c r="G150" i="157" s="1"/>
  <c r="J149" i="157"/>
  <c r="K149" i="157" s="1"/>
  <c r="M149" i="157" s="1"/>
  <c r="O179" i="157"/>
  <c r="G180" i="157" s="1"/>
  <c r="J179" i="157"/>
  <c r="K179" i="157" s="1"/>
  <c r="M179" i="157" s="1"/>
  <c r="N238" i="157"/>
  <c r="F96" i="157"/>
  <c r="D97" i="157"/>
  <c r="E96" i="157"/>
  <c r="C97" i="157"/>
  <c r="B97" i="157" s="1"/>
  <c r="O295" i="157"/>
  <c r="G296" i="157" s="1"/>
  <c r="J295" i="157"/>
  <c r="K295" i="157" s="1"/>
  <c r="M295" i="157" s="1"/>
  <c r="N211" i="157"/>
  <c r="K86" i="157"/>
  <c r="M86" i="157" s="1"/>
  <c r="F35" i="157" l="1"/>
  <c r="E35" i="157"/>
  <c r="C36" i="157"/>
  <c r="N87" i="157"/>
  <c r="K265" i="157"/>
  <c r="M265" i="157" s="1"/>
  <c r="N265" i="157"/>
  <c r="I114" i="157"/>
  <c r="C51" i="157" s="1"/>
  <c r="I120" i="157"/>
  <c r="C57" i="157" s="1"/>
  <c r="I119" i="157"/>
  <c r="C56" i="157" s="1"/>
  <c r="I125" i="157"/>
  <c r="C62" i="157" s="1"/>
  <c r="I115" i="157"/>
  <c r="C52" i="157" s="1"/>
  <c r="I118" i="157"/>
  <c r="C55" i="157" s="1"/>
  <c r="I116" i="157"/>
  <c r="C53" i="157" s="1"/>
  <c r="I123" i="157"/>
  <c r="C60" i="157" s="1"/>
  <c r="I122" i="157"/>
  <c r="C59" i="157" s="1"/>
  <c r="I121" i="157"/>
  <c r="C58" i="157" s="1"/>
  <c r="I127" i="157"/>
  <c r="C64" i="157" s="1"/>
  <c r="I128" i="157"/>
  <c r="C65" i="157" s="1"/>
  <c r="I126" i="157"/>
  <c r="C63" i="157" s="1"/>
  <c r="I129" i="157"/>
  <c r="C66" i="157" s="1"/>
  <c r="H132" i="157"/>
  <c r="I124" i="157"/>
  <c r="C61" i="157" s="1"/>
  <c r="I117" i="157"/>
  <c r="C54" i="157" s="1"/>
  <c r="I130" i="157"/>
  <c r="C67" i="157" s="1"/>
  <c r="J266" i="157"/>
  <c r="O266" i="157"/>
  <c r="G267" i="157" s="1"/>
  <c r="J114" i="157"/>
  <c r="N212" i="157"/>
  <c r="N239" i="157"/>
  <c r="N179" i="157"/>
  <c r="J150" i="157"/>
  <c r="K150" i="157" s="1"/>
  <c r="M150" i="157" s="1"/>
  <c r="O150" i="157"/>
  <c r="G151" i="157" s="1"/>
  <c r="F129" i="157"/>
  <c r="D130" i="157"/>
  <c r="E129" i="157"/>
  <c r="C130" i="157"/>
  <c r="B130" i="157" s="1"/>
  <c r="N295" i="157"/>
  <c r="K87" i="157"/>
  <c r="M87" i="157" s="1"/>
  <c r="J213" i="157"/>
  <c r="K213" i="157" s="1"/>
  <c r="M213" i="157" s="1"/>
  <c r="O213" i="157"/>
  <c r="G214" i="157" s="1"/>
  <c r="D98" i="157"/>
  <c r="E97" i="157"/>
  <c r="C98" i="157"/>
  <c r="B98" i="157" s="1"/>
  <c r="F97" i="157"/>
  <c r="E161" i="157"/>
  <c r="F161" i="157"/>
  <c r="O88" i="157"/>
  <c r="G89" i="157" s="1"/>
  <c r="J88" i="157"/>
  <c r="J296" i="157"/>
  <c r="K296" i="157" s="1"/>
  <c r="M296" i="157" s="1"/>
  <c r="O296" i="157"/>
  <c r="G297" i="157" s="1"/>
  <c r="O180" i="157"/>
  <c r="G181" i="157" s="1"/>
  <c r="J180" i="157"/>
  <c r="N149" i="157"/>
  <c r="E191" i="157"/>
  <c r="F191" i="157"/>
  <c r="J240" i="157"/>
  <c r="K240" i="157" s="1"/>
  <c r="M240" i="157" s="1"/>
  <c r="O240" i="157"/>
  <c r="G241" i="157" s="1"/>
  <c r="J35" i="157" l="1"/>
  <c r="N35" i="157" s="1"/>
  <c r="D36" i="157"/>
  <c r="B36" i="157"/>
  <c r="N88" i="157"/>
  <c r="N114" i="157"/>
  <c r="D51" i="157"/>
  <c r="C69" i="157"/>
  <c r="I132" i="157"/>
  <c r="O267" i="157"/>
  <c r="G268" i="157" s="1"/>
  <c r="J267" i="157"/>
  <c r="O114" i="157"/>
  <c r="G115" i="157" s="1"/>
  <c r="J115" i="157" s="1"/>
  <c r="D52" i="157" s="1"/>
  <c r="E52" i="157" s="1"/>
  <c r="C85" i="168" s="1"/>
  <c r="K266" i="157"/>
  <c r="M266" i="157" s="1"/>
  <c r="N266" i="157"/>
  <c r="K114" i="157"/>
  <c r="M114" i="157" s="1"/>
  <c r="N240" i="157"/>
  <c r="K180" i="157"/>
  <c r="M180" i="157" s="1"/>
  <c r="O297" i="157"/>
  <c r="G298" i="157" s="1"/>
  <c r="J297" i="157"/>
  <c r="K297" i="157" s="1"/>
  <c r="M297" i="157" s="1"/>
  <c r="N213" i="157"/>
  <c r="E130" i="157"/>
  <c r="F130" i="157"/>
  <c r="N150" i="157"/>
  <c r="O241" i="157"/>
  <c r="G242" i="157" s="1"/>
  <c r="J241" i="157"/>
  <c r="K241" i="157" s="1"/>
  <c r="M241" i="157" s="1"/>
  <c r="J181" i="157"/>
  <c r="K181" i="157" s="1"/>
  <c r="M181" i="157" s="1"/>
  <c r="O181" i="157"/>
  <c r="G182" i="157" s="1"/>
  <c r="N296" i="157"/>
  <c r="J89" i="157"/>
  <c r="O89" i="157"/>
  <c r="G90" i="157" s="1"/>
  <c r="K88" i="157"/>
  <c r="M88" i="157" s="1"/>
  <c r="N180" i="157"/>
  <c r="E98" i="157"/>
  <c r="F98" i="157"/>
  <c r="J214" i="157"/>
  <c r="K214" i="157" s="1"/>
  <c r="M214" i="157" s="1"/>
  <c r="O214" i="157"/>
  <c r="G215" i="157" s="1"/>
  <c r="O151" i="157"/>
  <c r="G152" i="157" s="1"/>
  <c r="J151" i="157"/>
  <c r="K151" i="157" s="1"/>
  <c r="M151" i="157" s="1"/>
  <c r="K35" i="157" l="1"/>
  <c r="M35" i="157" s="1"/>
  <c r="E36" i="157"/>
  <c r="C37" i="157"/>
  <c r="F36" i="157"/>
  <c r="N89" i="157"/>
  <c r="E51" i="157"/>
  <c r="O115" i="157"/>
  <c r="G116" i="157" s="1"/>
  <c r="O116" i="157" s="1"/>
  <c r="G117" i="157" s="1"/>
  <c r="K267" i="157"/>
  <c r="M267" i="157" s="1"/>
  <c r="N267" i="157"/>
  <c r="O268" i="157"/>
  <c r="G269" i="157" s="1"/>
  <c r="J268" i="157"/>
  <c r="K268" i="157" s="1"/>
  <c r="M268" i="157" s="1"/>
  <c r="K115" i="157"/>
  <c r="M115" i="157" s="1"/>
  <c r="N115" i="157"/>
  <c r="N151" i="157"/>
  <c r="N241" i="157"/>
  <c r="N297" i="157"/>
  <c r="O90" i="157"/>
  <c r="G91" i="157" s="1"/>
  <c r="J90" i="157"/>
  <c r="O242" i="157"/>
  <c r="G243" i="157" s="1"/>
  <c r="J242" i="157"/>
  <c r="K242" i="157" s="1"/>
  <c r="M242" i="157" s="1"/>
  <c r="J298" i="157"/>
  <c r="K298" i="157" s="1"/>
  <c r="M298" i="157" s="1"/>
  <c r="O298" i="157"/>
  <c r="G299" i="157" s="1"/>
  <c r="N214" i="157"/>
  <c r="N181" i="157"/>
  <c r="O215" i="157"/>
  <c r="G216" i="157" s="1"/>
  <c r="J215" i="157"/>
  <c r="K215" i="157" s="1"/>
  <c r="M215" i="157" s="1"/>
  <c r="O182" i="157"/>
  <c r="G183" i="157" s="1"/>
  <c r="J182" i="157"/>
  <c r="K182" i="157" s="1"/>
  <c r="M182" i="157" s="1"/>
  <c r="K89" i="157"/>
  <c r="M89" i="157" s="1"/>
  <c r="O152" i="157"/>
  <c r="G153" i="157" s="1"/>
  <c r="J152" i="157"/>
  <c r="K152" i="157" s="1"/>
  <c r="M152" i="157" s="1"/>
  <c r="J36" i="157" l="1"/>
  <c r="B37" i="157"/>
  <c r="D37" i="157"/>
  <c r="J116" i="157"/>
  <c r="D53" i="157" s="1"/>
  <c r="E53" i="157" s="1"/>
  <c r="D85" i="168" s="1"/>
  <c r="B85" i="168"/>
  <c r="O269" i="157"/>
  <c r="G270" i="157" s="1"/>
  <c r="J269" i="157"/>
  <c r="N268" i="157"/>
  <c r="J117" i="157"/>
  <c r="D54" i="157" s="1"/>
  <c r="E54" i="157" s="1"/>
  <c r="E85" i="168" s="1"/>
  <c r="O117" i="157"/>
  <c r="G118" i="157" s="1"/>
  <c r="N152" i="157"/>
  <c r="N182" i="157"/>
  <c r="N242" i="157"/>
  <c r="K90" i="157"/>
  <c r="M90" i="157" s="1"/>
  <c r="O299" i="157"/>
  <c r="G300" i="157" s="1"/>
  <c r="J299" i="157"/>
  <c r="K299" i="157" s="1"/>
  <c r="M299" i="157" s="1"/>
  <c r="O91" i="157"/>
  <c r="G92" i="157" s="1"/>
  <c r="J91" i="157"/>
  <c r="N215" i="157"/>
  <c r="O243" i="157"/>
  <c r="G244" i="157" s="1"/>
  <c r="J243" i="157"/>
  <c r="K243" i="157" s="1"/>
  <c r="M243" i="157" s="1"/>
  <c r="O183" i="157"/>
  <c r="G184" i="157" s="1"/>
  <c r="J183" i="157"/>
  <c r="K183" i="157" s="1"/>
  <c r="M183" i="157" s="1"/>
  <c r="O153" i="157"/>
  <c r="G154" i="157" s="1"/>
  <c r="J153" i="157"/>
  <c r="K153" i="157" s="1"/>
  <c r="M153" i="157" s="1"/>
  <c r="O44" i="157"/>
  <c r="G44" i="157"/>
  <c r="O216" i="157"/>
  <c r="G217" i="157" s="1"/>
  <c r="J216" i="157"/>
  <c r="K216" i="157" s="1"/>
  <c r="M216" i="157" s="1"/>
  <c r="N298" i="157"/>
  <c r="N90" i="157"/>
  <c r="C38" i="157" l="1"/>
  <c r="F37" i="157"/>
  <c r="E37" i="157"/>
  <c r="K36" i="157"/>
  <c r="M36" i="157" s="1"/>
  <c r="N36" i="157"/>
  <c r="K116" i="157"/>
  <c r="M116" i="157" s="1"/>
  <c r="N116" i="157"/>
  <c r="N91" i="157"/>
  <c r="K269" i="157"/>
  <c r="M269" i="157" s="1"/>
  <c r="N269" i="157"/>
  <c r="J270" i="157"/>
  <c r="O270" i="157"/>
  <c r="G271" i="157" s="1"/>
  <c r="J118" i="157"/>
  <c r="D55" i="157" s="1"/>
  <c r="E55" i="157" s="1"/>
  <c r="O118" i="157"/>
  <c r="G119" i="157" s="1"/>
  <c r="N117" i="157"/>
  <c r="K117" i="157"/>
  <c r="M117" i="157" s="1"/>
  <c r="F85" i="168"/>
  <c r="N299" i="157"/>
  <c r="N216" i="157"/>
  <c r="N153" i="157"/>
  <c r="N183" i="157"/>
  <c r="O244" i="157"/>
  <c r="G245" i="157" s="1"/>
  <c r="J244" i="157"/>
  <c r="K244" i="157" s="1"/>
  <c r="M244" i="157" s="1"/>
  <c r="J217" i="157"/>
  <c r="K217" i="157" s="1"/>
  <c r="M217" i="157" s="1"/>
  <c r="O217" i="157"/>
  <c r="G218" i="157" s="1"/>
  <c r="K91" i="157"/>
  <c r="M91" i="157" s="1"/>
  <c r="J300" i="157"/>
  <c r="K300" i="157" s="1"/>
  <c r="M300" i="157" s="1"/>
  <c r="O300" i="157"/>
  <c r="G301" i="157" s="1"/>
  <c r="J154" i="157"/>
  <c r="K154" i="157" s="1"/>
  <c r="M154" i="157" s="1"/>
  <c r="O154" i="157"/>
  <c r="G155" i="157" s="1"/>
  <c r="O184" i="157"/>
  <c r="G185" i="157" s="1"/>
  <c r="J184" i="157"/>
  <c r="K184" i="157" s="1"/>
  <c r="M184" i="157" s="1"/>
  <c r="N243" i="157"/>
  <c r="O92" i="157"/>
  <c r="G93" i="157" s="1"/>
  <c r="J92" i="157"/>
  <c r="J37" i="157" l="1"/>
  <c r="K37" i="157" s="1"/>
  <c r="M37" i="157" s="1"/>
  <c r="B38" i="157"/>
  <c r="D38" i="157"/>
  <c r="K270" i="157"/>
  <c r="M270" i="157" s="1"/>
  <c r="N270" i="157"/>
  <c r="J271" i="157"/>
  <c r="K271" i="157" s="1"/>
  <c r="M271" i="157" s="1"/>
  <c r="O271" i="157"/>
  <c r="G272" i="157" s="1"/>
  <c r="O119" i="157"/>
  <c r="G120" i="157" s="1"/>
  <c r="J119" i="157"/>
  <c r="D56" i="157" s="1"/>
  <c r="E56" i="157" s="1"/>
  <c r="N118" i="157"/>
  <c r="K118" i="157"/>
  <c r="M118" i="157" s="1"/>
  <c r="K92" i="157"/>
  <c r="M92" i="157" s="1"/>
  <c r="J185" i="157"/>
  <c r="K185" i="157" s="1"/>
  <c r="M185" i="157" s="1"/>
  <c r="O185" i="157"/>
  <c r="G186" i="157" s="1"/>
  <c r="N244" i="157"/>
  <c r="N92" i="157"/>
  <c r="O155" i="157"/>
  <c r="G156" i="157" s="1"/>
  <c r="J155" i="157"/>
  <c r="K155" i="157" s="1"/>
  <c r="M155" i="157" s="1"/>
  <c r="O301" i="157"/>
  <c r="O303" i="157" s="1"/>
  <c r="J301" i="157"/>
  <c r="G303" i="157"/>
  <c r="J218" i="157"/>
  <c r="K218" i="157" s="1"/>
  <c r="M218" i="157" s="1"/>
  <c r="O218" i="157"/>
  <c r="G219" i="157" s="1"/>
  <c r="J245" i="157"/>
  <c r="K245" i="157" s="1"/>
  <c r="M245" i="157" s="1"/>
  <c r="O245" i="157"/>
  <c r="G246" i="157" s="1"/>
  <c r="J93" i="157"/>
  <c r="O93" i="157"/>
  <c r="G94" i="157" s="1"/>
  <c r="N184" i="157"/>
  <c r="N154" i="157"/>
  <c r="N300" i="157"/>
  <c r="N217" i="157"/>
  <c r="N37" i="157" l="1"/>
  <c r="C39" i="157"/>
  <c r="F38" i="157"/>
  <c r="E38" i="157"/>
  <c r="O272" i="157"/>
  <c r="G273" i="157" s="1"/>
  <c r="J272" i="157"/>
  <c r="K272" i="157" s="1"/>
  <c r="M272" i="157" s="1"/>
  <c r="N271" i="157"/>
  <c r="N119" i="157"/>
  <c r="K119" i="157"/>
  <c r="M119" i="157" s="1"/>
  <c r="O120" i="157"/>
  <c r="G121" i="157" s="1"/>
  <c r="J120" i="157"/>
  <c r="D57" i="157" s="1"/>
  <c r="E57" i="157" s="1"/>
  <c r="N245" i="157"/>
  <c r="N218" i="157"/>
  <c r="J246" i="157"/>
  <c r="K246" i="157" s="1"/>
  <c r="M246" i="157" s="1"/>
  <c r="O246" i="157"/>
  <c r="G247" i="157" s="1"/>
  <c r="O219" i="157"/>
  <c r="G220" i="157" s="1"/>
  <c r="J219" i="157"/>
  <c r="K219" i="157" s="1"/>
  <c r="M219" i="157" s="1"/>
  <c r="K301" i="157"/>
  <c r="J303" i="157"/>
  <c r="O94" i="157"/>
  <c r="G95" i="157" s="1"/>
  <c r="J94" i="157"/>
  <c r="N301" i="157"/>
  <c r="N303" i="157" s="1"/>
  <c r="O156" i="157"/>
  <c r="G157" i="157" s="1"/>
  <c r="J156" i="157"/>
  <c r="K156" i="157" s="1"/>
  <c r="M156" i="157" s="1"/>
  <c r="N185" i="157"/>
  <c r="K93" i="157"/>
  <c r="M93" i="157" s="1"/>
  <c r="N93" i="157"/>
  <c r="N155" i="157"/>
  <c r="O186" i="157"/>
  <c r="G187" i="157" s="1"/>
  <c r="J186" i="157"/>
  <c r="K186" i="157" s="1"/>
  <c r="M186" i="157" s="1"/>
  <c r="J38" i="157" l="1"/>
  <c r="D39" i="157"/>
  <c r="B39" i="157"/>
  <c r="N272" i="157"/>
  <c r="J273" i="157"/>
  <c r="O273" i="157"/>
  <c r="G274" i="157" s="1"/>
  <c r="J121" i="157"/>
  <c r="O121" i="157"/>
  <c r="G122" i="157" s="1"/>
  <c r="N120" i="157"/>
  <c r="K120" i="157"/>
  <c r="M120" i="157" s="1"/>
  <c r="N246" i="157"/>
  <c r="N186" i="157"/>
  <c r="K94" i="157"/>
  <c r="M94" i="157" s="1"/>
  <c r="O247" i="157"/>
  <c r="G248" i="157" s="1"/>
  <c r="J247" i="157"/>
  <c r="K247" i="157" s="1"/>
  <c r="M247" i="157" s="1"/>
  <c r="O157" i="157"/>
  <c r="G158" i="157" s="1"/>
  <c r="J157" i="157"/>
  <c r="K157" i="157" s="1"/>
  <c r="M157" i="157" s="1"/>
  <c r="O95" i="157"/>
  <c r="G96" i="157" s="1"/>
  <c r="J95" i="157"/>
  <c r="N219" i="157"/>
  <c r="O220" i="157"/>
  <c r="O222" i="157" s="1"/>
  <c r="J220" i="157"/>
  <c r="N220" i="157" s="1"/>
  <c r="G222" i="157"/>
  <c r="O187" i="157"/>
  <c r="G188" i="157" s="1"/>
  <c r="J187" i="157"/>
  <c r="K187" i="157" s="1"/>
  <c r="M187" i="157" s="1"/>
  <c r="N156" i="157"/>
  <c r="N94" i="157"/>
  <c r="M301" i="157"/>
  <c r="M303" i="157" s="1"/>
  <c r="K303" i="157"/>
  <c r="E39" i="157" l="1"/>
  <c r="C40" i="157"/>
  <c r="F39" i="157"/>
  <c r="K38" i="157"/>
  <c r="M38" i="157" s="1"/>
  <c r="N38" i="157"/>
  <c r="N95" i="157"/>
  <c r="N121" i="157"/>
  <c r="D58" i="157"/>
  <c r="E58" i="157" s="1"/>
  <c r="K273" i="157"/>
  <c r="M273" i="157" s="1"/>
  <c r="N273" i="157"/>
  <c r="O274" i="157"/>
  <c r="G275" i="157" s="1"/>
  <c r="J274" i="157"/>
  <c r="O122" i="157"/>
  <c r="G123" i="157" s="1"/>
  <c r="J122" i="157"/>
  <c r="D59" i="157" s="1"/>
  <c r="E59" i="157" s="1"/>
  <c r="K121" i="157"/>
  <c r="M121" i="157" s="1"/>
  <c r="N222" i="157"/>
  <c r="N247" i="157"/>
  <c r="N187" i="157"/>
  <c r="O188" i="157"/>
  <c r="G189" i="157" s="1"/>
  <c r="J188" i="157"/>
  <c r="K188" i="157" s="1"/>
  <c r="M188" i="157" s="1"/>
  <c r="K95" i="157"/>
  <c r="M95" i="157" s="1"/>
  <c r="J158" i="157"/>
  <c r="K158" i="157" s="1"/>
  <c r="M158" i="157" s="1"/>
  <c r="O158" i="157"/>
  <c r="G159" i="157" s="1"/>
  <c r="N157" i="157"/>
  <c r="O248" i="157"/>
  <c r="O250" i="157" s="1"/>
  <c r="J248" i="157"/>
  <c r="N248" i="157" s="1"/>
  <c r="G250" i="157"/>
  <c r="K220" i="157"/>
  <c r="J222" i="157"/>
  <c r="O96" i="157"/>
  <c r="G97" i="157" s="1"/>
  <c r="J96" i="157"/>
  <c r="J39" i="157" l="1"/>
  <c r="B40" i="157"/>
  <c r="D40" i="157"/>
  <c r="K274" i="157"/>
  <c r="M274" i="157" s="1"/>
  <c r="N274" i="157"/>
  <c r="J275" i="157"/>
  <c r="O275" i="157"/>
  <c r="O277" i="157" s="1"/>
  <c r="G277" i="157"/>
  <c r="N122" i="157"/>
  <c r="K122" i="157"/>
  <c r="M122" i="157" s="1"/>
  <c r="J123" i="157"/>
  <c r="D60" i="157" s="1"/>
  <c r="E60" i="157" s="1"/>
  <c r="O123" i="157"/>
  <c r="G124" i="157" s="1"/>
  <c r="N250" i="157"/>
  <c r="N188" i="157"/>
  <c r="J97" i="157"/>
  <c r="O97" i="157"/>
  <c r="G98" i="157" s="1"/>
  <c r="K96" i="157"/>
  <c r="M96" i="157" s="1"/>
  <c r="K248" i="157"/>
  <c r="J250" i="157"/>
  <c r="N158" i="157"/>
  <c r="J189" i="157"/>
  <c r="K189" i="157" s="1"/>
  <c r="M189" i="157" s="1"/>
  <c r="O189" i="157"/>
  <c r="G190" i="157" s="1"/>
  <c r="N96" i="157"/>
  <c r="M220" i="157"/>
  <c r="M222" i="157" s="1"/>
  <c r="K222" i="157"/>
  <c r="J159" i="157"/>
  <c r="K159" i="157" s="1"/>
  <c r="M159" i="157" s="1"/>
  <c r="O159" i="157"/>
  <c r="G160" i="157" s="1"/>
  <c r="F40" i="157" l="1"/>
  <c r="C41" i="157"/>
  <c r="E40" i="157"/>
  <c r="K39" i="157"/>
  <c r="M39" i="157" s="1"/>
  <c r="N39" i="157"/>
  <c r="N275" i="157"/>
  <c r="N277" i="157" s="1"/>
  <c r="K275" i="157"/>
  <c r="J277" i="157"/>
  <c r="N123" i="157"/>
  <c r="K123" i="157"/>
  <c r="M123" i="157" s="1"/>
  <c r="O124" i="157"/>
  <c r="G125" i="157" s="1"/>
  <c r="J124" i="157"/>
  <c r="D61" i="157" s="1"/>
  <c r="E61" i="157" s="1"/>
  <c r="J160" i="157"/>
  <c r="K160" i="157" s="1"/>
  <c r="M160" i="157" s="1"/>
  <c r="O160" i="157"/>
  <c r="G161" i="157" s="1"/>
  <c r="M248" i="157"/>
  <c r="M250" i="157" s="1"/>
  <c r="K250" i="157"/>
  <c r="K97" i="157"/>
  <c r="M97" i="157" s="1"/>
  <c r="N189" i="157"/>
  <c r="O98" i="157"/>
  <c r="O100" i="157" s="1"/>
  <c r="J98" i="157"/>
  <c r="G100" i="157"/>
  <c r="N159" i="157"/>
  <c r="O190" i="157"/>
  <c r="G191" i="157" s="1"/>
  <c r="J190" i="157"/>
  <c r="K190" i="157" s="1"/>
  <c r="M190" i="157" s="1"/>
  <c r="N97" i="157"/>
  <c r="B41" i="157" l="1"/>
  <c r="D41" i="157"/>
  <c r="J40" i="157"/>
  <c r="N98" i="157"/>
  <c r="N100" i="157" s="1"/>
  <c r="M275" i="157"/>
  <c r="M277" i="157" s="1"/>
  <c r="K277" i="157"/>
  <c r="N124" i="157"/>
  <c r="K124" i="157"/>
  <c r="M124" i="157" s="1"/>
  <c r="O125" i="157"/>
  <c r="G126" i="157" s="1"/>
  <c r="J125" i="157"/>
  <c r="N190" i="157"/>
  <c r="N160" i="157"/>
  <c r="J161" i="157"/>
  <c r="O161" i="157"/>
  <c r="O163" i="157" s="1"/>
  <c r="G163" i="157"/>
  <c r="J191" i="157"/>
  <c r="O191" i="157"/>
  <c r="O193" i="157" s="1"/>
  <c r="G193" i="157"/>
  <c r="K98" i="157"/>
  <c r="J100" i="157"/>
  <c r="K40" i="157" l="1"/>
  <c r="M40" i="157" s="1"/>
  <c r="N40" i="157"/>
  <c r="E41" i="157"/>
  <c r="F41" i="157"/>
  <c r="C42" i="157"/>
  <c r="N125" i="157"/>
  <c r="D62" i="157"/>
  <c r="E62" i="157" s="1"/>
  <c r="J126" i="157"/>
  <c r="O126" i="157"/>
  <c r="G127" i="157" s="1"/>
  <c r="K125" i="157"/>
  <c r="M125" i="157" s="1"/>
  <c r="M98" i="157"/>
  <c r="M100" i="157" s="1"/>
  <c r="K100" i="157"/>
  <c r="K191" i="157"/>
  <c r="J193" i="157"/>
  <c r="N191" i="157"/>
  <c r="N193" i="157" s="1"/>
  <c r="K161" i="157"/>
  <c r="J163" i="157"/>
  <c r="N161" i="157"/>
  <c r="N163" i="157" s="1"/>
  <c r="J41" i="157" l="1"/>
  <c r="K41" i="157" s="1"/>
  <c r="M41" i="157" s="1"/>
  <c r="D42" i="157"/>
  <c r="B42" i="157"/>
  <c r="N126" i="157"/>
  <c r="D63" i="157"/>
  <c r="E63" i="157" s="1"/>
  <c r="O127" i="157"/>
  <c r="G128" i="157" s="1"/>
  <c r="J127" i="157"/>
  <c r="D64" i="157" s="1"/>
  <c r="E64" i="157" s="1"/>
  <c r="K126" i="157"/>
  <c r="M126" i="157" s="1"/>
  <c r="M161" i="157"/>
  <c r="M163" i="157" s="1"/>
  <c r="K163" i="157"/>
  <c r="M191" i="157"/>
  <c r="M193" i="157" s="1"/>
  <c r="K193" i="157"/>
  <c r="N41" i="157" l="1"/>
  <c r="E42" i="157"/>
  <c r="F42" i="157"/>
  <c r="H83" i="168"/>
  <c r="I83" i="168" s="1"/>
  <c r="N127" i="157"/>
  <c r="K127" i="157"/>
  <c r="M127" i="157" s="1"/>
  <c r="O128" i="157"/>
  <c r="G129" i="157" s="1"/>
  <c r="J128" i="157"/>
  <c r="D65" i="157" s="1"/>
  <c r="E65" i="157" s="1"/>
  <c r="J42" i="157" l="1"/>
  <c r="K42" i="157" s="1"/>
  <c r="O129" i="157"/>
  <c r="G130" i="157" s="1"/>
  <c r="G132" i="157" s="1"/>
  <c r="J129" i="157"/>
  <c r="N128" i="157"/>
  <c r="K128" i="157"/>
  <c r="M128" i="157" s="1"/>
  <c r="N42" i="157" l="1"/>
  <c r="N44" i="157" s="1"/>
  <c r="M42" i="157"/>
  <c r="D83" i="168"/>
  <c r="E83" i="168"/>
  <c r="N129" i="157"/>
  <c r="D66" i="157"/>
  <c r="E66" i="157" s="1"/>
  <c r="K129" i="157"/>
  <c r="J130" i="157"/>
  <c r="D67" i="157" s="1"/>
  <c r="O130" i="157"/>
  <c r="O132" i="157" s="1"/>
  <c r="J44" i="157"/>
  <c r="F83" i="168" l="1"/>
  <c r="E67" i="157"/>
  <c r="D69" i="157"/>
  <c r="K130" i="157"/>
  <c r="M130" i="157" s="1"/>
  <c r="J132" i="157"/>
  <c r="N130" i="157"/>
  <c r="N132" i="157" s="1"/>
  <c r="M129" i="157"/>
  <c r="K132" i="157"/>
  <c r="M44" i="157"/>
  <c r="K44" i="157"/>
  <c r="E69" i="157" l="1"/>
  <c r="M132" i="157"/>
  <c r="D48" i="150" l="1"/>
  <c r="L302" i="150"/>
  <c r="L301" i="150"/>
  <c r="L300" i="150"/>
  <c r="L299" i="150"/>
  <c r="L298" i="150"/>
  <c r="L297" i="150"/>
  <c r="L296" i="150"/>
  <c r="L295" i="150"/>
  <c r="L294" i="150"/>
  <c r="L293" i="150"/>
  <c r="L292" i="150"/>
  <c r="L291" i="150"/>
  <c r="L290" i="150"/>
  <c r="L289" i="150"/>
  <c r="L288" i="150"/>
  <c r="L287" i="150"/>
  <c r="L276" i="150"/>
  <c r="L275" i="150"/>
  <c r="L274" i="150"/>
  <c r="L273" i="150"/>
  <c r="L272" i="150"/>
  <c r="L271" i="150"/>
  <c r="L270" i="150"/>
  <c r="L269" i="150"/>
  <c r="L268" i="150"/>
  <c r="L267" i="150"/>
  <c r="L266" i="150"/>
  <c r="L265" i="150"/>
  <c r="L264" i="150"/>
  <c r="L263" i="150"/>
  <c r="L262" i="150"/>
  <c r="L261" i="150"/>
  <c r="C73" i="150"/>
  <c r="D73" i="150" s="1"/>
  <c r="E73" i="150" s="1"/>
  <c r="C105" i="150"/>
  <c r="D105" i="150" s="1"/>
  <c r="C136" i="150"/>
  <c r="D136" i="150" s="1"/>
  <c r="C167" i="150"/>
  <c r="D167" i="150" s="1"/>
  <c r="C197" i="150"/>
  <c r="D197" i="150" s="1"/>
  <c r="C226" i="150"/>
  <c r="D226" i="150" s="1"/>
  <c r="C254" i="150"/>
  <c r="D254" i="150" s="1"/>
  <c r="D255" i="150" s="1"/>
  <c r="L249" i="150"/>
  <c r="L248" i="150"/>
  <c r="L247" i="150"/>
  <c r="L246" i="150"/>
  <c r="L245" i="150"/>
  <c r="L244" i="150"/>
  <c r="L243" i="150"/>
  <c r="L242" i="150"/>
  <c r="L241" i="150"/>
  <c r="L240" i="150"/>
  <c r="L239" i="150"/>
  <c r="L238" i="150"/>
  <c r="L237" i="150"/>
  <c r="L236" i="150"/>
  <c r="L235" i="150"/>
  <c r="L234" i="150"/>
  <c r="L221" i="150"/>
  <c r="L220" i="150"/>
  <c r="L219" i="150"/>
  <c r="L218" i="150"/>
  <c r="L217" i="150"/>
  <c r="L216" i="150"/>
  <c r="L215" i="150"/>
  <c r="L214" i="150"/>
  <c r="L213" i="150"/>
  <c r="L212" i="150"/>
  <c r="L211" i="150"/>
  <c r="L210" i="150"/>
  <c r="L209" i="150"/>
  <c r="L208" i="150"/>
  <c r="L207" i="150"/>
  <c r="L206" i="150"/>
  <c r="K282" i="150"/>
  <c r="M282" i="150" s="1"/>
  <c r="K281" i="150"/>
  <c r="G281" i="150"/>
  <c r="C281" i="150"/>
  <c r="D281" i="150" s="1"/>
  <c r="L192" i="150"/>
  <c r="L191" i="150"/>
  <c r="L190" i="150"/>
  <c r="L189" i="150"/>
  <c r="L188" i="150"/>
  <c r="L187" i="150"/>
  <c r="L186" i="150"/>
  <c r="L185" i="150"/>
  <c r="L184" i="150"/>
  <c r="L183" i="150"/>
  <c r="L182" i="150"/>
  <c r="L181" i="150"/>
  <c r="L180" i="150"/>
  <c r="L179" i="150"/>
  <c r="L178" i="150"/>
  <c r="L177" i="150"/>
  <c r="L162" i="150"/>
  <c r="L161" i="150"/>
  <c r="L160" i="150"/>
  <c r="L159" i="150"/>
  <c r="L158" i="150"/>
  <c r="L157" i="150"/>
  <c r="L156" i="150"/>
  <c r="L155" i="150"/>
  <c r="L154" i="150"/>
  <c r="L153" i="150"/>
  <c r="L152" i="150"/>
  <c r="L151" i="150"/>
  <c r="L150" i="150"/>
  <c r="L149" i="150"/>
  <c r="L148" i="150"/>
  <c r="L147" i="150"/>
  <c r="G136" i="150"/>
  <c r="L131" i="150"/>
  <c r="L130" i="150"/>
  <c r="L129" i="150"/>
  <c r="L128" i="150"/>
  <c r="L127" i="150"/>
  <c r="L126" i="150"/>
  <c r="L125" i="150"/>
  <c r="L124" i="150"/>
  <c r="L123" i="150"/>
  <c r="L122" i="150"/>
  <c r="L121" i="150"/>
  <c r="L120" i="150"/>
  <c r="L119" i="150"/>
  <c r="L118" i="150"/>
  <c r="L117" i="150"/>
  <c r="L116" i="150"/>
  <c r="L99" i="150"/>
  <c r="L98" i="150"/>
  <c r="L97" i="150"/>
  <c r="L96" i="150"/>
  <c r="L95" i="150"/>
  <c r="L94" i="150"/>
  <c r="L93" i="150"/>
  <c r="L92" i="150"/>
  <c r="L91" i="150"/>
  <c r="L90" i="150"/>
  <c r="L89" i="150"/>
  <c r="L88" i="150"/>
  <c r="L87" i="150"/>
  <c r="L86" i="150"/>
  <c r="L85" i="150"/>
  <c r="L84" i="150"/>
  <c r="G73" i="150"/>
  <c r="K256" i="150"/>
  <c r="M256" i="150" s="1"/>
  <c r="K255" i="150"/>
  <c r="M255" i="150" s="1"/>
  <c r="K254" i="150"/>
  <c r="M254" i="150" s="1"/>
  <c r="G254" i="150"/>
  <c r="K229" i="150"/>
  <c r="M229" i="150" s="1"/>
  <c r="K228" i="150"/>
  <c r="M228" i="150" s="1"/>
  <c r="K227" i="150"/>
  <c r="M227" i="150" s="1"/>
  <c r="K226" i="150"/>
  <c r="M226" i="150" s="1"/>
  <c r="G226" i="150"/>
  <c r="K201" i="150"/>
  <c r="M201" i="150" s="1"/>
  <c r="K200" i="150"/>
  <c r="M200" i="150" s="1"/>
  <c r="K199" i="150"/>
  <c r="M199" i="150" s="1"/>
  <c r="K198" i="150"/>
  <c r="M198" i="150" s="1"/>
  <c r="K197" i="150"/>
  <c r="G197" i="150"/>
  <c r="K172" i="150"/>
  <c r="M172" i="150" s="1"/>
  <c r="K171" i="150"/>
  <c r="M171" i="150" s="1"/>
  <c r="K170" i="150"/>
  <c r="M170" i="150" s="1"/>
  <c r="K169" i="150"/>
  <c r="M169" i="150" s="1"/>
  <c r="K168" i="150"/>
  <c r="M168" i="150" s="1"/>
  <c r="K167" i="150"/>
  <c r="G167" i="150"/>
  <c r="K142" i="150"/>
  <c r="M142" i="150" s="1"/>
  <c r="K141" i="150"/>
  <c r="M141" i="150" s="1"/>
  <c r="K140" i="150"/>
  <c r="M140" i="150" s="1"/>
  <c r="K139" i="150"/>
  <c r="M139" i="150" s="1"/>
  <c r="K138" i="150"/>
  <c r="M138" i="150" s="1"/>
  <c r="K137" i="150"/>
  <c r="M137" i="150" s="1"/>
  <c r="K136" i="150"/>
  <c r="K111" i="150"/>
  <c r="M111" i="150" s="1"/>
  <c r="K110" i="150"/>
  <c r="M110" i="150" s="1"/>
  <c r="K109" i="150"/>
  <c r="M109" i="150" s="1"/>
  <c r="K108" i="150"/>
  <c r="M108" i="150" s="1"/>
  <c r="K107" i="150"/>
  <c r="M107" i="150" s="1"/>
  <c r="K106" i="150"/>
  <c r="M106" i="150" s="1"/>
  <c r="K105" i="150"/>
  <c r="G105" i="150"/>
  <c r="K79" i="150"/>
  <c r="K78" i="150"/>
  <c r="K77" i="150"/>
  <c r="K76" i="150"/>
  <c r="K75" i="150"/>
  <c r="K74" i="150"/>
  <c r="K73" i="150"/>
  <c r="F48" i="150" l="1"/>
  <c r="F52" i="150"/>
  <c r="F60" i="150"/>
  <c r="F64" i="150"/>
  <c r="F56" i="150"/>
  <c r="F50" i="150"/>
  <c r="F54" i="150"/>
  <c r="F58" i="150"/>
  <c r="F62" i="150"/>
  <c r="F66" i="150"/>
  <c r="F49" i="150"/>
  <c r="F53" i="150"/>
  <c r="F57" i="150"/>
  <c r="F61" i="150"/>
  <c r="F65" i="150"/>
  <c r="F51" i="150"/>
  <c r="F55" i="150"/>
  <c r="F59" i="150"/>
  <c r="F63" i="150"/>
  <c r="F67" i="150"/>
  <c r="F281" i="150"/>
  <c r="D282" i="150"/>
  <c r="D283" i="150" s="1"/>
  <c r="M281" i="150"/>
  <c r="E281" i="150"/>
  <c r="C282" i="150"/>
  <c r="F73" i="150"/>
  <c r="H73" i="150" s="1"/>
  <c r="D74" i="150"/>
  <c r="C75" i="150" s="1"/>
  <c r="C74" i="150"/>
  <c r="E254" i="150"/>
  <c r="F254" i="150"/>
  <c r="C255" i="150"/>
  <c r="E255" i="150" s="1"/>
  <c r="D106" i="150"/>
  <c r="F105" i="150"/>
  <c r="C106" i="150"/>
  <c r="E105" i="150"/>
  <c r="D137" i="150"/>
  <c r="F136" i="150"/>
  <c r="C137" i="150"/>
  <c r="D198" i="150"/>
  <c r="F197" i="150"/>
  <c r="C198" i="150"/>
  <c r="E136" i="150"/>
  <c r="E197" i="150"/>
  <c r="D168" i="150"/>
  <c r="F167" i="150"/>
  <c r="C168" i="150"/>
  <c r="D227" i="150"/>
  <c r="F226" i="150"/>
  <c r="C227" i="150"/>
  <c r="E167" i="150"/>
  <c r="E226" i="150"/>
  <c r="D256" i="150"/>
  <c r="F255" i="150"/>
  <c r="C256" i="150"/>
  <c r="M105" i="150"/>
  <c r="M136" i="150"/>
  <c r="M167" i="150"/>
  <c r="M197" i="150"/>
  <c r="C283" i="150" l="1"/>
  <c r="E282" i="150"/>
  <c r="F282" i="150"/>
  <c r="H281" i="150"/>
  <c r="F283" i="150"/>
  <c r="D284" i="150"/>
  <c r="C284" i="150"/>
  <c r="D75" i="150"/>
  <c r="D76" i="150" s="1"/>
  <c r="H197" i="150"/>
  <c r="E74" i="150"/>
  <c r="F74" i="150"/>
  <c r="H254" i="150"/>
  <c r="H226" i="150"/>
  <c r="H167" i="150"/>
  <c r="H136" i="150"/>
  <c r="H105" i="150"/>
  <c r="E227" i="150"/>
  <c r="D228" i="150"/>
  <c r="C228" i="150"/>
  <c r="F227" i="150"/>
  <c r="N73" i="150"/>
  <c r="E256" i="150"/>
  <c r="D257" i="150"/>
  <c r="C257" i="150"/>
  <c r="F256" i="150"/>
  <c r="E168" i="150"/>
  <c r="D169" i="150"/>
  <c r="C169" i="150"/>
  <c r="F168" i="150"/>
  <c r="E198" i="150"/>
  <c r="D199" i="150"/>
  <c r="C199" i="150"/>
  <c r="F198" i="150"/>
  <c r="E137" i="150"/>
  <c r="D138" i="150"/>
  <c r="C138" i="150"/>
  <c r="F137" i="150"/>
  <c r="D107" i="150"/>
  <c r="F106" i="150"/>
  <c r="C107" i="150"/>
  <c r="E106" i="150"/>
  <c r="E283" i="150" l="1"/>
  <c r="N281" i="150"/>
  <c r="N254" i="150"/>
  <c r="E75" i="150"/>
  <c r="N226" i="150"/>
  <c r="O197" i="150"/>
  <c r="G198" i="150" s="1"/>
  <c r="N197" i="150"/>
  <c r="O281" i="150"/>
  <c r="G282" i="150" s="1"/>
  <c r="C285" i="150"/>
  <c r="E284" i="150"/>
  <c r="F284" i="150"/>
  <c r="D285" i="150"/>
  <c r="C76" i="150"/>
  <c r="E76" i="150" s="1"/>
  <c r="O136" i="150"/>
  <c r="G137" i="150" s="1"/>
  <c r="F75" i="150"/>
  <c r="O167" i="150"/>
  <c r="G168" i="150" s="1"/>
  <c r="N105" i="150"/>
  <c r="O254" i="150"/>
  <c r="G255" i="150" s="1"/>
  <c r="O226" i="150"/>
  <c r="G227" i="150" s="1"/>
  <c r="N167" i="150"/>
  <c r="N136" i="150"/>
  <c r="O105" i="150"/>
  <c r="G106" i="150" s="1"/>
  <c r="D258" i="150"/>
  <c r="F257" i="150"/>
  <c r="E257" i="150"/>
  <c r="C258" i="150"/>
  <c r="D200" i="150"/>
  <c r="F199" i="150"/>
  <c r="E199" i="150"/>
  <c r="C200" i="150"/>
  <c r="D170" i="150"/>
  <c r="F169" i="150"/>
  <c r="E169" i="150"/>
  <c r="C170" i="150"/>
  <c r="D139" i="150"/>
  <c r="F138" i="150"/>
  <c r="E138" i="150"/>
  <c r="C139" i="150"/>
  <c r="D229" i="150"/>
  <c r="F228" i="150"/>
  <c r="E228" i="150"/>
  <c r="C229" i="150"/>
  <c r="D108" i="150"/>
  <c r="F107" i="150"/>
  <c r="C108" i="150"/>
  <c r="E107" i="150"/>
  <c r="D77" i="150"/>
  <c r="F76" i="150"/>
  <c r="C77" i="150"/>
  <c r="F285" i="150" l="1"/>
  <c r="E285" i="150"/>
  <c r="D286" i="150"/>
  <c r="C286" i="150"/>
  <c r="B286" i="150" s="1"/>
  <c r="H282" i="150"/>
  <c r="D109" i="150"/>
  <c r="F108" i="150"/>
  <c r="C109" i="150"/>
  <c r="E108" i="150"/>
  <c r="F229" i="150"/>
  <c r="E229" i="150"/>
  <c r="D230" i="150"/>
  <c r="C230" i="150"/>
  <c r="F170" i="150"/>
  <c r="E170" i="150"/>
  <c r="D171" i="150"/>
  <c r="C171" i="150"/>
  <c r="F200" i="150"/>
  <c r="E200" i="150"/>
  <c r="D201" i="150"/>
  <c r="C201" i="150"/>
  <c r="H137" i="150"/>
  <c r="H227" i="150"/>
  <c r="C78" i="150"/>
  <c r="E77" i="150"/>
  <c r="D78" i="150"/>
  <c r="F77" i="150"/>
  <c r="F139" i="150"/>
  <c r="E139" i="150"/>
  <c r="D140" i="150"/>
  <c r="C140" i="150"/>
  <c r="F258" i="150"/>
  <c r="E258" i="150"/>
  <c r="D259" i="150"/>
  <c r="C259" i="150"/>
  <c r="H255" i="150"/>
  <c r="H106" i="150"/>
  <c r="H168" i="150"/>
  <c r="H198" i="150"/>
  <c r="N282" i="150" l="1"/>
  <c r="N255" i="150"/>
  <c r="O198" i="150"/>
  <c r="G199" i="150" s="1"/>
  <c r="H199" i="150" s="1"/>
  <c r="N199" i="150" s="1"/>
  <c r="O282" i="150"/>
  <c r="G283" i="150" s="1"/>
  <c r="N168" i="150"/>
  <c r="N137" i="150"/>
  <c r="C287" i="150"/>
  <c r="B287" i="150" s="1"/>
  <c r="E286" i="150"/>
  <c r="F286" i="150"/>
  <c r="D287" i="150"/>
  <c r="N106" i="150"/>
  <c r="O168" i="150"/>
  <c r="G169" i="150" s="1"/>
  <c r="H169" i="150" s="1"/>
  <c r="N169" i="150" s="1"/>
  <c r="N198" i="150"/>
  <c r="O137" i="150"/>
  <c r="G138" i="150" s="1"/>
  <c r="H138" i="150" s="1"/>
  <c r="N138" i="150" s="1"/>
  <c r="O255" i="150"/>
  <c r="O227" i="150"/>
  <c r="N227" i="150"/>
  <c r="O106" i="150"/>
  <c r="G107" i="150" s="1"/>
  <c r="H107" i="150" s="1"/>
  <c r="O107" i="150" s="1"/>
  <c r="G108" i="150" s="1"/>
  <c r="D202" i="150"/>
  <c r="F201" i="150"/>
  <c r="E201" i="150"/>
  <c r="C202" i="150"/>
  <c r="D172" i="150"/>
  <c r="F171" i="150"/>
  <c r="E171" i="150"/>
  <c r="C172" i="150"/>
  <c r="D231" i="150"/>
  <c r="F230" i="150"/>
  <c r="E230" i="150"/>
  <c r="C231" i="150"/>
  <c r="D141" i="150"/>
  <c r="F140" i="150"/>
  <c r="E140" i="150"/>
  <c r="C141" i="150"/>
  <c r="D79" i="150"/>
  <c r="F78" i="150"/>
  <c r="C79" i="150"/>
  <c r="E78" i="150"/>
  <c r="D260" i="150"/>
  <c r="F259" i="150"/>
  <c r="E259" i="150"/>
  <c r="C260" i="150"/>
  <c r="B260" i="150" s="1"/>
  <c r="F109" i="150"/>
  <c r="E109" i="150"/>
  <c r="D110" i="150"/>
  <c r="C110" i="150"/>
  <c r="H283" i="150" l="1"/>
  <c r="F287" i="150"/>
  <c r="E287" i="150"/>
  <c r="D288" i="150"/>
  <c r="C288" i="150"/>
  <c r="B288" i="150" s="1"/>
  <c r="G256" i="150"/>
  <c r="G228" i="150"/>
  <c r="O199" i="150"/>
  <c r="O169" i="150"/>
  <c r="H108" i="150"/>
  <c r="D111" i="150"/>
  <c r="F110" i="150"/>
  <c r="E110" i="150"/>
  <c r="C111" i="150"/>
  <c r="O138" i="150"/>
  <c r="C261" i="150"/>
  <c r="B261" i="150" s="1"/>
  <c r="F260" i="150"/>
  <c r="E260" i="150"/>
  <c r="D261" i="150"/>
  <c r="C232" i="150"/>
  <c r="F231" i="150"/>
  <c r="E231" i="150"/>
  <c r="D232" i="150"/>
  <c r="C173" i="150"/>
  <c r="F172" i="150"/>
  <c r="E172" i="150"/>
  <c r="D173" i="150"/>
  <c r="C203" i="150"/>
  <c r="F202" i="150"/>
  <c r="E202" i="150"/>
  <c r="D203" i="150"/>
  <c r="N107" i="150"/>
  <c r="D80" i="150"/>
  <c r="F79" i="150"/>
  <c r="C80" i="150"/>
  <c r="E79" i="150"/>
  <c r="C142" i="150"/>
  <c r="F141" i="150"/>
  <c r="E141" i="150"/>
  <c r="D142" i="150"/>
  <c r="N283" i="150" l="1"/>
  <c r="K283" i="150"/>
  <c r="M283" i="150" s="1"/>
  <c r="E288" i="150"/>
  <c r="D289" i="150"/>
  <c r="F288" i="150"/>
  <c r="C289" i="150"/>
  <c r="B289" i="150" s="1"/>
  <c r="O283" i="150"/>
  <c r="N108" i="150"/>
  <c r="H256" i="150"/>
  <c r="H228" i="150"/>
  <c r="G200" i="150"/>
  <c r="G170" i="150"/>
  <c r="G139" i="150"/>
  <c r="H139" i="150" s="1"/>
  <c r="O108" i="150"/>
  <c r="D204" i="150"/>
  <c r="F203" i="150"/>
  <c r="C204" i="150"/>
  <c r="E203" i="150"/>
  <c r="D174" i="150"/>
  <c r="F173" i="150"/>
  <c r="C174" i="150"/>
  <c r="E173" i="150"/>
  <c r="D233" i="150"/>
  <c r="F232" i="150"/>
  <c r="C233" i="150"/>
  <c r="B233" i="150" s="1"/>
  <c r="E232" i="150"/>
  <c r="C262" i="150"/>
  <c r="B262" i="150" s="1"/>
  <c r="F261" i="150"/>
  <c r="E261" i="150"/>
  <c r="D262" i="150"/>
  <c r="D81" i="150"/>
  <c r="F80" i="150"/>
  <c r="C81" i="150"/>
  <c r="E80" i="150"/>
  <c r="C112" i="150"/>
  <c r="F111" i="150"/>
  <c r="E111" i="150"/>
  <c r="D112" i="150"/>
  <c r="D143" i="150"/>
  <c r="F142" i="150"/>
  <c r="C143" i="150"/>
  <c r="E142" i="150"/>
  <c r="G284" i="150" l="1"/>
  <c r="F289" i="150"/>
  <c r="C290" i="150"/>
  <c r="B290" i="150" s="1"/>
  <c r="E289" i="150"/>
  <c r="D290" i="150"/>
  <c r="O256" i="150"/>
  <c r="N256" i="150"/>
  <c r="O228" i="150"/>
  <c r="N228" i="150"/>
  <c r="H200" i="150"/>
  <c r="H170" i="150"/>
  <c r="N139" i="150"/>
  <c r="G109" i="150"/>
  <c r="D144" i="150"/>
  <c r="C144" i="150"/>
  <c r="F143" i="150"/>
  <c r="E143" i="150"/>
  <c r="O139" i="150"/>
  <c r="D82" i="150"/>
  <c r="F81" i="150"/>
  <c r="C82" i="150"/>
  <c r="E81" i="150"/>
  <c r="D113" i="150"/>
  <c r="F112" i="150"/>
  <c r="C113" i="150"/>
  <c r="E112" i="150"/>
  <c r="C234" i="150"/>
  <c r="B234" i="150" s="1"/>
  <c r="D234" i="150"/>
  <c r="F233" i="150"/>
  <c r="E233" i="150"/>
  <c r="D175" i="150"/>
  <c r="C175" i="150"/>
  <c r="F174" i="150"/>
  <c r="E174" i="150"/>
  <c r="D205" i="150"/>
  <c r="C205" i="150"/>
  <c r="B205" i="150" s="1"/>
  <c r="F204" i="150"/>
  <c r="E204" i="150"/>
  <c r="D263" i="150"/>
  <c r="F262" i="150"/>
  <c r="C263" i="150"/>
  <c r="B263" i="150" s="1"/>
  <c r="E262" i="150"/>
  <c r="H284" i="150" l="1"/>
  <c r="N284" i="150" s="1"/>
  <c r="N200" i="150"/>
  <c r="D291" i="150"/>
  <c r="E290" i="150"/>
  <c r="C291" i="150"/>
  <c r="B291" i="150" s="1"/>
  <c r="F290" i="150"/>
  <c r="G257" i="150"/>
  <c r="G229" i="150"/>
  <c r="O200" i="150"/>
  <c r="O170" i="150"/>
  <c r="N170" i="150"/>
  <c r="G140" i="150"/>
  <c r="H140" i="150" s="1"/>
  <c r="H109" i="150"/>
  <c r="D114" i="150"/>
  <c r="C114" i="150"/>
  <c r="F113" i="150"/>
  <c r="E113" i="150"/>
  <c r="F263" i="150"/>
  <c r="C264" i="150"/>
  <c r="B264" i="150" s="1"/>
  <c r="E263" i="150"/>
  <c r="D264" i="150"/>
  <c r="D235" i="150"/>
  <c r="E234" i="150"/>
  <c r="C235" i="150"/>
  <c r="B235" i="150" s="1"/>
  <c r="F234" i="150"/>
  <c r="C83" i="150"/>
  <c r="B83" i="150" s="1"/>
  <c r="F82" i="150"/>
  <c r="E82" i="150"/>
  <c r="D83" i="150"/>
  <c r="C206" i="150"/>
  <c r="B206" i="150" s="1"/>
  <c r="F205" i="150"/>
  <c r="D206" i="150"/>
  <c r="E205" i="150"/>
  <c r="C176" i="150"/>
  <c r="B176" i="150" s="1"/>
  <c r="F175" i="150"/>
  <c r="D176" i="150"/>
  <c r="E175" i="150"/>
  <c r="C145" i="150"/>
  <c r="F144" i="150"/>
  <c r="D145" i="150"/>
  <c r="E144" i="150"/>
  <c r="K284" i="150" l="1"/>
  <c r="M284" i="150" s="1"/>
  <c r="O284" i="150"/>
  <c r="G285" i="150" s="1"/>
  <c r="C292" i="150"/>
  <c r="B292" i="150" s="1"/>
  <c r="D292" i="150"/>
  <c r="F291" i="150"/>
  <c r="E291" i="150"/>
  <c r="N140" i="150"/>
  <c r="N109" i="150"/>
  <c r="O109" i="150"/>
  <c r="G110" i="150" s="1"/>
  <c r="H257" i="150"/>
  <c r="N257" i="150" s="1"/>
  <c r="H229" i="150"/>
  <c r="G201" i="150"/>
  <c r="G171" i="150"/>
  <c r="O140" i="150"/>
  <c r="C236" i="150"/>
  <c r="B236" i="150" s="1"/>
  <c r="D236" i="150"/>
  <c r="F235" i="150"/>
  <c r="E235" i="150"/>
  <c r="D265" i="150"/>
  <c r="E264" i="150"/>
  <c r="C265" i="150"/>
  <c r="B265" i="150" s="1"/>
  <c r="F264" i="150"/>
  <c r="D146" i="150"/>
  <c r="F145" i="150"/>
  <c r="C146" i="150"/>
  <c r="B146" i="150" s="1"/>
  <c r="E145" i="150"/>
  <c r="D177" i="150"/>
  <c r="F176" i="150"/>
  <c r="C177" i="150"/>
  <c r="B177" i="150" s="1"/>
  <c r="E176" i="150"/>
  <c r="D207" i="150"/>
  <c r="F206" i="150"/>
  <c r="C207" i="150"/>
  <c r="B207" i="150" s="1"/>
  <c r="E206" i="150"/>
  <c r="F83" i="150"/>
  <c r="D84" i="150"/>
  <c r="C84" i="150"/>
  <c r="B84" i="150" s="1"/>
  <c r="E83" i="150"/>
  <c r="C115" i="150"/>
  <c r="B115" i="150" s="1"/>
  <c r="F114" i="150"/>
  <c r="D115" i="150"/>
  <c r="E114" i="150"/>
  <c r="H285" i="150" l="1"/>
  <c r="K257" i="150"/>
  <c r="D293" i="150"/>
  <c r="C293" i="150"/>
  <c r="B293" i="150" s="1"/>
  <c r="E292" i="150"/>
  <c r="F292" i="150"/>
  <c r="O229" i="150"/>
  <c r="N229" i="150"/>
  <c r="H201" i="150"/>
  <c r="H171" i="150"/>
  <c r="G141" i="150"/>
  <c r="H110" i="150"/>
  <c r="F84" i="150"/>
  <c r="D85" i="150"/>
  <c r="E84" i="150"/>
  <c r="C85" i="150"/>
  <c r="B85" i="150" s="1"/>
  <c r="F207" i="150"/>
  <c r="D208" i="150"/>
  <c r="C208" i="150"/>
  <c r="B208" i="150" s="1"/>
  <c r="E207" i="150"/>
  <c r="F177" i="150"/>
  <c r="D178" i="150"/>
  <c r="C178" i="150"/>
  <c r="B178" i="150" s="1"/>
  <c r="E177" i="150"/>
  <c r="C266" i="150"/>
  <c r="B266" i="150" s="1"/>
  <c r="D266" i="150"/>
  <c r="F265" i="150"/>
  <c r="E265" i="150"/>
  <c r="C237" i="150"/>
  <c r="B237" i="150" s="1"/>
  <c r="E236" i="150"/>
  <c r="D237" i="150"/>
  <c r="F236" i="150"/>
  <c r="D116" i="150"/>
  <c r="F115" i="150"/>
  <c r="C116" i="150"/>
  <c r="B116" i="150" s="1"/>
  <c r="E115" i="150"/>
  <c r="F146" i="150"/>
  <c r="D147" i="150"/>
  <c r="C147" i="150"/>
  <c r="B147" i="150" s="1"/>
  <c r="E146" i="150"/>
  <c r="O285" i="150" l="1"/>
  <c r="G286" i="150" s="1"/>
  <c r="K285" i="150"/>
  <c r="M285" i="150" s="1"/>
  <c r="O201" i="150"/>
  <c r="G202" i="150" s="1"/>
  <c r="N285" i="150"/>
  <c r="F293" i="150"/>
  <c r="D294" i="150"/>
  <c r="C294" i="150"/>
  <c r="B294" i="150" s="1"/>
  <c r="E293" i="150"/>
  <c r="O110" i="150"/>
  <c r="G111" i="150" s="1"/>
  <c r="N201" i="150"/>
  <c r="G230" i="150"/>
  <c r="N171" i="150"/>
  <c r="O171" i="150"/>
  <c r="H141" i="150"/>
  <c r="N110" i="150"/>
  <c r="D267" i="150"/>
  <c r="F266" i="150"/>
  <c r="C267" i="150"/>
  <c r="B267" i="150" s="1"/>
  <c r="E266" i="150"/>
  <c r="D148" i="150"/>
  <c r="E147" i="150"/>
  <c r="C148" i="150"/>
  <c r="B148" i="150" s="1"/>
  <c r="F147" i="150"/>
  <c r="F237" i="150"/>
  <c r="D238" i="150"/>
  <c r="C238" i="150"/>
  <c r="B238" i="150" s="1"/>
  <c r="E237" i="150"/>
  <c r="D179" i="150"/>
  <c r="E178" i="150"/>
  <c r="C179" i="150"/>
  <c r="B179" i="150" s="1"/>
  <c r="F178" i="150"/>
  <c r="D209" i="150"/>
  <c r="E208" i="150"/>
  <c r="C209" i="150"/>
  <c r="B209" i="150" s="1"/>
  <c r="F208" i="150"/>
  <c r="D86" i="150"/>
  <c r="E85" i="150"/>
  <c r="C86" i="150"/>
  <c r="B86" i="150" s="1"/>
  <c r="F85" i="150"/>
  <c r="F116" i="150"/>
  <c r="D117" i="150"/>
  <c r="C117" i="150"/>
  <c r="B117" i="150" s="1"/>
  <c r="E116" i="150"/>
  <c r="J286" i="150" l="1"/>
  <c r="H286" i="150"/>
  <c r="D295" i="150"/>
  <c r="E294" i="150"/>
  <c r="F294" i="150"/>
  <c r="C295" i="150"/>
  <c r="B295" i="150" s="1"/>
  <c r="O141" i="150"/>
  <c r="G142" i="150" s="1"/>
  <c r="H230" i="150"/>
  <c r="H202" i="150"/>
  <c r="G172" i="150"/>
  <c r="N141" i="150"/>
  <c r="H111" i="150"/>
  <c r="C210" i="150"/>
  <c r="B210" i="150" s="1"/>
  <c r="D210" i="150"/>
  <c r="F209" i="150"/>
  <c r="E209" i="150"/>
  <c r="C180" i="150"/>
  <c r="B180" i="150" s="1"/>
  <c r="D180" i="150"/>
  <c r="F179" i="150"/>
  <c r="E179" i="150"/>
  <c r="D239" i="150"/>
  <c r="E238" i="150"/>
  <c r="C239" i="150"/>
  <c r="B239" i="150" s="1"/>
  <c r="F238" i="150"/>
  <c r="D118" i="150"/>
  <c r="E117" i="150"/>
  <c r="C118" i="150"/>
  <c r="B118" i="150" s="1"/>
  <c r="F117" i="150"/>
  <c r="C149" i="150"/>
  <c r="B149" i="150" s="1"/>
  <c r="D149" i="150"/>
  <c r="F148" i="150"/>
  <c r="E148" i="150"/>
  <c r="F267" i="150"/>
  <c r="D268" i="150"/>
  <c r="C268" i="150"/>
  <c r="B268" i="150" s="1"/>
  <c r="E267" i="150"/>
  <c r="C87" i="150"/>
  <c r="B87" i="150" s="1"/>
  <c r="D87" i="150"/>
  <c r="F86" i="150"/>
  <c r="E86" i="150"/>
  <c r="N286" i="150" l="1"/>
  <c r="I286" i="150"/>
  <c r="K286" i="150" s="1"/>
  <c r="M286" i="150" s="1"/>
  <c r="I288" i="150"/>
  <c r="I291" i="150"/>
  <c r="I301" i="150"/>
  <c r="I298" i="150"/>
  <c r="I295" i="150"/>
  <c r="I287" i="150"/>
  <c r="I294" i="150"/>
  <c r="I299" i="150"/>
  <c r="I300" i="150"/>
  <c r="I302" i="150"/>
  <c r="I290" i="150"/>
  <c r="I289" i="150"/>
  <c r="I293" i="150"/>
  <c r="I296" i="150"/>
  <c r="I297" i="150"/>
  <c r="I292" i="150"/>
  <c r="K230" i="150"/>
  <c r="K202" i="150"/>
  <c r="C296" i="150"/>
  <c r="B296" i="150" s="1"/>
  <c r="D296" i="150"/>
  <c r="F295" i="150"/>
  <c r="E295" i="150"/>
  <c r="N230" i="150"/>
  <c r="N202" i="150"/>
  <c r="H172" i="150"/>
  <c r="H142" i="150"/>
  <c r="N142" i="150" s="1"/>
  <c r="O111" i="150"/>
  <c r="L133" i="150"/>
  <c r="N111" i="150"/>
  <c r="C119" i="150"/>
  <c r="B119" i="150" s="1"/>
  <c r="D119" i="150"/>
  <c r="F118" i="150"/>
  <c r="E118" i="150"/>
  <c r="D269" i="150"/>
  <c r="E268" i="150"/>
  <c r="C269" i="150"/>
  <c r="B269" i="150" s="1"/>
  <c r="F268" i="150"/>
  <c r="C150" i="150"/>
  <c r="B150" i="150" s="1"/>
  <c r="E149" i="150"/>
  <c r="D150" i="150"/>
  <c r="F149" i="150"/>
  <c r="C181" i="150"/>
  <c r="B181" i="150" s="1"/>
  <c r="E180" i="150"/>
  <c r="D181" i="150"/>
  <c r="F180" i="150"/>
  <c r="C211" i="150"/>
  <c r="B211" i="150" s="1"/>
  <c r="E210" i="150"/>
  <c r="D211" i="150"/>
  <c r="F210" i="150"/>
  <c r="F87" i="150"/>
  <c r="E87" i="150"/>
  <c r="D88" i="150"/>
  <c r="C88" i="150"/>
  <c r="B88" i="150" s="1"/>
  <c r="C240" i="150"/>
  <c r="B240" i="150" s="1"/>
  <c r="D240" i="150"/>
  <c r="F239" i="150"/>
  <c r="E239" i="150"/>
  <c r="O286" i="150" l="1"/>
  <c r="G287" i="150" s="1"/>
  <c r="O287" i="150" s="1"/>
  <c r="G288" i="150" s="1"/>
  <c r="J288" i="150" s="1"/>
  <c r="K288" i="150" s="1"/>
  <c r="M288" i="150" s="1"/>
  <c r="O142" i="150"/>
  <c r="G143" i="150" s="1"/>
  <c r="H143" i="150" s="1"/>
  <c r="N172" i="150"/>
  <c r="C297" i="150"/>
  <c r="B297" i="150" s="1"/>
  <c r="E296" i="150"/>
  <c r="F296" i="150"/>
  <c r="D297" i="150"/>
  <c r="O172" i="150"/>
  <c r="L164" i="150"/>
  <c r="G112" i="150"/>
  <c r="F211" i="150"/>
  <c r="D212" i="150"/>
  <c r="C212" i="150"/>
  <c r="B212" i="150" s="1"/>
  <c r="E211" i="150"/>
  <c r="F181" i="150"/>
  <c r="D182" i="150"/>
  <c r="C182" i="150"/>
  <c r="B182" i="150" s="1"/>
  <c r="E181" i="150"/>
  <c r="C120" i="150"/>
  <c r="B120" i="150" s="1"/>
  <c r="E119" i="150"/>
  <c r="D120" i="150"/>
  <c r="F119" i="150"/>
  <c r="F150" i="150"/>
  <c r="D151" i="150"/>
  <c r="C151" i="150"/>
  <c r="B151" i="150" s="1"/>
  <c r="E150" i="150"/>
  <c r="C270" i="150"/>
  <c r="B270" i="150" s="1"/>
  <c r="D270" i="150"/>
  <c r="F269" i="150"/>
  <c r="E269" i="150"/>
  <c r="C241" i="150"/>
  <c r="B241" i="150" s="1"/>
  <c r="E240" i="150"/>
  <c r="D241" i="150"/>
  <c r="F240" i="150"/>
  <c r="F88" i="150"/>
  <c r="D89" i="150"/>
  <c r="E88" i="150"/>
  <c r="C89" i="150"/>
  <c r="B89" i="150" s="1"/>
  <c r="J287" i="150" l="1"/>
  <c r="K287" i="150" s="1"/>
  <c r="M287" i="150" s="1"/>
  <c r="O288" i="150"/>
  <c r="G289" i="150" s="1"/>
  <c r="J289" i="150" s="1"/>
  <c r="N288" i="150"/>
  <c r="H304" i="150"/>
  <c r="F297" i="150"/>
  <c r="D298" i="150"/>
  <c r="C298" i="150"/>
  <c r="B298" i="150" s="1"/>
  <c r="E297" i="150"/>
  <c r="K143" i="150"/>
  <c r="M143" i="150" s="1"/>
  <c r="N143" i="150"/>
  <c r="G173" i="150"/>
  <c r="H112" i="150"/>
  <c r="C271" i="150"/>
  <c r="B271" i="150" s="1"/>
  <c r="D271" i="150"/>
  <c r="E270" i="150"/>
  <c r="F270" i="150"/>
  <c r="D152" i="150"/>
  <c r="E151" i="150"/>
  <c r="C152" i="150"/>
  <c r="B152" i="150" s="1"/>
  <c r="F151" i="150"/>
  <c r="F241" i="150"/>
  <c r="D242" i="150"/>
  <c r="C242" i="150"/>
  <c r="B242" i="150" s="1"/>
  <c r="E241" i="150"/>
  <c r="F120" i="150"/>
  <c r="D121" i="150"/>
  <c r="C121" i="150"/>
  <c r="B121" i="150" s="1"/>
  <c r="E120" i="150"/>
  <c r="D90" i="150"/>
  <c r="E89" i="150"/>
  <c r="C90" i="150"/>
  <c r="B90" i="150" s="1"/>
  <c r="F89" i="150"/>
  <c r="D183" i="150"/>
  <c r="E182" i="150"/>
  <c r="C183" i="150"/>
  <c r="B183" i="150" s="1"/>
  <c r="F182" i="150"/>
  <c r="D213" i="150"/>
  <c r="E212" i="150"/>
  <c r="C213" i="150"/>
  <c r="B213" i="150" s="1"/>
  <c r="F212" i="150"/>
  <c r="N287" i="150" l="1"/>
  <c r="N289" i="150"/>
  <c r="D299" i="150"/>
  <c r="E298" i="150"/>
  <c r="C299" i="150"/>
  <c r="B299" i="150" s="1"/>
  <c r="F298" i="150"/>
  <c r="O143" i="150"/>
  <c r="G144" i="150" s="1"/>
  <c r="K112" i="150"/>
  <c r="M112" i="150" s="1"/>
  <c r="H173" i="150"/>
  <c r="N112" i="150"/>
  <c r="C91" i="150"/>
  <c r="B91" i="150" s="1"/>
  <c r="F90" i="150"/>
  <c r="E90" i="150"/>
  <c r="D91" i="150"/>
  <c r="D243" i="150"/>
  <c r="E242" i="150"/>
  <c r="C243" i="150"/>
  <c r="B243" i="150" s="1"/>
  <c r="F242" i="150"/>
  <c r="C214" i="150"/>
  <c r="B214" i="150" s="1"/>
  <c r="D214" i="150"/>
  <c r="F213" i="150"/>
  <c r="E213" i="150"/>
  <c r="C184" i="150"/>
  <c r="B184" i="150" s="1"/>
  <c r="D184" i="150"/>
  <c r="F183" i="150"/>
  <c r="E183" i="150"/>
  <c r="C153" i="150"/>
  <c r="B153" i="150" s="1"/>
  <c r="D153" i="150"/>
  <c r="F152" i="150"/>
  <c r="E152" i="150"/>
  <c r="F271" i="150"/>
  <c r="D272" i="150"/>
  <c r="C272" i="150"/>
  <c r="B272" i="150" s="1"/>
  <c r="E271" i="150"/>
  <c r="D122" i="150"/>
  <c r="E121" i="150"/>
  <c r="C122" i="150"/>
  <c r="B122" i="150" s="1"/>
  <c r="F121" i="150"/>
  <c r="H144" i="150" l="1"/>
  <c r="K173" i="150"/>
  <c r="M173" i="150" s="1"/>
  <c r="C300" i="150"/>
  <c r="B300" i="150" s="1"/>
  <c r="D300" i="150"/>
  <c r="F299" i="150"/>
  <c r="E299" i="150"/>
  <c r="O112" i="150"/>
  <c r="G113" i="150" s="1"/>
  <c r="N173" i="150"/>
  <c r="L194" i="150"/>
  <c r="D185" i="150"/>
  <c r="F184" i="150"/>
  <c r="C185" i="150"/>
  <c r="B185" i="150" s="1"/>
  <c r="E184" i="150"/>
  <c r="D215" i="150"/>
  <c r="F214" i="150"/>
  <c r="C215" i="150"/>
  <c r="B215" i="150" s="1"/>
  <c r="E214" i="150"/>
  <c r="C244" i="150"/>
  <c r="B244" i="150" s="1"/>
  <c r="D244" i="150"/>
  <c r="F243" i="150"/>
  <c r="E243" i="150"/>
  <c r="F91" i="150"/>
  <c r="D92" i="150"/>
  <c r="C92" i="150"/>
  <c r="B92" i="150" s="1"/>
  <c r="E91" i="150"/>
  <c r="C123" i="150"/>
  <c r="B123" i="150" s="1"/>
  <c r="D123" i="150"/>
  <c r="F122" i="150"/>
  <c r="E122" i="150"/>
  <c r="D273" i="150"/>
  <c r="E272" i="150"/>
  <c r="C273" i="150"/>
  <c r="B273" i="150" s="1"/>
  <c r="F272" i="150"/>
  <c r="D154" i="150"/>
  <c r="F153" i="150"/>
  <c r="C154" i="150"/>
  <c r="B154" i="150" s="1"/>
  <c r="E153" i="150"/>
  <c r="O144" i="150" l="1"/>
  <c r="G145" i="150" s="1"/>
  <c r="H113" i="150"/>
  <c r="N113" i="150" s="1"/>
  <c r="D301" i="150"/>
  <c r="F300" i="150"/>
  <c r="C301" i="150"/>
  <c r="B301" i="150" s="1"/>
  <c r="E300" i="150"/>
  <c r="O173" i="150"/>
  <c r="G174" i="150" s="1"/>
  <c r="K144" i="150"/>
  <c r="M144" i="150" s="1"/>
  <c r="N144" i="150"/>
  <c r="C274" i="150"/>
  <c r="B274" i="150" s="1"/>
  <c r="F273" i="150"/>
  <c r="E273" i="150"/>
  <c r="D274" i="150"/>
  <c r="D124" i="150"/>
  <c r="F123" i="150"/>
  <c r="C124" i="150"/>
  <c r="B124" i="150" s="1"/>
  <c r="E123" i="150"/>
  <c r="F215" i="150"/>
  <c r="D216" i="150"/>
  <c r="C216" i="150"/>
  <c r="B216" i="150" s="1"/>
  <c r="E215" i="150"/>
  <c r="F185" i="150"/>
  <c r="D186" i="150"/>
  <c r="C186" i="150"/>
  <c r="B186" i="150" s="1"/>
  <c r="E185" i="150"/>
  <c r="F92" i="150"/>
  <c r="D93" i="150"/>
  <c r="E92" i="150"/>
  <c r="C93" i="150"/>
  <c r="B93" i="150" s="1"/>
  <c r="D245" i="150"/>
  <c r="F244" i="150"/>
  <c r="C245" i="150"/>
  <c r="B245" i="150" s="1"/>
  <c r="E244" i="150"/>
  <c r="F154" i="150"/>
  <c r="D155" i="150"/>
  <c r="C155" i="150"/>
  <c r="B155" i="150" s="1"/>
  <c r="E154" i="150"/>
  <c r="H145" i="150" l="1"/>
  <c r="H174" i="150"/>
  <c r="F301" i="150"/>
  <c r="D302" i="150"/>
  <c r="E301" i="150"/>
  <c r="C302" i="150"/>
  <c r="B302" i="150" s="1"/>
  <c r="D275" i="150"/>
  <c r="F274" i="150"/>
  <c r="E274" i="150"/>
  <c r="C275" i="150"/>
  <c r="B275" i="150" s="1"/>
  <c r="D94" i="150"/>
  <c r="E93" i="150"/>
  <c r="C94" i="150"/>
  <c r="B94" i="150" s="1"/>
  <c r="F93" i="150"/>
  <c r="F124" i="150"/>
  <c r="D125" i="150"/>
  <c r="C125" i="150"/>
  <c r="B125" i="150" s="1"/>
  <c r="E124" i="150"/>
  <c r="D156" i="150"/>
  <c r="E155" i="150"/>
  <c r="C156" i="150"/>
  <c r="B156" i="150" s="1"/>
  <c r="F155" i="150"/>
  <c r="F245" i="150"/>
  <c r="C246" i="150"/>
  <c r="B246" i="150" s="1"/>
  <c r="E245" i="150"/>
  <c r="D246" i="150"/>
  <c r="D187" i="150"/>
  <c r="E186" i="150"/>
  <c r="C187" i="150"/>
  <c r="B187" i="150" s="1"/>
  <c r="F186" i="150"/>
  <c r="D217" i="150"/>
  <c r="E216" i="150"/>
  <c r="C217" i="150"/>
  <c r="B217" i="150" s="1"/>
  <c r="F216" i="150"/>
  <c r="O145" i="150" l="1"/>
  <c r="G146" i="150" s="1"/>
  <c r="N145" i="150"/>
  <c r="O113" i="150"/>
  <c r="G114" i="150" s="1"/>
  <c r="K113" i="150"/>
  <c r="M113" i="150" s="1"/>
  <c r="N174" i="150"/>
  <c r="E302" i="150"/>
  <c r="F302" i="150"/>
  <c r="C218" i="150"/>
  <c r="B218" i="150" s="1"/>
  <c r="E217" i="150"/>
  <c r="D218" i="150"/>
  <c r="F217" i="150"/>
  <c r="C188" i="150"/>
  <c r="B188" i="150" s="1"/>
  <c r="E187" i="150"/>
  <c r="D188" i="150"/>
  <c r="F187" i="150"/>
  <c r="D247" i="150"/>
  <c r="E246" i="150"/>
  <c r="C247" i="150"/>
  <c r="B247" i="150" s="1"/>
  <c r="F246" i="150"/>
  <c r="D126" i="150"/>
  <c r="E125" i="150"/>
  <c r="C126" i="150"/>
  <c r="B126" i="150" s="1"/>
  <c r="F125" i="150"/>
  <c r="C157" i="150"/>
  <c r="B157" i="150" s="1"/>
  <c r="E156" i="150"/>
  <c r="D157" i="150"/>
  <c r="F156" i="150"/>
  <c r="C95" i="150"/>
  <c r="B95" i="150" s="1"/>
  <c r="D95" i="150"/>
  <c r="F94" i="150"/>
  <c r="E94" i="150"/>
  <c r="F275" i="150"/>
  <c r="C276" i="150"/>
  <c r="B276" i="150" s="1"/>
  <c r="E275" i="150"/>
  <c r="D276" i="150"/>
  <c r="J146" i="150" l="1"/>
  <c r="H146" i="150"/>
  <c r="I146" i="150" s="1"/>
  <c r="H114" i="150"/>
  <c r="K145" i="150"/>
  <c r="M145" i="150" s="1"/>
  <c r="K174" i="150"/>
  <c r="M174" i="150" s="1"/>
  <c r="O174" i="150"/>
  <c r="G175" i="150" s="1"/>
  <c r="H175" i="150" s="1"/>
  <c r="D158" i="150"/>
  <c r="F157" i="150"/>
  <c r="C158" i="150"/>
  <c r="B158" i="150" s="1"/>
  <c r="E157" i="150"/>
  <c r="C127" i="150"/>
  <c r="B127" i="150" s="1"/>
  <c r="E126" i="150"/>
  <c r="D127" i="150"/>
  <c r="F126" i="150"/>
  <c r="D189" i="150"/>
  <c r="F188" i="150"/>
  <c r="C189" i="150"/>
  <c r="B189" i="150" s="1"/>
  <c r="E188" i="150"/>
  <c r="D219" i="150"/>
  <c r="F218" i="150"/>
  <c r="C219" i="150"/>
  <c r="B219" i="150" s="1"/>
  <c r="E218" i="150"/>
  <c r="F95" i="150"/>
  <c r="E95" i="150"/>
  <c r="D96" i="150"/>
  <c r="C96" i="150"/>
  <c r="B96" i="150" s="1"/>
  <c r="C248" i="150"/>
  <c r="B248" i="150" s="1"/>
  <c r="E247" i="150"/>
  <c r="D248" i="150"/>
  <c r="F247" i="150"/>
  <c r="E276" i="150"/>
  <c r="F276" i="150"/>
  <c r="N146" i="150" l="1"/>
  <c r="I157" i="150"/>
  <c r="I162" i="150"/>
  <c r="I155" i="150"/>
  <c r="I159" i="150"/>
  <c r="I150" i="150"/>
  <c r="I151" i="150"/>
  <c r="I148" i="150"/>
  <c r="I147" i="150"/>
  <c r="I161" i="150"/>
  <c r="I149" i="150"/>
  <c r="I158" i="150"/>
  <c r="I153" i="150"/>
  <c r="I154" i="150"/>
  <c r="H164" i="150"/>
  <c r="I160" i="150"/>
  <c r="I156" i="150"/>
  <c r="I152" i="150"/>
  <c r="N114" i="150"/>
  <c r="O175" i="150"/>
  <c r="G176" i="150" s="1"/>
  <c r="H176" i="150" s="1"/>
  <c r="I176" i="150" s="1"/>
  <c r="O114" i="150"/>
  <c r="G115" i="150" s="1"/>
  <c r="K175" i="150"/>
  <c r="M175" i="150" s="1"/>
  <c r="K289" i="150"/>
  <c r="F96" i="150"/>
  <c r="D97" i="150"/>
  <c r="E96" i="150"/>
  <c r="C97" i="150"/>
  <c r="B97" i="150" s="1"/>
  <c r="F219" i="150"/>
  <c r="C220" i="150"/>
  <c r="B220" i="150" s="1"/>
  <c r="E219" i="150"/>
  <c r="D220" i="150"/>
  <c r="D249" i="150"/>
  <c r="F248" i="150"/>
  <c r="C249" i="150"/>
  <c r="B249" i="150" s="1"/>
  <c r="E248" i="150"/>
  <c r="F189" i="150"/>
  <c r="C190" i="150"/>
  <c r="B190" i="150" s="1"/>
  <c r="E189" i="150"/>
  <c r="D190" i="150"/>
  <c r="F158" i="150"/>
  <c r="C159" i="150"/>
  <c r="B159" i="150" s="1"/>
  <c r="E158" i="150"/>
  <c r="D159" i="150"/>
  <c r="D128" i="150"/>
  <c r="F127" i="150"/>
  <c r="C128" i="150"/>
  <c r="B128" i="150" s="1"/>
  <c r="E127" i="150"/>
  <c r="I186" i="150" l="1"/>
  <c r="I178" i="150"/>
  <c r="I180" i="150"/>
  <c r="I182" i="150"/>
  <c r="I185" i="150"/>
  <c r="I177" i="150"/>
  <c r="I188" i="150"/>
  <c r="I183" i="150"/>
  <c r="I189" i="150"/>
  <c r="I192" i="150"/>
  <c r="I187" i="150"/>
  <c r="I190" i="150"/>
  <c r="J115" i="150"/>
  <c r="H115" i="150"/>
  <c r="I181" i="150"/>
  <c r="I179" i="150"/>
  <c r="I184" i="150"/>
  <c r="I191" i="150"/>
  <c r="H194" i="150"/>
  <c r="I164" i="150"/>
  <c r="O146" i="150"/>
  <c r="G147" i="150" s="1"/>
  <c r="K146" i="150"/>
  <c r="M146" i="150" s="1"/>
  <c r="K114" i="150"/>
  <c r="M114" i="150" s="1"/>
  <c r="N175" i="150"/>
  <c r="J176" i="150"/>
  <c r="K176" i="150" s="1"/>
  <c r="M176" i="150" s="1"/>
  <c r="I304" i="150"/>
  <c r="O176" i="150"/>
  <c r="G177" i="150" s="1"/>
  <c r="F128" i="150"/>
  <c r="C129" i="150"/>
  <c r="B129" i="150" s="1"/>
  <c r="E128" i="150"/>
  <c r="D129" i="150"/>
  <c r="D191" i="150"/>
  <c r="E190" i="150"/>
  <c r="C191" i="150"/>
  <c r="B191" i="150" s="1"/>
  <c r="F190" i="150"/>
  <c r="D98" i="150"/>
  <c r="E97" i="150"/>
  <c r="C98" i="150"/>
  <c r="B98" i="150" s="1"/>
  <c r="F97" i="150"/>
  <c r="F249" i="150"/>
  <c r="E249" i="150"/>
  <c r="D221" i="150"/>
  <c r="E220" i="150"/>
  <c r="C221" i="150"/>
  <c r="B221" i="150" s="1"/>
  <c r="F220" i="150"/>
  <c r="D160" i="150"/>
  <c r="E159" i="150"/>
  <c r="C160" i="150"/>
  <c r="B160" i="150" s="1"/>
  <c r="F159" i="150"/>
  <c r="I194" i="150" l="1"/>
  <c r="I115" i="150"/>
  <c r="K115" i="150" s="1"/>
  <c r="I129" i="150"/>
  <c r="I123" i="150"/>
  <c r="I116" i="150"/>
  <c r="I127" i="150"/>
  <c r="I120" i="150"/>
  <c r="I125" i="150"/>
  <c r="I128" i="150"/>
  <c r="I126" i="150"/>
  <c r="I121" i="150"/>
  <c r="I130" i="150"/>
  <c r="I122" i="150"/>
  <c r="I117" i="150"/>
  <c r="I124" i="150"/>
  <c r="I131" i="150"/>
  <c r="I118" i="150"/>
  <c r="I119" i="150"/>
  <c r="H133" i="150"/>
  <c r="N115" i="150"/>
  <c r="J147" i="150"/>
  <c r="K147" i="150" s="1"/>
  <c r="M147" i="150" s="1"/>
  <c r="O147" i="150"/>
  <c r="G148" i="150" s="1"/>
  <c r="N176" i="150"/>
  <c r="O177" i="150"/>
  <c r="G178" i="150" s="1"/>
  <c r="J178" i="150" s="1"/>
  <c r="J177" i="150"/>
  <c r="N177" i="150" s="1"/>
  <c r="F221" i="150"/>
  <c r="E221" i="150"/>
  <c r="C192" i="150"/>
  <c r="B192" i="150" s="1"/>
  <c r="D192" i="150"/>
  <c r="F191" i="150"/>
  <c r="E191" i="150"/>
  <c r="D130" i="150"/>
  <c r="E129" i="150"/>
  <c r="C130" i="150"/>
  <c r="B130" i="150" s="1"/>
  <c r="F129" i="150"/>
  <c r="C161" i="150"/>
  <c r="B161" i="150" s="1"/>
  <c r="D161" i="150"/>
  <c r="F160" i="150"/>
  <c r="E160" i="150"/>
  <c r="C99" i="150"/>
  <c r="B99" i="150" s="1"/>
  <c r="F98" i="150"/>
  <c r="E98" i="150"/>
  <c r="D99" i="150"/>
  <c r="O115" i="150" l="1"/>
  <c r="G116" i="150" s="1"/>
  <c r="O116" i="150" s="1"/>
  <c r="G117" i="150" s="1"/>
  <c r="I133" i="150"/>
  <c r="N147" i="150"/>
  <c r="J148" i="150"/>
  <c r="K148" i="150" s="1"/>
  <c r="M148" i="150" s="1"/>
  <c r="O148" i="150"/>
  <c r="G149" i="150" s="1"/>
  <c r="K177" i="150"/>
  <c r="M177" i="150" s="1"/>
  <c r="D162" i="150"/>
  <c r="C162" i="150"/>
  <c r="B162" i="150" s="1"/>
  <c r="O178" i="150"/>
  <c r="G179" i="150" s="1"/>
  <c r="J179" i="150" s="1"/>
  <c r="N178" i="150"/>
  <c r="K178" i="150"/>
  <c r="M178" i="150" s="1"/>
  <c r="M115" i="150"/>
  <c r="F99" i="150"/>
  <c r="E99" i="150"/>
  <c r="F192" i="150"/>
  <c r="E192" i="150"/>
  <c r="C131" i="150"/>
  <c r="B131" i="150" s="1"/>
  <c r="D131" i="150"/>
  <c r="F130" i="150"/>
  <c r="E130" i="150"/>
  <c r="F161" i="150"/>
  <c r="E161" i="150"/>
  <c r="J116" i="150" l="1"/>
  <c r="N116" i="150" s="1"/>
  <c r="N148" i="150"/>
  <c r="J149" i="150"/>
  <c r="K149" i="150" s="1"/>
  <c r="M149" i="150" s="1"/>
  <c r="O149" i="150"/>
  <c r="G150" i="150" s="1"/>
  <c r="F162" i="150"/>
  <c r="E162" i="150"/>
  <c r="O179" i="150"/>
  <c r="G180" i="150" s="1"/>
  <c r="O180" i="150" s="1"/>
  <c r="G181" i="150" s="1"/>
  <c r="N179" i="150"/>
  <c r="K179" i="150"/>
  <c r="J117" i="150"/>
  <c r="O117" i="150"/>
  <c r="G118" i="150" s="1"/>
  <c r="F131" i="150"/>
  <c r="E131" i="150"/>
  <c r="K116" i="150" l="1"/>
  <c r="M116" i="150" s="1"/>
  <c r="N149" i="150"/>
  <c r="J150" i="150"/>
  <c r="K150" i="150" s="1"/>
  <c r="M150" i="150" s="1"/>
  <c r="O150" i="150"/>
  <c r="G151" i="150" s="1"/>
  <c r="J180" i="150"/>
  <c r="K180" i="150" s="1"/>
  <c r="M180" i="150" s="1"/>
  <c r="M179" i="150"/>
  <c r="J181" i="150"/>
  <c r="O181" i="150"/>
  <c r="G182" i="150" s="1"/>
  <c r="K117" i="150"/>
  <c r="N117" i="150"/>
  <c r="O118" i="150"/>
  <c r="G119" i="150" s="1"/>
  <c r="J118" i="150"/>
  <c r="J151" i="150" l="1"/>
  <c r="K151" i="150" s="1"/>
  <c r="M151" i="150" s="1"/>
  <c r="O151" i="150"/>
  <c r="G152" i="150" s="1"/>
  <c r="N150" i="150"/>
  <c r="N180" i="150"/>
  <c r="N181" i="150"/>
  <c r="K181" i="150"/>
  <c r="O182" i="150"/>
  <c r="G183" i="150" s="1"/>
  <c r="J182" i="150"/>
  <c r="M117" i="150"/>
  <c r="K118" i="150"/>
  <c r="M118" i="150" s="1"/>
  <c r="N118" i="150"/>
  <c r="O119" i="150"/>
  <c r="G120" i="150" s="1"/>
  <c r="J119" i="150"/>
  <c r="J152" i="150" l="1"/>
  <c r="K152" i="150" s="1"/>
  <c r="M152" i="150" s="1"/>
  <c r="O152" i="150"/>
  <c r="G153" i="150" s="1"/>
  <c r="N151" i="150"/>
  <c r="K119" i="150"/>
  <c r="M119" i="150" s="1"/>
  <c r="M181" i="150"/>
  <c r="N182" i="150"/>
  <c r="K182" i="150"/>
  <c r="M182" i="150" s="1"/>
  <c r="J183" i="150"/>
  <c r="K183" i="150" s="1"/>
  <c r="M183" i="150" s="1"/>
  <c r="O183" i="150"/>
  <c r="G184" i="150" s="1"/>
  <c r="N119" i="150"/>
  <c r="J120" i="150"/>
  <c r="O120" i="150"/>
  <c r="G121" i="150" s="1"/>
  <c r="K11" i="152"/>
  <c r="K10" i="152"/>
  <c r="L5" i="152"/>
  <c r="F5" i="152"/>
  <c r="L4" i="152"/>
  <c r="C10" i="152" s="1"/>
  <c r="D10" i="152" s="1"/>
  <c r="F4" i="152"/>
  <c r="E3" i="152"/>
  <c r="E6" i="152" s="1"/>
  <c r="D3" i="152"/>
  <c r="D6" i="152" s="1"/>
  <c r="C3" i="152"/>
  <c r="F2" i="152"/>
  <c r="F18" i="150"/>
  <c r="F17" i="150"/>
  <c r="E16" i="150"/>
  <c r="E19" i="150" s="1"/>
  <c r="D16" i="150"/>
  <c r="D19" i="150" s="1"/>
  <c r="C16" i="150"/>
  <c r="F15" i="150"/>
  <c r="F14" i="150"/>
  <c r="F13" i="150"/>
  <c r="F12" i="150"/>
  <c r="F11" i="150"/>
  <c r="F10" i="150"/>
  <c r="F9" i="150"/>
  <c r="F8" i="150"/>
  <c r="F7" i="150"/>
  <c r="F6" i="150"/>
  <c r="F5" i="150"/>
  <c r="F4" i="150"/>
  <c r="F3" i="150"/>
  <c r="F2" i="150"/>
  <c r="L15" i="152" l="1"/>
  <c r="G38" i="168"/>
  <c r="J153" i="150"/>
  <c r="K153" i="150" s="1"/>
  <c r="M153" i="150" s="1"/>
  <c r="O153" i="150"/>
  <c r="G154" i="150" s="1"/>
  <c r="N152" i="150"/>
  <c r="G78" i="168"/>
  <c r="C23" i="150"/>
  <c r="A48" i="150"/>
  <c r="B48" i="150" s="1"/>
  <c r="N183" i="150"/>
  <c r="J184" i="150"/>
  <c r="O184" i="150"/>
  <c r="G185" i="150" s="1"/>
  <c r="K120" i="150"/>
  <c r="J121" i="150"/>
  <c r="O121" i="150"/>
  <c r="G122" i="150" s="1"/>
  <c r="N120" i="150"/>
  <c r="L32" i="152"/>
  <c r="F16" i="150"/>
  <c r="F19" i="150" s="1"/>
  <c r="L16" i="152"/>
  <c r="L21" i="152"/>
  <c r="L26" i="152"/>
  <c r="L33" i="152"/>
  <c r="F3" i="152"/>
  <c r="F6" i="152" s="1"/>
  <c r="M11" i="152"/>
  <c r="L17" i="152"/>
  <c r="L22" i="152"/>
  <c r="L28" i="152"/>
  <c r="L18" i="152"/>
  <c r="L24" i="152"/>
  <c r="L29" i="152"/>
  <c r="L20" i="152"/>
  <c r="L25" i="152"/>
  <c r="L30" i="152"/>
  <c r="C11" i="152"/>
  <c r="D11" i="152" s="1"/>
  <c r="C12" i="152" s="1"/>
  <c r="D12" i="152" s="1"/>
  <c r="C13" i="152" s="1"/>
  <c r="D13" i="152" s="1"/>
  <c r="C14" i="152" s="1"/>
  <c r="D14" i="152" s="1"/>
  <c r="F10" i="152"/>
  <c r="E10" i="152"/>
  <c r="M10" i="152"/>
  <c r="C6" i="152"/>
  <c r="G10" i="152"/>
  <c r="L19" i="152"/>
  <c r="L23" i="152"/>
  <c r="L27" i="152"/>
  <c r="L31" i="152"/>
  <c r="C19" i="150"/>
  <c r="D33" i="132"/>
  <c r="D34" i="132" s="1"/>
  <c r="C33" i="132"/>
  <c r="J154" i="150" l="1"/>
  <c r="K154" i="150" s="1"/>
  <c r="M154" i="150" s="1"/>
  <c r="O154" i="150"/>
  <c r="G155" i="150" s="1"/>
  <c r="N153" i="150"/>
  <c r="F12" i="152"/>
  <c r="E12" i="152"/>
  <c r="D23" i="150"/>
  <c r="F33" i="132"/>
  <c r="E33" i="132"/>
  <c r="B49" i="150"/>
  <c r="A49" i="150"/>
  <c r="N121" i="150"/>
  <c r="N184" i="150"/>
  <c r="K184" i="150"/>
  <c r="O185" i="150"/>
  <c r="G186" i="150" s="1"/>
  <c r="J185" i="150"/>
  <c r="K121" i="150"/>
  <c r="M121" i="150" s="1"/>
  <c r="M120" i="150"/>
  <c r="O122" i="150"/>
  <c r="G123" i="150" s="1"/>
  <c r="J122" i="150"/>
  <c r="L35" i="152"/>
  <c r="F13" i="152"/>
  <c r="E13" i="152"/>
  <c r="F11" i="152"/>
  <c r="E11" i="152"/>
  <c r="H10" i="152"/>
  <c r="L44" i="150"/>
  <c r="B33" i="132"/>
  <c r="C34" i="132"/>
  <c r="B34" i="132" s="1"/>
  <c r="J155" i="150" l="1"/>
  <c r="K155" i="150" s="1"/>
  <c r="M155" i="150" s="1"/>
  <c r="O155" i="150"/>
  <c r="G156" i="150" s="1"/>
  <c r="N154" i="150"/>
  <c r="C24" i="150"/>
  <c r="F23" i="150"/>
  <c r="N10" i="152"/>
  <c r="E23" i="150"/>
  <c r="A50" i="150"/>
  <c r="B50" i="150"/>
  <c r="K122" i="150"/>
  <c r="M122" i="150" s="1"/>
  <c r="N185" i="150"/>
  <c r="K185" i="150"/>
  <c r="M185" i="150" s="1"/>
  <c r="M184" i="150"/>
  <c r="O186" i="150"/>
  <c r="G187" i="150" s="1"/>
  <c r="J186" i="150"/>
  <c r="N122" i="150"/>
  <c r="J123" i="150"/>
  <c r="O123" i="150"/>
  <c r="G124" i="150" s="1"/>
  <c r="O10" i="152"/>
  <c r="G11" i="152" s="1"/>
  <c r="H11" i="152" s="1"/>
  <c r="J156" i="150" l="1"/>
  <c r="K156" i="150" s="1"/>
  <c r="M156" i="150" s="1"/>
  <c r="O156" i="150"/>
  <c r="G157" i="150" s="1"/>
  <c r="N155" i="150"/>
  <c r="H23" i="150"/>
  <c r="N23" i="150" s="1"/>
  <c r="D24" i="150"/>
  <c r="B24" i="150"/>
  <c r="B51" i="150"/>
  <c r="A51" i="150"/>
  <c r="N186" i="150"/>
  <c r="K186" i="150"/>
  <c r="M186" i="150" s="1"/>
  <c r="O187" i="150"/>
  <c r="G188" i="150" s="1"/>
  <c r="J187" i="150"/>
  <c r="K123" i="150"/>
  <c r="M123" i="150" s="1"/>
  <c r="O124" i="150"/>
  <c r="G125" i="150" s="1"/>
  <c r="J124" i="150"/>
  <c r="N123" i="150"/>
  <c r="C15" i="152"/>
  <c r="F14" i="152"/>
  <c r="E14" i="152"/>
  <c r="O23" i="150" l="1"/>
  <c r="G24" i="150" s="1"/>
  <c r="J157" i="150"/>
  <c r="K157" i="150" s="1"/>
  <c r="M157" i="150" s="1"/>
  <c r="O157" i="150"/>
  <c r="G158" i="150" s="1"/>
  <c r="N156" i="150"/>
  <c r="F24" i="150"/>
  <c r="C25" i="150"/>
  <c r="E24" i="150"/>
  <c r="B52" i="150"/>
  <c r="A52" i="150"/>
  <c r="K23" i="150"/>
  <c r="M23" i="150" s="1"/>
  <c r="N187" i="150"/>
  <c r="K187" i="150"/>
  <c r="M187" i="150" s="1"/>
  <c r="O188" i="150"/>
  <c r="G189" i="150" s="1"/>
  <c r="J188" i="150"/>
  <c r="K124" i="150"/>
  <c r="M124" i="150" s="1"/>
  <c r="N124" i="150"/>
  <c r="J125" i="150"/>
  <c r="O125" i="150"/>
  <c r="G126" i="150" s="1"/>
  <c r="N11" i="152"/>
  <c r="D15" i="152"/>
  <c r="B15" i="152"/>
  <c r="H24" i="150" l="1"/>
  <c r="I37" i="150" s="1"/>
  <c r="N157" i="150"/>
  <c r="J158" i="150"/>
  <c r="K158" i="150" s="1"/>
  <c r="M158" i="150" s="1"/>
  <c r="O158" i="150"/>
  <c r="G159" i="150" s="1"/>
  <c r="J24" i="150"/>
  <c r="N24" i="150" s="1"/>
  <c r="B25" i="150"/>
  <c r="D25" i="150"/>
  <c r="B53" i="150"/>
  <c r="A53" i="150"/>
  <c r="K125" i="150"/>
  <c r="M125" i="150" s="1"/>
  <c r="N188" i="150"/>
  <c r="K188" i="150"/>
  <c r="M188" i="150" s="1"/>
  <c r="O189" i="150"/>
  <c r="G190" i="150" s="1"/>
  <c r="J189" i="150"/>
  <c r="N125" i="150"/>
  <c r="O126" i="150"/>
  <c r="G127" i="150" s="1"/>
  <c r="J126" i="150"/>
  <c r="O11" i="152"/>
  <c r="G12" i="152" s="1"/>
  <c r="K12" i="152"/>
  <c r="M12" i="152" s="1"/>
  <c r="C16" i="152"/>
  <c r="E15" i="152"/>
  <c r="F15" i="152"/>
  <c r="I31" i="150" l="1"/>
  <c r="I32" i="150"/>
  <c r="I38" i="150"/>
  <c r="I26" i="150"/>
  <c r="I41" i="150"/>
  <c r="I35" i="150"/>
  <c r="I28" i="150"/>
  <c r="I29" i="150"/>
  <c r="I36" i="150"/>
  <c r="I25" i="150"/>
  <c r="I24" i="150"/>
  <c r="O24" i="150" s="1"/>
  <c r="G25" i="150" s="1"/>
  <c r="I30" i="150"/>
  <c r="I33" i="150"/>
  <c r="I39" i="150"/>
  <c r="I34" i="150"/>
  <c r="H44" i="150"/>
  <c r="I27" i="150"/>
  <c r="I40" i="150"/>
  <c r="I42" i="150"/>
  <c r="N158" i="150"/>
  <c r="J159" i="150"/>
  <c r="K159" i="150" s="1"/>
  <c r="M159" i="150" s="1"/>
  <c r="O159" i="150"/>
  <c r="G160" i="150" s="1"/>
  <c r="F25" i="150"/>
  <c r="C26" i="150"/>
  <c r="E25" i="150"/>
  <c r="A54" i="150"/>
  <c r="B54" i="150"/>
  <c r="K126" i="150"/>
  <c r="M126" i="150" s="1"/>
  <c r="N189" i="150"/>
  <c r="K189" i="150"/>
  <c r="M189" i="150" s="1"/>
  <c r="O190" i="150"/>
  <c r="G191" i="150" s="1"/>
  <c r="J190" i="150"/>
  <c r="J127" i="150"/>
  <c r="O127" i="150"/>
  <c r="G128" i="150" s="1"/>
  <c r="N126" i="150"/>
  <c r="K13" i="152"/>
  <c r="M13" i="152" s="1"/>
  <c r="B16" i="152"/>
  <c r="D16" i="152"/>
  <c r="K24" i="150" l="1"/>
  <c r="M24" i="150" s="1"/>
  <c r="I44" i="150"/>
  <c r="N159" i="150"/>
  <c r="J160" i="150"/>
  <c r="K160" i="150" s="1"/>
  <c r="M160" i="150" s="1"/>
  <c r="O160" i="150"/>
  <c r="G161" i="150" s="1"/>
  <c r="D26" i="150"/>
  <c r="B26" i="150"/>
  <c r="O25" i="150"/>
  <c r="G26" i="150" s="1"/>
  <c r="J25" i="150"/>
  <c r="B55" i="150"/>
  <c r="A55" i="150"/>
  <c r="K127" i="150"/>
  <c r="M127" i="150" s="1"/>
  <c r="N190" i="150"/>
  <c r="K190" i="150"/>
  <c r="M190" i="150" s="1"/>
  <c r="O191" i="150"/>
  <c r="G192" i="150" s="1"/>
  <c r="J191" i="150"/>
  <c r="N127" i="150"/>
  <c r="J128" i="150"/>
  <c r="O128" i="150"/>
  <c r="G129" i="150" s="1"/>
  <c r="H12" i="152"/>
  <c r="F16" i="152"/>
  <c r="C17" i="152"/>
  <c r="E16" i="152"/>
  <c r="J161" i="150" l="1"/>
  <c r="K161" i="150" s="1"/>
  <c r="M161" i="150" s="1"/>
  <c r="O161" i="150"/>
  <c r="G162" i="150" s="1"/>
  <c r="N160" i="150"/>
  <c r="C27" i="150"/>
  <c r="F26" i="150"/>
  <c r="E26" i="150"/>
  <c r="B78" i="168"/>
  <c r="O26" i="150"/>
  <c r="G27" i="150" s="1"/>
  <c r="K25" i="150"/>
  <c r="M25" i="150" s="1"/>
  <c r="N25" i="150"/>
  <c r="O12" i="152"/>
  <c r="G13" i="152" s="1"/>
  <c r="B56" i="150"/>
  <c r="A56" i="150"/>
  <c r="N191" i="150"/>
  <c r="K191" i="150"/>
  <c r="M191" i="150" s="1"/>
  <c r="G194" i="150"/>
  <c r="O192" i="150"/>
  <c r="O194" i="150" s="1"/>
  <c r="J192" i="150"/>
  <c r="K128" i="150"/>
  <c r="M128" i="150" s="1"/>
  <c r="N128" i="150"/>
  <c r="O129" i="150"/>
  <c r="G130" i="150" s="1"/>
  <c r="J129" i="150"/>
  <c r="N12" i="152"/>
  <c r="D17" i="152"/>
  <c r="B17" i="152"/>
  <c r="J26" i="150" l="1"/>
  <c r="K26" i="150" s="1"/>
  <c r="B79" i="168" s="1"/>
  <c r="B38" i="168"/>
  <c r="J162" i="150"/>
  <c r="K162" i="150" s="1"/>
  <c r="K164" i="150" s="1"/>
  <c r="O162" i="150"/>
  <c r="O164" i="150" s="1"/>
  <c r="G164" i="150"/>
  <c r="N161" i="150"/>
  <c r="D27" i="150"/>
  <c r="B27" i="150"/>
  <c r="B57" i="150"/>
  <c r="A57" i="150"/>
  <c r="K129" i="150"/>
  <c r="M129" i="150" s="1"/>
  <c r="N192" i="150"/>
  <c r="N194" i="150" s="1"/>
  <c r="K192" i="150"/>
  <c r="J194" i="150"/>
  <c r="N129" i="150"/>
  <c r="J130" i="150"/>
  <c r="O130" i="150"/>
  <c r="G131" i="150" s="1"/>
  <c r="H13" i="152"/>
  <c r="E17" i="152"/>
  <c r="C18" i="152"/>
  <c r="F17" i="152"/>
  <c r="O27" i="150"/>
  <c r="N26" i="150" l="1"/>
  <c r="M162" i="150"/>
  <c r="M164" i="150" s="1"/>
  <c r="M26" i="150"/>
  <c r="J164" i="150"/>
  <c r="N162" i="150"/>
  <c r="N164" i="150" s="1"/>
  <c r="C28" i="150"/>
  <c r="F27" i="150"/>
  <c r="E27" i="150"/>
  <c r="C78" i="168"/>
  <c r="B58" i="150"/>
  <c r="A58" i="150"/>
  <c r="N130" i="150"/>
  <c r="M192" i="150"/>
  <c r="M194" i="150" s="1"/>
  <c r="K194" i="150"/>
  <c r="K130" i="150"/>
  <c r="M130" i="150" s="1"/>
  <c r="G133" i="150"/>
  <c r="J131" i="150"/>
  <c r="O131" i="150"/>
  <c r="O133" i="150" s="1"/>
  <c r="O13" i="152"/>
  <c r="G14" i="152" s="1"/>
  <c r="N13" i="152"/>
  <c r="D18" i="152"/>
  <c r="B18" i="152"/>
  <c r="G28" i="150"/>
  <c r="C38" i="168" l="1"/>
  <c r="J27" i="150"/>
  <c r="D28" i="150"/>
  <c r="B28" i="150"/>
  <c r="B59" i="150"/>
  <c r="A59" i="150"/>
  <c r="K131" i="150"/>
  <c r="J133" i="150"/>
  <c r="N131" i="150"/>
  <c r="N133" i="150" s="1"/>
  <c r="C19" i="152"/>
  <c r="F18" i="152"/>
  <c r="E18" i="152"/>
  <c r="O28" i="150"/>
  <c r="G29" i="150" s="1"/>
  <c r="C29" i="150" l="1"/>
  <c r="E28" i="150"/>
  <c r="F28" i="150"/>
  <c r="N27" i="150"/>
  <c r="K27" i="150"/>
  <c r="A60" i="150"/>
  <c r="B60" i="150"/>
  <c r="M131" i="150"/>
  <c r="M133" i="150" s="1"/>
  <c r="K133" i="150"/>
  <c r="H14" i="152"/>
  <c r="D19" i="152"/>
  <c r="B19" i="152"/>
  <c r="O29" i="150"/>
  <c r="G30" i="150" s="1"/>
  <c r="J28" i="150" l="1"/>
  <c r="N28" i="150" s="1"/>
  <c r="C79" i="168"/>
  <c r="M27" i="150"/>
  <c r="D29" i="150"/>
  <c r="B29" i="150"/>
  <c r="N14" i="152"/>
  <c r="A61" i="150"/>
  <c r="B61" i="150"/>
  <c r="F19" i="152"/>
  <c r="C20" i="152"/>
  <c r="E19" i="152"/>
  <c r="O30" i="150"/>
  <c r="G31" i="150" s="1"/>
  <c r="K28" i="150" l="1"/>
  <c r="M28" i="150" s="1"/>
  <c r="F29" i="150"/>
  <c r="C30" i="150"/>
  <c r="E29" i="150"/>
  <c r="B62" i="150"/>
  <c r="A62" i="150"/>
  <c r="K14" i="152"/>
  <c r="O14" i="152"/>
  <c r="G15" i="152" s="1"/>
  <c r="B20" i="152"/>
  <c r="D20" i="152"/>
  <c r="O31" i="150"/>
  <c r="G32" i="150" s="1"/>
  <c r="D79" i="168" l="1"/>
  <c r="D30" i="150"/>
  <c r="B30" i="150"/>
  <c r="J29" i="150"/>
  <c r="J15" i="152"/>
  <c r="H15" i="152"/>
  <c r="B63" i="150"/>
  <c r="A63" i="150"/>
  <c r="M14" i="152"/>
  <c r="F20" i="152"/>
  <c r="C21" i="152"/>
  <c r="E20" i="152"/>
  <c r="O32" i="150"/>
  <c r="G33" i="150" s="1"/>
  <c r="K29" i="150" l="1"/>
  <c r="N29" i="150"/>
  <c r="F30" i="150"/>
  <c r="E30" i="150"/>
  <c r="C31" i="150"/>
  <c r="I32" i="152"/>
  <c r="I15" i="152"/>
  <c r="I18" i="152"/>
  <c r="I19" i="152"/>
  <c r="I24" i="152"/>
  <c r="I31" i="152"/>
  <c r="I22" i="152"/>
  <c r="I23" i="152"/>
  <c r="I27" i="152"/>
  <c r="I33" i="152"/>
  <c r="I30" i="152"/>
  <c r="I29" i="152"/>
  <c r="I26" i="152"/>
  <c r="I28" i="152"/>
  <c r="I16" i="152"/>
  <c r="H35" i="152"/>
  <c r="I20" i="152"/>
  <c r="I17" i="152"/>
  <c r="I25" i="152"/>
  <c r="I21" i="152"/>
  <c r="A64" i="150"/>
  <c r="B64" i="150"/>
  <c r="B21" i="152"/>
  <c r="D21" i="152"/>
  <c r="O33" i="150"/>
  <c r="G34" i="150" s="1"/>
  <c r="J30" i="150" l="1"/>
  <c r="D31" i="150"/>
  <c r="B31" i="150"/>
  <c r="E79" i="168"/>
  <c r="F79" i="168" s="1"/>
  <c r="M29" i="150"/>
  <c r="I35" i="152"/>
  <c r="O15" i="152"/>
  <c r="G16" i="152" s="1"/>
  <c r="O16" i="152" s="1"/>
  <c r="G17" i="152" s="1"/>
  <c r="A65" i="150"/>
  <c r="B65" i="150"/>
  <c r="N15" i="152"/>
  <c r="K15" i="152"/>
  <c r="E21" i="152"/>
  <c r="C22" i="152"/>
  <c r="F21" i="152"/>
  <c r="O34" i="150"/>
  <c r="G35" i="150" s="1"/>
  <c r="C32" i="150" l="1"/>
  <c r="F31" i="150"/>
  <c r="E31" i="150"/>
  <c r="K30" i="150"/>
  <c r="N30" i="150"/>
  <c r="J16" i="152"/>
  <c r="K16" i="152" s="1"/>
  <c r="M16" i="152" s="1"/>
  <c r="B66" i="150"/>
  <c r="A66" i="150"/>
  <c r="J17" i="152"/>
  <c r="N17" i="152" s="1"/>
  <c r="O17" i="152"/>
  <c r="G18" i="152" s="1"/>
  <c r="M15" i="152"/>
  <c r="D22" i="152"/>
  <c r="B22" i="152"/>
  <c r="O35" i="150"/>
  <c r="G36" i="150" s="1"/>
  <c r="J31" i="150" l="1"/>
  <c r="K31" i="150" s="1"/>
  <c r="M30" i="150"/>
  <c r="N16" i="152"/>
  <c r="D32" i="150"/>
  <c r="B32" i="150"/>
  <c r="A67" i="150"/>
  <c r="B67" i="150"/>
  <c r="O18" i="152"/>
  <c r="G19" i="152" s="1"/>
  <c r="J18" i="152"/>
  <c r="K17" i="152"/>
  <c r="B39" i="168" s="1"/>
  <c r="C23" i="152"/>
  <c r="E22" i="152"/>
  <c r="F22" i="152"/>
  <c r="O36" i="150"/>
  <c r="G37" i="150" s="1"/>
  <c r="N31" i="150" l="1"/>
  <c r="M31" i="150"/>
  <c r="F32" i="150"/>
  <c r="C33" i="150"/>
  <c r="E32" i="150"/>
  <c r="M17" i="152"/>
  <c r="N18" i="152"/>
  <c r="K18" i="152"/>
  <c r="O19" i="152"/>
  <c r="G20" i="152" s="1"/>
  <c r="J19" i="152"/>
  <c r="K19" i="152" s="1"/>
  <c r="B23" i="152"/>
  <c r="D23" i="152"/>
  <c r="O37" i="150"/>
  <c r="G38" i="150" s="1"/>
  <c r="M18" i="152" l="1"/>
  <c r="C39" i="168"/>
  <c r="M19" i="152"/>
  <c r="D39" i="168"/>
  <c r="D33" i="150"/>
  <c r="B33" i="150"/>
  <c r="J32" i="150"/>
  <c r="N19" i="152"/>
  <c r="O20" i="152"/>
  <c r="G21" i="152" s="1"/>
  <c r="J20" i="152"/>
  <c r="K20" i="152" s="1"/>
  <c r="E39" i="168" s="1"/>
  <c r="F23" i="152"/>
  <c r="C24" i="152"/>
  <c r="E23" i="152"/>
  <c r="O38" i="150"/>
  <c r="G39" i="150" s="1"/>
  <c r="F39" i="168" l="1"/>
  <c r="K32" i="150"/>
  <c r="N32" i="150"/>
  <c r="E33" i="150"/>
  <c r="C34" i="150"/>
  <c r="F33" i="150"/>
  <c r="N20" i="152"/>
  <c r="M20" i="152"/>
  <c r="O21" i="152"/>
  <c r="G22" i="152" s="1"/>
  <c r="J21" i="152"/>
  <c r="B24" i="152"/>
  <c r="D24" i="152"/>
  <c r="O39" i="150"/>
  <c r="G40" i="150" s="1"/>
  <c r="M32" i="150" l="1"/>
  <c r="B34" i="150"/>
  <c r="D34" i="150"/>
  <c r="J33" i="150"/>
  <c r="N21" i="152"/>
  <c r="K21" i="152"/>
  <c r="O22" i="152"/>
  <c r="G23" i="152" s="1"/>
  <c r="J22" i="152"/>
  <c r="K22" i="152" s="1"/>
  <c r="F24" i="152"/>
  <c r="C25" i="152"/>
  <c r="E24" i="152"/>
  <c r="O40" i="150"/>
  <c r="G41" i="150" s="1"/>
  <c r="M22" i="152" l="1"/>
  <c r="E34" i="150"/>
  <c r="C35" i="150"/>
  <c r="F34" i="150"/>
  <c r="K33" i="150"/>
  <c r="N33" i="150"/>
  <c r="O23" i="152"/>
  <c r="G24" i="152" s="1"/>
  <c r="O24" i="152" s="1"/>
  <c r="G25" i="152" s="1"/>
  <c r="O25" i="152" s="1"/>
  <c r="G26" i="152" s="1"/>
  <c r="O26" i="152" s="1"/>
  <c r="G27" i="152" s="1"/>
  <c r="O27" i="152" s="1"/>
  <c r="G28" i="152" s="1"/>
  <c r="O28" i="152" s="1"/>
  <c r="G29" i="152" s="1"/>
  <c r="J23" i="152"/>
  <c r="M21" i="152"/>
  <c r="N22" i="152"/>
  <c r="B25" i="152"/>
  <c r="D25" i="152"/>
  <c r="O41" i="150"/>
  <c r="G42" i="150" s="1"/>
  <c r="J34" i="150" l="1"/>
  <c r="N34" i="150" s="1"/>
  <c r="M33" i="150"/>
  <c r="D35" i="150"/>
  <c r="B35" i="150"/>
  <c r="K34" i="150"/>
  <c r="M34" i="150" s="1"/>
  <c r="J24" i="152"/>
  <c r="N24" i="152" s="1"/>
  <c r="N23" i="152"/>
  <c r="K23" i="152"/>
  <c r="O29" i="152"/>
  <c r="G30" i="152" s="1"/>
  <c r="E25" i="152"/>
  <c r="C26" i="152"/>
  <c r="F25" i="152"/>
  <c r="O42" i="150"/>
  <c r="M23" i="152" l="1"/>
  <c r="C36" i="150"/>
  <c r="E35" i="150"/>
  <c r="F35" i="150"/>
  <c r="K24" i="152"/>
  <c r="J25" i="152"/>
  <c r="K25" i="152" s="1"/>
  <c r="M25" i="152" s="1"/>
  <c r="D26" i="152"/>
  <c r="B26" i="152"/>
  <c r="O30" i="152"/>
  <c r="G31" i="152" s="1"/>
  <c r="M24" i="152" l="1"/>
  <c r="J35" i="150"/>
  <c r="K35" i="150" s="1"/>
  <c r="M35" i="150" s="1"/>
  <c r="B36" i="150"/>
  <c r="D36" i="150"/>
  <c r="O44" i="150"/>
  <c r="G44" i="150"/>
  <c r="N25" i="152"/>
  <c r="O31" i="152"/>
  <c r="G32" i="152" s="1"/>
  <c r="C27" i="152"/>
  <c r="F26" i="152"/>
  <c r="E26" i="152"/>
  <c r="N35" i="150" l="1"/>
  <c r="E36" i="150"/>
  <c r="C37" i="150"/>
  <c r="F36" i="150"/>
  <c r="J26" i="152"/>
  <c r="O32" i="152"/>
  <c r="G33" i="152" s="1"/>
  <c r="D27" i="152"/>
  <c r="B27" i="152"/>
  <c r="J36" i="150" l="1"/>
  <c r="N36" i="150" s="1"/>
  <c r="B37" i="150"/>
  <c r="D37" i="150"/>
  <c r="O33" i="152"/>
  <c r="K26" i="152"/>
  <c r="M26" i="152" s="1"/>
  <c r="N26" i="152"/>
  <c r="F27" i="152"/>
  <c r="C28" i="152"/>
  <c r="E27" i="152"/>
  <c r="K36" i="150" l="1"/>
  <c r="M36" i="150" s="1"/>
  <c r="C38" i="150"/>
  <c r="F37" i="150"/>
  <c r="E37" i="150"/>
  <c r="B28" i="152"/>
  <c r="D28" i="152"/>
  <c r="J27" i="152"/>
  <c r="J37" i="150" l="1"/>
  <c r="K37" i="150" s="1"/>
  <c r="M37" i="150" s="1"/>
  <c r="D38" i="150"/>
  <c r="B38" i="150"/>
  <c r="O35" i="152"/>
  <c r="G35" i="152"/>
  <c r="K27" i="152"/>
  <c r="M27" i="152" s="1"/>
  <c r="N27" i="152"/>
  <c r="F28" i="152"/>
  <c r="C29" i="152"/>
  <c r="E28" i="152"/>
  <c r="N37" i="150" l="1"/>
  <c r="C39" i="150"/>
  <c r="F38" i="150"/>
  <c r="E38" i="150"/>
  <c r="D29" i="152"/>
  <c r="B29" i="152"/>
  <c r="J28" i="152"/>
  <c r="J38" i="150" l="1"/>
  <c r="K38" i="150" s="1"/>
  <c r="M38" i="150" s="1"/>
  <c r="D39" i="150"/>
  <c r="B39" i="150"/>
  <c r="E29" i="152"/>
  <c r="C30" i="152"/>
  <c r="F29" i="152"/>
  <c r="K28" i="152"/>
  <c r="M28" i="152" s="1"/>
  <c r="N28" i="152"/>
  <c r="N38" i="150" l="1"/>
  <c r="E39" i="150"/>
  <c r="C40" i="150"/>
  <c r="F39" i="150"/>
  <c r="J29" i="152"/>
  <c r="D30" i="152"/>
  <c r="B30" i="152"/>
  <c r="J39" i="150" l="1"/>
  <c r="K39" i="150" s="1"/>
  <c r="M39" i="150" s="1"/>
  <c r="D40" i="150"/>
  <c r="B40" i="150"/>
  <c r="C31" i="152"/>
  <c r="F30" i="152"/>
  <c r="E30" i="152"/>
  <c r="K29" i="152"/>
  <c r="M29" i="152" s="1"/>
  <c r="N29" i="152"/>
  <c r="N39" i="150" l="1"/>
  <c r="F40" i="150"/>
  <c r="C41" i="150"/>
  <c r="E40" i="150"/>
  <c r="J30" i="152"/>
  <c r="N30" i="152" s="1"/>
  <c r="D31" i="152"/>
  <c r="B31" i="152"/>
  <c r="J40" i="150" l="1"/>
  <c r="K40" i="150" s="1"/>
  <c r="M40" i="150" s="1"/>
  <c r="B41" i="150"/>
  <c r="D41" i="150"/>
  <c r="K30" i="152"/>
  <c r="M30" i="152" s="1"/>
  <c r="C32" i="152"/>
  <c r="E31" i="152"/>
  <c r="F31" i="152"/>
  <c r="N40" i="150" l="1"/>
  <c r="E41" i="150"/>
  <c r="F41" i="150"/>
  <c r="C42" i="150"/>
  <c r="J31" i="152"/>
  <c r="N31" i="152" s="1"/>
  <c r="B32" i="152"/>
  <c r="D32" i="152"/>
  <c r="J41" i="150" l="1"/>
  <c r="N41" i="150" s="1"/>
  <c r="B42" i="150"/>
  <c r="D42" i="150"/>
  <c r="K31" i="152"/>
  <c r="M31" i="152" s="1"/>
  <c r="C33" i="152"/>
  <c r="F32" i="152"/>
  <c r="E32" i="152"/>
  <c r="K41" i="150" l="1"/>
  <c r="M41" i="150" s="1"/>
  <c r="H78" i="168"/>
  <c r="I78" i="168" s="1"/>
  <c r="F42" i="150"/>
  <c r="E42" i="150"/>
  <c r="J32" i="152"/>
  <c r="N32" i="152" s="1"/>
  <c r="B33" i="152"/>
  <c r="D33" i="152"/>
  <c r="H38" i="168" s="1"/>
  <c r="I38" i="168" s="1"/>
  <c r="J42" i="150" l="1"/>
  <c r="K32" i="152"/>
  <c r="M32" i="152" s="1"/>
  <c r="F33" i="152"/>
  <c r="E33" i="152"/>
  <c r="K42" i="150" l="1"/>
  <c r="N42" i="150"/>
  <c r="N44" i="150" s="1"/>
  <c r="J44" i="150"/>
  <c r="J33" i="152"/>
  <c r="J35" i="152" s="1"/>
  <c r="E78" i="168" l="1"/>
  <c r="D78" i="168"/>
  <c r="M42" i="150"/>
  <c r="M44" i="150" s="1"/>
  <c r="K44" i="150"/>
  <c r="K33" i="152"/>
  <c r="N33" i="152"/>
  <c r="N35" i="152" s="1"/>
  <c r="K35" i="152" l="1"/>
  <c r="D38" i="168"/>
  <c r="E38" i="168"/>
  <c r="F78" i="168"/>
  <c r="M33" i="152"/>
  <c r="M35" i="152" s="1"/>
  <c r="F38" i="168" l="1"/>
  <c r="D46" i="133"/>
  <c r="L10" i="139" l="1"/>
  <c r="L9" i="139"/>
  <c r="A41" i="139" s="1"/>
  <c r="B41" i="139" s="1"/>
  <c r="B42" i="139" l="1"/>
  <c r="A42" i="139"/>
  <c r="A43" i="139" l="1"/>
  <c r="B43" i="139"/>
  <c r="B44" i="139" l="1"/>
  <c r="A44" i="139"/>
  <c r="A45" i="139" l="1"/>
  <c r="B45" i="139"/>
  <c r="A46" i="139" l="1"/>
  <c r="B46" i="139"/>
  <c r="A47" i="139" l="1"/>
  <c r="B47" i="139"/>
  <c r="K100" i="139"/>
  <c r="M100" i="139" s="1"/>
  <c r="K99" i="139"/>
  <c r="M99" i="139" s="1"/>
  <c r="K98" i="139"/>
  <c r="M98" i="139" s="1"/>
  <c r="K97" i="139"/>
  <c r="M97" i="139" s="1"/>
  <c r="E7" i="139"/>
  <c r="D7" i="139"/>
  <c r="C7" i="139"/>
  <c r="F9" i="139"/>
  <c r="F8" i="139"/>
  <c r="F6" i="139"/>
  <c r="F5" i="139"/>
  <c r="F4" i="139"/>
  <c r="F3" i="139"/>
  <c r="L19" i="139" l="1"/>
  <c r="G103" i="168"/>
  <c r="A48" i="139"/>
  <c r="B48" i="139"/>
  <c r="L35" i="139"/>
  <c r="K31" i="132"/>
  <c r="M31" i="132" s="1"/>
  <c r="K41" i="133"/>
  <c r="M41" i="133" s="1"/>
  <c r="K40" i="133"/>
  <c r="M40" i="133" s="1"/>
  <c r="E36" i="133"/>
  <c r="D36" i="133"/>
  <c r="F35" i="133"/>
  <c r="F34" i="133"/>
  <c r="K423" i="120"/>
  <c r="M423" i="120" s="1"/>
  <c r="K422" i="120"/>
  <c r="M422" i="120" s="1"/>
  <c r="K421" i="120"/>
  <c r="M421" i="120" s="1"/>
  <c r="K420" i="120"/>
  <c r="M420" i="120" s="1"/>
  <c r="K419" i="120"/>
  <c r="M419" i="120" s="1"/>
  <c r="K418" i="120"/>
  <c r="M418" i="120" s="1"/>
  <c r="K417" i="120"/>
  <c r="M417" i="120" s="1"/>
  <c r="K395" i="120"/>
  <c r="K394" i="120"/>
  <c r="M394" i="120" s="1"/>
  <c r="K393" i="120"/>
  <c r="M393" i="120" s="1"/>
  <c r="K392" i="120"/>
  <c r="M392" i="120" s="1"/>
  <c r="K391" i="120"/>
  <c r="M391" i="120" s="1"/>
  <c r="K390" i="120"/>
  <c r="M390" i="120" s="1"/>
  <c r="K389" i="120"/>
  <c r="M389" i="120" s="1"/>
  <c r="K367" i="120"/>
  <c r="M367" i="120" s="1"/>
  <c r="K366" i="120"/>
  <c r="M366" i="120" s="1"/>
  <c r="K365" i="120"/>
  <c r="M365" i="120" s="1"/>
  <c r="K364" i="120"/>
  <c r="M364" i="120" s="1"/>
  <c r="K363" i="120"/>
  <c r="M363" i="120" s="1"/>
  <c r="K362" i="120"/>
  <c r="M362" i="120" s="1"/>
  <c r="K361" i="120"/>
  <c r="M361" i="120" s="1"/>
  <c r="K339" i="120"/>
  <c r="M339" i="120" s="1"/>
  <c r="K338" i="120"/>
  <c r="M338" i="120" s="1"/>
  <c r="K337" i="120"/>
  <c r="M337" i="120" s="1"/>
  <c r="K336" i="120"/>
  <c r="M336" i="120" s="1"/>
  <c r="K335" i="120"/>
  <c r="M335" i="120" s="1"/>
  <c r="K334" i="120"/>
  <c r="M334" i="120" s="1"/>
  <c r="K333" i="120"/>
  <c r="M333" i="120" s="1"/>
  <c r="K332" i="120"/>
  <c r="M332" i="120" s="1"/>
  <c r="K310" i="120"/>
  <c r="M310" i="120" s="1"/>
  <c r="K309" i="120"/>
  <c r="M309" i="120" s="1"/>
  <c r="K308" i="120"/>
  <c r="M308" i="120" s="1"/>
  <c r="K307" i="120"/>
  <c r="M307" i="120" s="1"/>
  <c r="K306" i="120"/>
  <c r="M306" i="120" s="1"/>
  <c r="K305" i="120"/>
  <c r="M305" i="120" s="1"/>
  <c r="K304" i="120"/>
  <c r="M304" i="120" s="1"/>
  <c r="K303" i="120"/>
  <c r="M303" i="120" s="1"/>
  <c r="K281" i="120"/>
  <c r="M281" i="120" s="1"/>
  <c r="K280" i="120"/>
  <c r="M280" i="120" s="1"/>
  <c r="K279" i="120"/>
  <c r="M279" i="120" s="1"/>
  <c r="K278" i="120"/>
  <c r="M278" i="120" s="1"/>
  <c r="K277" i="120"/>
  <c r="M277" i="120" s="1"/>
  <c r="K276" i="120"/>
  <c r="M276" i="120" s="1"/>
  <c r="K275" i="120"/>
  <c r="M275" i="120" s="1"/>
  <c r="K274" i="120"/>
  <c r="M274" i="120" s="1"/>
  <c r="K252" i="120"/>
  <c r="M252" i="120" s="1"/>
  <c r="K251" i="120"/>
  <c r="M251" i="120" s="1"/>
  <c r="K250" i="120"/>
  <c r="M250" i="120" s="1"/>
  <c r="K249" i="120"/>
  <c r="K248" i="120"/>
  <c r="M248" i="120" s="1"/>
  <c r="K247" i="120"/>
  <c r="M247" i="120" s="1"/>
  <c r="K246" i="120"/>
  <c r="M246" i="120" s="1"/>
  <c r="K245" i="120"/>
  <c r="M245" i="120" s="1"/>
  <c r="K223" i="120"/>
  <c r="M223" i="120" s="1"/>
  <c r="K222" i="120"/>
  <c r="M222" i="120" s="1"/>
  <c r="K221" i="120"/>
  <c r="M221" i="120" s="1"/>
  <c r="K220" i="120"/>
  <c r="M220" i="120" s="1"/>
  <c r="K219" i="120"/>
  <c r="M219" i="120" s="1"/>
  <c r="K218" i="120"/>
  <c r="M218" i="120" s="1"/>
  <c r="K217" i="120"/>
  <c r="M217" i="120" s="1"/>
  <c r="K216" i="120"/>
  <c r="M216" i="120" s="1"/>
  <c r="K215" i="120"/>
  <c r="K193" i="120"/>
  <c r="M193" i="120" s="1"/>
  <c r="K192" i="120"/>
  <c r="M192" i="120" s="1"/>
  <c r="K191" i="120"/>
  <c r="M191" i="120" s="1"/>
  <c r="K190" i="120"/>
  <c r="M190" i="120" s="1"/>
  <c r="K189" i="120"/>
  <c r="M189" i="120" s="1"/>
  <c r="K188" i="120"/>
  <c r="M188" i="120" s="1"/>
  <c r="K187" i="120"/>
  <c r="M187" i="120" s="1"/>
  <c r="K186" i="120"/>
  <c r="M186" i="120" s="1"/>
  <c r="K185" i="120"/>
  <c r="M185" i="120" s="1"/>
  <c r="M395" i="120"/>
  <c r="M249" i="120"/>
  <c r="M215" i="120"/>
  <c r="K163" i="120"/>
  <c r="M163" i="120" s="1"/>
  <c r="K162" i="120"/>
  <c r="M162" i="120" s="1"/>
  <c r="K161" i="120"/>
  <c r="M161" i="120" s="1"/>
  <c r="K160" i="120"/>
  <c r="M160" i="120" s="1"/>
  <c r="K159" i="120"/>
  <c r="M159" i="120" s="1"/>
  <c r="K158" i="120"/>
  <c r="M158" i="120" s="1"/>
  <c r="K157" i="120"/>
  <c r="M157" i="120" s="1"/>
  <c r="K156" i="120"/>
  <c r="M156" i="120" s="1"/>
  <c r="K155" i="120"/>
  <c r="M155" i="120" s="1"/>
  <c r="K133" i="120"/>
  <c r="M133" i="120" s="1"/>
  <c r="K132" i="120"/>
  <c r="M132" i="120" s="1"/>
  <c r="K131" i="120"/>
  <c r="M131" i="120" s="1"/>
  <c r="K130" i="120"/>
  <c r="M130" i="120" s="1"/>
  <c r="K129" i="120"/>
  <c r="M129" i="120" s="1"/>
  <c r="K128" i="120"/>
  <c r="M128" i="120" s="1"/>
  <c r="K127" i="120"/>
  <c r="M127" i="120" s="1"/>
  <c r="K126" i="120"/>
  <c r="M126" i="120" s="1"/>
  <c r="K125" i="120"/>
  <c r="M125" i="120" s="1"/>
  <c r="K124" i="120"/>
  <c r="M124" i="120" s="1"/>
  <c r="L45" i="133" l="1"/>
  <c r="A49" i="139"/>
  <c r="B49" i="139"/>
  <c r="C36" i="133"/>
  <c r="L48" i="133" s="1"/>
  <c r="J64" i="129"/>
  <c r="I64" i="129"/>
  <c r="K62" i="129"/>
  <c r="K61" i="129"/>
  <c r="K60" i="129"/>
  <c r="K59" i="129"/>
  <c r="K58" i="129"/>
  <c r="K57" i="129"/>
  <c r="K56" i="129"/>
  <c r="K55" i="129"/>
  <c r="K54" i="129"/>
  <c r="K53" i="129"/>
  <c r="K52" i="129"/>
  <c r="K51" i="129"/>
  <c r="K50" i="129"/>
  <c r="K49" i="129"/>
  <c r="K48" i="129"/>
  <c r="K47" i="129"/>
  <c r="K46" i="129"/>
  <c r="K45" i="129"/>
  <c r="K44" i="129"/>
  <c r="K43" i="129"/>
  <c r="K42" i="129"/>
  <c r="M42" i="129" s="1"/>
  <c r="K41" i="129"/>
  <c r="M41" i="129" s="1"/>
  <c r="K40" i="129"/>
  <c r="M40" i="129" s="1"/>
  <c r="K39" i="129"/>
  <c r="M39" i="129" s="1"/>
  <c r="K38" i="129"/>
  <c r="M38" i="129" s="1"/>
  <c r="K37" i="129"/>
  <c r="M37" i="129" s="1"/>
  <c r="K36" i="129"/>
  <c r="M36" i="129" s="1"/>
  <c r="K35" i="129"/>
  <c r="M35" i="129" s="1"/>
  <c r="K10" i="129"/>
  <c r="M10" i="129" s="1"/>
  <c r="K41" i="112"/>
  <c r="M41" i="112" s="1"/>
  <c r="K40" i="112"/>
  <c r="M40" i="112" s="1"/>
  <c r="K39" i="112"/>
  <c r="M39" i="112" s="1"/>
  <c r="K38" i="112"/>
  <c r="M38" i="112" s="1"/>
  <c r="K37" i="112"/>
  <c r="M37" i="112" s="1"/>
  <c r="K36" i="112"/>
  <c r="M36" i="112" s="1"/>
  <c r="K35" i="112"/>
  <c r="M35" i="112" s="1"/>
  <c r="K34" i="112"/>
  <c r="M34" i="112" s="1"/>
  <c r="F5" i="112"/>
  <c r="F4" i="112"/>
  <c r="J63" i="126"/>
  <c r="I63" i="126"/>
  <c r="K61" i="126"/>
  <c r="K60" i="126"/>
  <c r="K59" i="126"/>
  <c r="K58" i="126"/>
  <c r="K57" i="126"/>
  <c r="K56" i="126"/>
  <c r="K55" i="126"/>
  <c r="K54" i="126"/>
  <c r="K53" i="126"/>
  <c r="K52" i="126"/>
  <c r="K51" i="126"/>
  <c r="K50" i="126"/>
  <c r="K49" i="126"/>
  <c r="K48" i="126"/>
  <c r="K47" i="126"/>
  <c r="K46" i="126"/>
  <c r="K45" i="126"/>
  <c r="K44" i="126"/>
  <c r="K43" i="126"/>
  <c r="K42" i="126"/>
  <c r="K41" i="126"/>
  <c r="M41" i="126" s="1"/>
  <c r="K40" i="126"/>
  <c r="M40" i="126" s="1"/>
  <c r="K39" i="126"/>
  <c r="M39" i="126" s="1"/>
  <c r="K38" i="126"/>
  <c r="M38" i="126" s="1"/>
  <c r="K37" i="126"/>
  <c r="M37" i="126" s="1"/>
  <c r="K36" i="126"/>
  <c r="M36" i="126" s="1"/>
  <c r="K35" i="126"/>
  <c r="M35" i="126" s="1"/>
  <c r="K34" i="126"/>
  <c r="M34" i="126" s="1"/>
  <c r="K10" i="126"/>
  <c r="K66" i="115"/>
  <c r="M66" i="115" s="1"/>
  <c r="K65" i="115"/>
  <c r="M65" i="115" s="1"/>
  <c r="K64" i="115"/>
  <c r="M64" i="115" s="1"/>
  <c r="K63" i="115"/>
  <c r="M63" i="115" s="1"/>
  <c r="K62" i="115"/>
  <c r="M62" i="115" s="1"/>
  <c r="K61" i="115"/>
  <c r="M61" i="115" s="1"/>
  <c r="K60" i="115"/>
  <c r="M60" i="115" s="1"/>
  <c r="K59" i="115"/>
  <c r="M59" i="115" s="1"/>
  <c r="K34" i="115"/>
  <c r="M34" i="115" s="1"/>
  <c r="K33" i="115"/>
  <c r="M33" i="115" s="1"/>
  <c r="K32" i="115"/>
  <c r="M32" i="115" s="1"/>
  <c r="K31" i="115"/>
  <c r="M31" i="115" s="1"/>
  <c r="K30" i="115"/>
  <c r="M30" i="115" s="1"/>
  <c r="K29" i="115"/>
  <c r="M29" i="115" s="1"/>
  <c r="K28" i="115"/>
  <c r="M28" i="115" s="1"/>
  <c r="K10" i="119"/>
  <c r="M10" i="119" s="1"/>
  <c r="K101" i="120"/>
  <c r="M101" i="120" s="1"/>
  <c r="K100" i="120"/>
  <c r="M100" i="120" s="1"/>
  <c r="K99" i="120"/>
  <c r="M99" i="120" s="1"/>
  <c r="K98" i="120"/>
  <c r="M98" i="120" s="1"/>
  <c r="K97" i="120"/>
  <c r="M97" i="120" s="1"/>
  <c r="K96" i="120"/>
  <c r="M96" i="120" s="1"/>
  <c r="K95" i="120"/>
  <c r="M95" i="120" s="1"/>
  <c r="K94" i="120"/>
  <c r="M94" i="120" s="1"/>
  <c r="K93" i="120"/>
  <c r="M93" i="120" s="1"/>
  <c r="K92" i="120"/>
  <c r="M92" i="120" s="1"/>
  <c r="K41" i="120"/>
  <c r="M41" i="120" s="1"/>
  <c r="K40" i="120"/>
  <c r="M40" i="120" s="1"/>
  <c r="K39" i="120"/>
  <c r="M39" i="120" s="1"/>
  <c r="K38" i="120"/>
  <c r="M38" i="120" s="1"/>
  <c r="K37" i="120"/>
  <c r="F32" i="120"/>
  <c r="F31" i="120"/>
  <c r="K42" i="124"/>
  <c r="M42" i="124" s="1"/>
  <c r="K41" i="124"/>
  <c r="M41" i="124" s="1"/>
  <c r="K40" i="124"/>
  <c r="M40" i="124" s="1"/>
  <c r="K39" i="124"/>
  <c r="M39" i="124" s="1"/>
  <c r="K38" i="124"/>
  <c r="M38" i="124" s="1"/>
  <c r="K37" i="124"/>
  <c r="M37" i="124" s="1"/>
  <c r="K36" i="124"/>
  <c r="M36" i="124" s="1"/>
  <c r="K35" i="124"/>
  <c r="M35" i="124" s="1"/>
  <c r="I64" i="124"/>
  <c r="K10" i="124"/>
  <c r="M10" i="124" s="1"/>
  <c r="K9" i="124"/>
  <c r="M9" i="124" s="1"/>
  <c r="L62" i="133" l="1"/>
  <c r="L58" i="133"/>
  <c r="L54" i="133"/>
  <c r="L50" i="133"/>
  <c r="L56" i="133"/>
  <c r="L61" i="133"/>
  <c r="L57" i="133"/>
  <c r="L53" i="133"/>
  <c r="L49" i="133"/>
  <c r="L52" i="133"/>
  <c r="L59" i="133"/>
  <c r="L55" i="133"/>
  <c r="L51" i="133"/>
  <c r="L60" i="133"/>
  <c r="A50" i="139"/>
  <c r="B50" i="139"/>
  <c r="K64" i="129"/>
  <c r="M10" i="126"/>
  <c r="K63" i="126"/>
  <c r="A51" i="139" l="1"/>
  <c r="B51" i="139"/>
  <c r="K65" i="125"/>
  <c r="M43" i="125"/>
  <c r="M42" i="125"/>
  <c r="M41" i="125"/>
  <c r="M40" i="125"/>
  <c r="M39" i="125"/>
  <c r="M38" i="125"/>
  <c r="M37" i="125"/>
  <c r="M36" i="125"/>
  <c r="K11" i="125"/>
  <c r="M11" i="125" s="1"/>
  <c r="K10" i="125"/>
  <c r="M10" i="125" s="1"/>
  <c r="A52" i="139" l="1"/>
  <c r="B52" i="139"/>
  <c r="A53" i="139" l="1"/>
  <c r="B53" i="139"/>
  <c r="L20" i="143"/>
  <c r="C26" i="143" s="1"/>
  <c r="B26" i="143" s="1"/>
  <c r="F21" i="143"/>
  <c r="F20" i="143"/>
  <c r="E19" i="143"/>
  <c r="E22" i="143" s="1"/>
  <c r="D19" i="143"/>
  <c r="D22" i="143" s="1"/>
  <c r="C19" i="143"/>
  <c r="G88" i="168" s="1"/>
  <c r="F18" i="143"/>
  <c r="F17" i="143"/>
  <c r="F16" i="143"/>
  <c r="F15" i="143"/>
  <c r="F14" i="143"/>
  <c r="F13" i="143"/>
  <c r="F12" i="143"/>
  <c r="F11" i="143"/>
  <c r="F10" i="143"/>
  <c r="F9" i="143"/>
  <c r="F8" i="143"/>
  <c r="F7" i="143"/>
  <c r="F6" i="143"/>
  <c r="F5" i="143"/>
  <c r="F4" i="143"/>
  <c r="F3" i="143"/>
  <c r="F2" i="143"/>
  <c r="L46" i="143" l="1"/>
  <c r="L47" i="143"/>
  <c r="B54" i="139"/>
  <c r="A54" i="139"/>
  <c r="D26" i="143"/>
  <c r="L39" i="143"/>
  <c r="C22" i="143"/>
  <c r="L45" i="143"/>
  <c r="L30" i="143"/>
  <c r="L32" i="143"/>
  <c r="L37" i="143"/>
  <c r="L43" i="143"/>
  <c r="F19" i="143"/>
  <c r="L28" i="143"/>
  <c r="L35" i="143"/>
  <c r="L41" i="143"/>
  <c r="L31" i="143"/>
  <c r="L33" i="143"/>
  <c r="L42" i="143"/>
  <c r="L38" i="143"/>
  <c r="L34" i="143"/>
  <c r="G26" i="143"/>
  <c r="L29" i="143"/>
  <c r="L36" i="143"/>
  <c r="L40" i="143"/>
  <c r="L44" i="143"/>
  <c r="L49" i="143" l="1"/>
  <c r="A55" i="139"/>
  <c r="B55" i="139"/>
  <c r="C27" i="143"/>
  <c r="B27" i="143" s="1"/>
  <c r="E26" i="143"/>
  <c r="F26" i="143"/>
  <c r="F22" i="143"/>
  <c r="H26" i="143" l="1"/>
  <c r="D27" i="143"/>
  <c r="F27" i="143" s="1"/>
  <c r="A56" i="139"/>
  <c r="B56" i="139"/>
  <c r="E27" i="143" l="1"/>
  <c r="C28" i="143"/>
  <c r="B28" i="143" s="1"/>
  <c r="B57" i="139"/>
  <c r="A57" i="139"/>
  <c r="O26" i="143"/>
  <c r="K26" i="143"/>
  <c r="N26" i="143"/>
  <c r="D28" i="143" l="1"/>
  <c r="C29" i="143" s="1"/>
  <c r="D29" i="143" s="1"/>
  <c r="C30" i="143" s="1"/>
  <c r="D30" i="143" s="1"/>
  <c r="G27" i="143"/>
  <c r="H27" i="143" s="1"/>
  <c r="A58" i="139"/>
  <c r="B58" i="139"/>
  <c r="M26" i="143"/>
  <c r="B29" i="143" l="1"/>
  <c r="B88" i="168"/>
  <c r="E29" i="143"/>
  <c r="F29" i="143"/>
  <c r="E28" i="143"/>
  <c r="F28" i="143"/>
  <c r="N27" i="143"/>
  <c r="F30" i="143"/>
  <c r="C88" i="168"/>
  <c r="B30" i="143"/>
  <c r="B59" i="139"/>
  <c r="A59" i="139"/>
  <c r="K27" i="143"/>
  <c r="M27" i="143" s="1"/>
  <c r="C31" i="143"/>
  <c r="E30" i="143"/>
  <c r="A60" i="139" l="1"/>
  <c r="B60" i="139"/>
  <c r="O27" i="143"/>
  <c r="D31" i="143"/>
  <c r="B31" i="143"/>
  <c r="G28" i="143" l="1"/>
  <c r="D88" i="168"/>
  <c r="B61" i="139"/>
  <c r="A61" i="139"/>
  <c r="C32" i="143"/>
  <c r="B32" i="143" s="1"/>
  <c r="E31" i="143"/>
  <c r="F31" i="143"/>
  <c r="D32" i="143"/>
  <c r="E88" i="168" s="1"/>
  <c r="H28" i="143" l="1"/>
  <c r="N28" i="143" s="1"/>
  <c r="F88" i="168"/>
  <c r="E32" i="143"/>
  <c r="C33" i="143"/>
  <c r="B33" i="143" s="1"/>
  <c r="D33" i="143"/>
  <c r="F32" i="143"/>
  <c r="H49" i="143" l="1"/>
  <c r="I37" i="143"/>
  <c r="I33" i="143"/>
  <c r="I35" i="143"/>
  <c r="I43" i="143"/>
  <c r="I32" i="143"/>
  <c r="I45" i="143"/>
  <c r="I38" i="143"/>
  <c r="I28" i="143"/>
  <c r="O28" i="143" s="1"/>
  <c r="I39" i="143"/>
  <c r="I30" i="143"/>
  <c r="I47" i="143"/>
  <c r="I31" i="143"/>
  <c r="I46" i="143"/>
  <c r="I36" i="143"/>
  <c r="I41" i="143"/>
  <c r="I44" i="143"/>
  <c r="I40" i="143"/>
  <c r="I42" i="143"/>
  <c r="I29" i="143"/>
  <c r="I34" i="143"/>
  <c r="C34" i="143"/>
  <c r="B34" i="143" s="1"/>
  <c r="F33" i="143"/>
  <c r="E33" i="143"/>
  <c r="D34" i="143"/>
  <c r="G29" i="143" l="1"/>
  <c r="I49" i="143"/>
  <c r="K28" i="143"/>
  <c r="D35" i="143"/>
  <c r="F34" i="143"/>
  <c r="C35" i="143"/>
  <c r="B35" i="143" s="1"/>
  <c r="E34" i="143"/>
  <c r="O87" i="143" l="1"/>
  <c r="G88" i="143" s="1"/>
  <c r="I107" i="143"/>
  <c r="K87" i="143"/>
  <c r="M28" i="143"/>
  <c r="J29" i="143"/>
  <c r="O29" i="143"/>
  <c r="F35" i="143"/>
  <c r="C36" i="143"/>
  <c r="B36" i="143" s="1"/>
  <c r="D36" i="143"/>
  <c r="E35" i="143"/>
  <c r="J88" i="143" l="1"/>
  <c r="O88" i="143"/>
  <c r="G89" i="143" s="1"/>
  <c r="M87" i="143"/>
  <c r="K29" i="143"/>
  <c r="N29" i="143"/>
  <c r="G30" i="143"/>
  <c r="E36" i="143"/>
  <c r="C37" i="143"/>
  <c r="B37" i="143" s="1"/>
  <c r="D37" i="143"/>
  <c r="F36" i="143"/>
  <c r="N88" i="143" l="1"/>
  <c r="O89" i="143"/>
  <c r="G90" i="143" s="1"/>
  <c r="J89" i="143"/>
  <c r="K88" i="143"/>
  <c r="O30" i="143"/>
  <c r="J30" i="143"/>
  <c r="N30" i="143" s="1"/>
  <c r="B89" i="168"/>
  <c r="M29" i="143"/>
  <c r="E37" i="143"/>
  <c r="D38" i="143"/>
  <c r="C38" i="143"/>
  <c r="B38" i="143" s="1"/>
  <c r="F37" i="143"/>
  <c r="K89" i="143" l="1"/>
  <c r="N89" i="143"/>
  <c r="M88" i="143"/>
  <c r="O90" i="143"/>
  <c r="G91" i="143" s="1"/>
  <c r="J90" i="143"/>
  <c r="K30" i="143"/>
  <c r="G31" i="143"/>
  <c r="E38" i="143"/>
  <c r="F38" i="143"/>
  <c r="C39" i="143"/>
  <c r="B39" i="143" s="1"/>
  <c r="D39" i="143"/>
  <c r="M89" i="143" l="1"/>
  <c r="K90" i="143"/>
  <c r="N90" i="143"/>
  <c r="J91" i="143"/>
  <c r="O91" i="143"/>
  <c r="G92" i="143" s="1"/>
  <c r="O31" i="143"/>
  <c r="G32" i="143" s="1"/>
  <c r="J31" i="143"/>
  <c r="N31" i="143" s="1"/>
  <c r="M30" i="143"/>
  <c r="C89" i="168"/>
  <c r="E39" i="143"/>
  <c r="D40" i="143"/>
  <c r="F39" i="143"/>
  <c r="C40" i="143"/>
  <c r="B40" i="143" s="1"/>
  <c r="M90" i="143" l="1"/>
  <c r="K91" i="143"/>
  <c r="N91" i="143"/>
  <c r="O92" i="143"/>
  <c r="G93" i="143" s="1"/>
  <c r="J92" i="143"/>
  <c r="K31" i="143"/>
  <c r="O32" i="143"/>
  <c r="G33" i="143" s="1"/>
  <c r="J32" i="143"/>
  <c r="K32" i="143" s="1"/>
  <c r="M32" i="143" s="1"/>
  <c r="C41" i="143"/>
  <c r="B41" i="143" s="1"/>
  <c r="E40" i="143"/>
  <c r="F40" i="143"/>
  <c r="D41" i="143"/>
  <c r="M91" i="143" l="1"/>
  <c r="K92" i="143"/>
  <c r="N92" i="143"/>
  <c r="J93" i="143"/>
  <c r="O93" i="143"/>
  <c r="G94" i="143" s="1"/>
  <c r="N32" i="143"/>
  <c r="O33" i="143"/>
  <c r="G34" i="143" s="1"/>
  <c r="J33" i="143"/>
  <c r="K33" i="143" s="1"/>
  <c r="M31" i="143"/>
  <c r="D42" i="143"/>
  <c r="F41" i="143"/>
  <c r="E41" i="143"/>
  <c r="C42" i="143"/>
  <c r="B42" i="143" s="1"/>
  <c r="M33" i="143" l="1"/>
  <c r="M92" i="143"/>
  <c r="K93" i="143"/>
  <c r="N93" i="143"/>
  <c r="O94" i="143"/>
  <c r="G95" i="143" s="1"/>
  <c r="J94" i="143"/>
  <c r="N33" i="143"/>
  <c r="O34" i="143"/>
  <c r="G35" i="143" s="1"/>
  <c r="J34" i="143"/>
  <c r="N34" i="143" s="1"/>
  <c r="D43" i="143"/>
  <c r="F42" i="143"/>
  <c r="C43" i="143"/>
  <c r="B43" i="143" s="1"/>
  <c r="E42" i="143"/>
  <c r="M93" i="143" l="1"/>
  <c r="K94" i="143"/>
  <c r="N94" i="143"/>
  <c r="O95" i="143"/>
  <c r="G96" i="143" s="1"/>
  <c r="J95" i="143"/>
  <c r="K34" i="143"/>
  <c r="J35" i="143"/>
  <c r="K35" i="143" s="1"/>
  <c r="O35" i="143"/>
  <c r="G36" i="143" s="1"/>
  <c r="F43" i="143"/>
  <c r="E43" i="143"/>
  <c r="C44" i="143"/>
  <c r="B44" i="143" s="1"/>
  <c r="D44" i="143"/>
  <c r="G97" i="139"/>
  <c r="C97" i="139"/>
  <c r="D97" i="139" s="1"/>
  <c r="D98" i="139" s="1"/>
  <c r="C15" i="139"/>
  <c r="B15" i="139" s="1"/>
  <c r="F2" i="139"/>
  <c r="F7" i="139" s="1"/>
  <c r="M35" i="143" l="1"/>
  <c r="L104" i="139"/>
  <c r="F45" i="139" s="1"/>
  <c r="L105" i="139"/>
  <c r="F46" i="139" s="1"/>
  <c r="M94" i="143"/>
  <c r="K95" i="143"/>
  <c r="N95" i="143"/>
  <c r="J96" i="143"/>
  <c r="O96" i="143"/>
  <c r="G97" i="143" s="1"/>
  <c r="O36" i="143"/>
  <c r="G37" i="143" s="1"/>
  <c r="J36" i="143"/>
  <c r="K36" i="143" s="1"/>
  <c r="N35" i="143"/>
  <c r="M34" i="143"/>
  <c r="D15" i="139"/>
  <c r="D45" i="143"/>
  <c r="C45" i="143"/>
  <c r="B45" i="143" s="1"/>
  <c r="F44" i="143"/>
  <c r="E44" i="143"/>
  <c r="L117" i="139"/>
  <c r="F58" i="139" s="1"/>
  <c r="L113" i="139"/>
  <c r="F54" i="139" s="1"/>
  <c r="L109" i="139"/>
  <c r="F50" i="139" s="1"/>
  <c r="L120" i="139"/>
  <c r="F61" i="139" s="1"/>
  <c r="L116" i="139"/>
  <c r="F57" i="139" s="1"/>
  <c r="L112" i="139"/>
  <c r="F53" i="139" s="1"/>
  <c r="L108" i="139"/>
  <c r="F49" i="139" s="1"/>
  <c r="L119" i="139"/>
  <c r="F60" i="139" s="1"/>
  <c r="L115" i="139"/>
  <c r="F56" i="139" s="1"/>
  <c r="L111" i="139"/>
  <c r="F52" i="139" s="1"/>
  <c r="L107" i="139"/>
  <c r="F48" i="139" s="1"/>
  <c r="L118" i="139"/>
  <c r="F59" i="139" s="1"/>
  <c r="L114" i="139"/>
  <c r="F55" i="139" s="1"/>
  <c r="L110" i="139"/>
  <c r="F51" i="139" s="1"/>
  <c r="L106" i="139"/>
  <c r="F47" i="139" s="1"/>
  <c r="E97" i="139"/>
  <c r="C98" i="139"/>
  <c r="D99" i="139"/>
  <c r="F98" i="139"/>
  <c r="C99" i="139"/>
  <c r="B99" i="139" s="1"/>
  <c r="F97" i="139"/>
  <c r="M36" i="143" l="1"/>
  <c r="L94" i="139"/>
  <c r="L122" i="139"/>
  <c r="M95" i="143"/>
  <c r="K96" i="143"/>
  <c r="N96" i="143"/>
  <c r="O97" i="143"/>
  <c r="G98" i="143" s="1"/>
  <c r="J97" i="143"/>
  <c r="N36" i="143"/>
  <c r="O37" i="143"/>
  <c r="G38" i="143" s="1"/>
  <c r="J37" i="143"/>
  <c r="K37" i="143" s="1"/>
  <c r="M37" i="143" s="1"/>
  <c r="D46" i="143"/>
  <c r="C46" i="143"/>
  <c r="B46" i="143" s="1"/>
  <c r="E98" i="139"/>
  <c r="B98" i="139"/>
  <c r="C16" i="139"/>
  <c r="B16" i="139" s="1"/>
  <c r="D16" i="139"/>
  <c r="E15" i="139"/>
  <c r="F15" i="139"/>
  <c r="E45" i="143"/>
  <c r="F45" i="143"/>
  <c r="H97" i="139"/>
  <c r="C100" i="139"/>
  <c r="B100" i="139" s="1"/>
  <c r="F99" i="139"/>
  <c r="E99" i="139"/>
  <c r="D100" i="139"/>
  <c r="F64" i="139" l="1"/>
  <c r="F63" i="139"/>
  <c r="M96" i="143"/>
  <c r="K97" i="143"/>
  <c r="C47" i="143"/>
  <c r="B47" i="143" s="1"/>
  <c r="D47" i="143"/>
  <c r="J98" i="143"/>
  <c r="O98" i="143"/>
  <c r="G99" i="143" s="1"/>
  <c r="N97" i="143"/>
  <c r="N37" i="143"/>
  <c r="O38" i="143"/>
  <c r="G39" i="143" s="1"/>
  <c r="J38" i="143"/>
  <c r="K38" i="143" s="1"/>
  <c r="M38" i="143" s="1"/>
  <c r="E46" i="143"/>
  <c r="F46" i="143"/>
  <c r="H88" i="168"/>
  <c r="I88" i="168" s="1"/>
  <c r="D17" i="139"/>
  <c r="F17" i="139" s="1"/>
  <c r="E16" i="139"/>
  <c r="F16" i="139"/>
  <c r="C17" i="139"/>
  <c r="B17" i="139" s="1"/>
  <c r="N97" i="139"/>
  <c r="O97" i="139"/>
  <c r="D101" i="139"/>
  <c r="E100" i="139"/>
  <c r="C101" i="139"/>
  <c r="B101" i="139" s="1"/>
  <c r="F100" i="139"/>
  <c r="M97" i="143" l="1"/>
  <c r="K98" i="143"/>
  <c r="E47" i="143"/>
  <c r="F47" i="143"/>
  <c r="N98" i="143"/>
  <c r="J99" i="143"/>
  <c r="O99" i="143"/>
  <c r="G100" i="143" s="1"/>
  <c r="N38" i="143"/>
  <c r="O39" i="143"/>
  <c r="G40" i="143" s="1"/>
  <c r="J39" i="143"/>
  <c r="K39" i="143" s="1"/>
  <c r="M39" i="143" s="1"/>
  <c r="D18" i="139"/>
  <c r="D19" i="139" s="1"/>
  <c r="C18" i="139"/>
  <c r="B18" i="139" s="1"/>
  <c r="E17" i="139"/>
  <c r="G98" i="139"/>
  <c r="H98" i="139" s="1"/>
  <c r="D102" i="139"/>
  <c r="F101" i="139"/>
  <c r="E101" i="139"/>
  <c r="C102" i="139"/>
  <c r="B102" i="139" s="1"/>
  <c r="D69" i="120"/>
  <c r="M98" i="143" l="1"/>
  <c r="K99" i="143"/>
  <c r="L366" i="143"/>
  <c r="N99" i="143"/>
  <c r="J100" i="143"/>
  <c r="O100" i="143"/>
  <c r="G101" i="143" s="1"/>
  <c r="N39" i="143"/>
  <c r="J40" i="143"/>
  <c r="K40" i="143" s="1"/>
  <c r="M40" i="143" s="1"/>
  <c r="O40" i="143"/>
  <c r="G41" i="143" s="1"/>
  <c r="C19" i="139"/>
  <c r="B19" i="139" s="1"/>
  <c r="F18" i="139"/>
  <c r="E18" i="139"/>
  <c r="N98" i="139"/>
  <c r="O98" i="139"/>
  <c r="F19" i="139"/>
  <c r="D20" i="139"/>
  <c r="C20" i="139"/>
  <c r="B20" i="139" s="1"/>
  <c r="E102" i="139"/>
  <c r="C103" i="139"/>
  <c r="B103" i="139" s="1"/>
  <c r="F102" i="139"/>
  <c r="D103" i="139"/>
  <c r="D38" i="115"/>
  <c r="C38" i="115"/>
  <c r="B38" i="115" s="1"/>
  <c r="C37" i="115"/>
  <c r="C104" i="139" l="1"/>
  <c r="B104" i="139" s="1"/>
  <c r="D104" i="139"/>
  <c r="M99" i="143"/>
  <c r="K100" i="143"/>
  <c r="J101" i="143"/>
  <c r="O101" i="143"/>
  <c r="G102" i="143" s="1"/>
  <c r="N100" i="143"/>
  <c r="N40" i="143"/>
  <c r="J41" i="143"/>
  <c r="K41" i="143" s="1"/>
  <c r="M41" i="143" s="1"/>
  <c r="O41" i="143"/>
  <c r="G42" i="143" s="1"/>
  <c r="E19" i="139"/>
  <c r="G99" i="139"/>
  <c r="E37" i="115"/>
  <c r="B37" i="115"/>
  <c r="F103" i="139"/>
  <c r="E103" i="139"/>
  <c r="E20" i="139"/>
  <c r="D21" i="139"/>
  <c r="C21" i="139"/>
  <c r="B21" i="139" s="1"/>
  <c r="F20" i="139"/>
  <c r="F37" i="115"/>
  <c r="F104" i="139" l="1"/>
  <c r="D105" i="139"/>
  <c r="E104" i="139"/>
  <c r="C105" i="139"/>
  <c r="B105" i="139" s="1"/>
  <c r="M100" i="143"/>
  <c r="K101" i="143"/>
  <c r="N101" i="143"/>
  <c r="O102" i="143"/>
  <c r="G103" i="143" s="1"/>
  <c r="J102" i="143"/>
  <c r="N41" i="143"/>
  <c r="O42" i="143"/>
  <c r="G43" i="143" s="1"/>
  <c r="J42" i="143"/>
  <c r="K42" i="143" s="1"/>
  <c r="M42" i="143" s="1"/>
  <c r="D89" i="168"/>
  <c r="E89" i="168"/>
  <c r="H99" i="139"/>
  <c r="C22" i="139"/>
  <c r="B22" i="139" s="1"/>
  <c r="F21" i="139"/>
  <c r="E21" i="139"/>
  <c r="D22" i="139"/>
  <c r="C2" i="124"/>
  <c r="F105" i="139" l="1"/>
  <c r="E105" i="139"/>
  <c r="K102" i="143"/>
  <c r="M101" i="143"/>
  <c r="N102" i="143"/>
  <c r="O103" i="143"/>
  <c r="J103" i="143"/>
  <c r="N42" i="143"/>
  <c r="O43" i="143"/>
  <c r="G44" i="143" s="1"/>
  <c r="J43" i="143"/>
  <c r="K43" i="143" s="1"/>
  <c r="M43" i="143" s="1"/>
  <c r="F89" i="168"/>
  <c r="N99" i="139"/>
  <c r="O99" i="139"/>
  <c r="C106" i="139"/>
  <c r="B106" i="139" s="1"/>
  <c r="D106" i="139"/>
  <c r="D23" i="139"/>
  <c r="F22" i="139"/>
  <c r="E22" i="139"/>
  <c r="C23" i="139"/>
  <c r="B23" i="139" s="1"/>
  <c r="L11" i="124"/>
  <c r="L12" i="124"/>
  <c r="L13" i="124"/>
  <c r="M102" i="143" l="1"/>
  <c r="G104" i="143"/>
  <c r="K103" i="143"/>
  <c r="N103" i="143"/>
  <c r="N43" i="143"/>
  <c r="J44" i="143"/>
  <c r="K44" i="143" s="1"/>
  <c r="M44" i="143" s="1"/>
  <c r="O44" i="143"/>
  <c r="G45" i="143" s="1"/>
  <c r="G100" i="139"/>
  <c r="E106" i="139"/>
  <c r="F106" i="139"/>
  <c r="D107" i="139"/>
  <c r="C107" i="139"/>
  <c r="B107" i="139" s="1"/>
  <c r="C24" i="139"/>
  <c r="B24" i="139" s="1"/>
  <c r="F23" i="139"/>
  <c r="D24" i="139"/>
  <c r="E23" i="139"/>
  <c r="O104" i="143" l="1"/>
  <c r="J104" i="143"/>
  <c r="M103" i="143"/>
  <c r="N44" i="143"/>
  <c r="J45" i="143"/>
  <c r="K45" i="143" s="1"/>
  <c r="M45" i="143" s="1"/>
  <c r="O45" i="143"/>
  <c r="G46" i="143" s="1"/>
  <c r="H100" i="139"/>
  <c r="F107" i="139"/>
  <c r="C108" i="139"/>
  <c r="B108" i="139" s="1"/>
  <c r="D108" i="139"/>
  <c r="E107" i="139"/>
  <c r="E24" i="139"/>
  <c r="D25" i="139"/>
  <c r="C25" i="139"/>
  <c r="B25" i="139" s="1"/>
  <c r="F24" i="139"/>
  <c r="N104" i="143" l="1"/>
  <c r="K104" i="143"/>
  <c r="G105" i="143"/>
  <c r="N45" i="143"/>
  <c r="O46" i="143"/>
  <c r="G47" i="143" s="1"/>
  <c r="J46" i="143"/>
  <c r="K46" i="143" s="1"/>
  <c r="M46" i="143" s="1"/>
  <c r="N100" i="139"/>
  <c r="O100" i="139"/>
  <c r="D109" i="139"/>
  <c r="E108" i="139"/>
  <c r="C109" i="139"/>
  <c r="B109" i="139" s="1"/>
  <c r="F108" i="139"/>
  <c r="C26" i="139"/>
  <c r="B26" i="139" s="1"/>
  <c r="F25" i="139"/>
  <c r="D26" i="139"/>
  <c r="E25" i="139"/>
  <c r="O105" i="143" l="1"/>
  <c r="O107" i="143" s="1"/>
  <c r="J105" i="143"/>
  <c r="G107" i="143"/>
  <c r="M104" i="143"/>
  <c r="N46" i="143"/>
  <c r="G49" i="143"/>
  <c r="J47" i="143"/>
  <c r="N47" i="143" s="1"/>
  <c r="O47" i="143"/>
  <c r="O49" i="143" s="1"/>
  <c r="G101" i="139"/>
  <c r="D27" i="139"/>
  <c r="E26" i="139"/>
  <c r="F26" i="139"/>
  <c r="C27" i="139"/>
  <c r="B27" i="139" s="1"/>
  <c r="C110" i="139"/>
  <c r="B110" i="139" s="1"/>
  <c r="E109" i="139"/>
  <c r="D110" i="139"/>
  <c r="F109" i="139"/>
  <c r="K105" i="143" l="1"/>
  <c r="J107" i="143"/>
  <c r="N105" i="143"/>
  <c r="N107" i="143" s="1"/>
  <c r="N49" i="143"/>
  <c r="K47" i="143"/>
  <c r="J49" i="143"/>
  <c r="H101" i="139"/>
  <c r="C111" i="139"/>
  <c r="B111" i="139" s="1"/>
  <c r="F110" i="139"/>
  <c r="E110" i="139"/>
  <c r="D111" i="139"/>
  <c r="F27" i="139"/>
  <c r="E27" i="139"/>
  <c r="C28" i="139"/>
  <c r="B28" i="139" s="1"/>
  <c r="D28" i="139"/>
  <c r="D64" i="120"/>
  <c r="D65" i="120"/>
  <c r="D66" i="120"/>
  <c r="F64" i="120"/>
  <c r="F65" i="120"/>
  <c r="F66" i="120"/>
  <c r="C64" i="120"/>
  <c r="C65" i="120"/>
  <c r="M105" i="143" l="1"/>
  <c r="M107" i="143" s="1"/>
  <c r="K107" i="143"/>
  <c r="M47" i="143"/>
  <c r="M49" i="143" s="1"/>
  <c r="K49" i="143"/>
  <c r="N101" i="139"/>
  <c r="F111" i="139"/>
  <c r="D112" i="139"/>
  <c r="C112" i="139"/>
  <c r="B112" i="139" s="1"/>
  <c r="E111" i="139"/>
  <c r="E28" i="139"/>
  <c r="C29" i="139"/>
  <c r="B29" i="139" s="1"/>
  <c r="F28" i="139"/>
  <c r="D29" i="139"/>
  <c r="E64" i="120"/>
  <c r="E65" i="120"/>
  <c r="C40" i="133"/>
  <c r="D40" i="133" s="1"/>
  <c r="C41" i="133" l="1"/>
  <c r="K101" i="139"/>
  <c r="F36" i="133"/>
  <c r="C30" i="139"/>
  <c r="B30" i="139" s="1"/>
  <c r="F29" i="139"/>
  <c r="D30" i="139"/>
  <c r="E29" i="139"/>
  <c r="D113" i="139"/>
  <c r="E112" i="139"/>
  <c r="F112" i="139"/>
  <c r="C113" i="139"/>
  <c r="B113" i="139" s="1"/>
  <c r="L47" i="133"/>
  <c r="D41" i="133"/>
  <c r="D42" i="133" s="1"/>
  <c r="L46" i="133"/>
  <c r="E40" i="133"/>
  <c r="F40" i="133"/>
  <c r="G40" i="133"/>
  <c r="G33" i="168" l="1"/>
  <c r="M101" i="139"/>
  <c r="L64" i="133"/>
  <c r="D31" i="139"/>
  <c r="C31" i="139"/>
  <c r="B31" i="139" s="1"/>
  <c r="E30" i="139"/>
  <c r="F30" i="139"/>
  <c r="C114" i="139"/>
  <c r="B114" i="139" s="1"/>
  <c r="F113" i="139"/>
  <c r="E113" i="139"/>
  <c r="D114" i="139"/>
  <c r="E41" i="133"/>
  <c r="H40" i="133"/>
  <c r="C42" i="133"/>
  <c r="F41" i="133"/>
  <c r="D43" i="133"/>
  <c r="F42" i="133"/>
  <c r="C43" i="133"/>
  <c r="N40" i="133" l="1"/>
  <c r="O40" i="133" s="1"/>
  <c r="G41" i="133" s="1"/>
  <c r="E42" i="133"/>
  <c r="E31" i="139"/>
  <c r="D32" i="139"/>
  <c r="F31" i="139"/>
  <c r="C32" i="139"/>
  <c r="B32" i="139" s="1"/>
  <c r="D115" i="139"/>
  <c r="C115" i="139"/>
  <c r="B115" i="139" s="1"/>
  <c r="F114" i="139"/>
  <c r="E114" i="139"/>
  <c r="E43" i="133"/>
  <c r="F43" i="133"/>
  <c r="D44" i="133"/>
  <c r="C44" i="133"/>
  <c r="E32" i="139" l="1"/>
  <c r="F32" i="139"/>
  <c r="C33" i="139"/>
  <c r="B33" i="139" s="1"/>
  <c r="D33" i="139"/>
  <c r="F115" i="139"/>
  <c r="D116" i="139"/>
  <c r="C116" i="139"/>
  <c r="B116" i="139" s="1"/>
  <c r="E115" i="139"/>
  <c r="E44" i="133"/>
  <c r="C45" i="133"/>
  <c r="B45" i="133" s="1"/>
  <c r="F44" i="133"/>
  <c r="D117" i="139" l="1"/>
  <c r="E116" i="139"/>
  <c r="F116" i="139"/>
  <c r="C117" i="139"/>
  <c r="B117" i="139" s="1"/>
  <c r="C34" i="139"/>
  <c r="B34" i="139" s="1"/>
  <c r="F33" i="139"/>
  <c r="E33" i="139"/>
  <c r="D34" i="139"/>
  <c r="F45" i="133"/>
  <c r="C46" i="133"/>
  <c r="B46" i="133" s="1"/>
  <c r="E45" i="133"/>
  <c r="C35" i="139" l="1"/>
  <c r="B35" i="139" s="1"/>
  <c r="D35" i="139"/>
  <c r="F34" i="139"/>
  <c r="E34" i="139"/>
  <c r="C118" i="139"/>
  <c r="B118" i="139" s="1"/>
  <c r="D118" i="139"/>
  <c r="F117" i="139"/>
  <c r="E117" i="139"/>
  <c r="C47" i="133"/>
  <c r="B47" i="133" s="1"/>
  <c r="E46" i="133"/>
  <c r="D47" i="133"/>
  <c r="F46" i="133"/>
  <c r="F35" i="139" l="1"/>
  <c r="E35" i="139"/>
  <c r="D119" i="139"/>
  <c r="F118" i="139"/>
  <c r="E118" i="139"/>
  <c r="C119" i="139"/>
  <c r="B119" i="139" s="1"/>
  <c r="D48" i="133"/>
  <c r="C48" i="133"/>
  <c r="B48" i="133" s="1"/>
  <c r="F47" i="133"/>
  <c r="E47" i="133"/>
  <c r="F119" i="139" l="1"/>
  <c r="E119" i="139"/>
  <c r="D120" i="139"/>
  <c r="C120" i="139"/>
  <c r="B120" i="139" s="1"/>
  <c r="C49" i="133"/>
  <c r="B49" i="133" s="1"/>
  <c r="D49" i="133"/>
  <c r="F48" i="133"/>
  <c r="E48" i="133"/>
  <c r="E120" i="139" l="1"/>
  <c r="F120" i="139"/>
  <c r="D50" i="133"/>
  <c r="C50" i="133"/>
  <c r="B50" i="133" s="1"/>
  <c r="E49" i="133"/>
  <c r="F49" i="133"/>
  <c r="B33" i="168" l="1"/>
  <c r="D51" i="133"/>
  <c r="F50" i="133"/>
  <c r="C51" i="133"/>
  <c r="B51" i="133" s="1"/>
  <c r="E50" i="133"/>
  <c r="E51" i="133" l="1"/>
  <c r="D52" i="133"/>
  <c r="F51" i="133"/>
  <c r="C52" i="133"/>
  <c r="B52" i="133" s="1"/>
  <c r="F52" i="133" l="1"/>
  <c r="E52" i="133"/>
  <c r="D53" i="133"/>
  <c r="C53" i="133"/>
  <c r="B53" i="133" s="1"/>
  <c r="F53" i="133" l="1"/>
  <c r="C54" i="133"/>
  <c r="B54" i="133" s="1"/>
  <c r="D54" i="133"/>
  <c r="E53" i="133"/>
  <c r="C55" i="133" l="1"/>
  <c r="B55" i="133" s="1"/>
  <c r="D55" i="133"/>
  <c r="F54" i="133"/>
  <c r="E54" i="133"/>
  <c r="D56" i="133" l="1"/>
  <c r="C56" i="133"/>
  <c r="B56" i="133" s="1"/>
  <c r="F55" i="133"/>
  <c r="E55" i="133"/>
  <c r="C57" i="133" l="1"/>
  <c r="B57" i="133" s="1"/>
  <c r="E56" i="133"/>
  <c r="D57" i="133"/>
  <c r="F56" i="133"/>
  <c r="D58" i="133" l="1"/>
  <c r="C58" i="133"/>
  <c r="B58" i="133" s="1"/>
  <c r="E57" i="133"/>
  <c r="F57" i="133"/>
  <c r="D59" i="133" l="1"/>
  <c r="F58" i="133"/>
  <c r="E58" i="133"/>
  <c r="C59" i="133"/>
  <c r="B59" i="133" s="1"/>
  <c r="C60" i="133" l="1"/>
  <c r="B60" i="133" s="1"/>
  <c r="D60" i="133"/>
  <c r="E59" i="133"/>
  <c r="F59" i="133"/>
  <c r="F60" i="133" l="1"/>
  <c r="C61" i="133"/>
  <c r="B61" i="133" s="1"/>
  <c r="E60" i="133"/>
  <c r="D61" i="133"/>
  <c r="C62" i="133" l="1"/>
  <c r="B62" i="133" s="1"/>
  <c r="D62" i="133"/>
  <c r="H33" i="168" s="1"/>
  <c r="I33" i="168" s="1"/>
  <c r="F61" i="133"/>
  <c r="E61" i="133"/>
  <c r="F62" i="133" l="1"/>
  <c r="E62" i="133"/>
  <c r="F11" i="129" l="1"/>
  <c r="C31" i="132" l="1"/>
  <c r="D31" i="132" s="1"/>
  <c r="F26" i="132"/>
  <c r="F25" i="132"/>
  <c r="E24" i="132"/>
  <c r="E27" i="132" s="1"/>
  <c r="D24" i="132"/>
  <c r="D27" i="132" s="1"/>
  <c r="C24" i="132"/>
  <c r="G108" i="168" s="1"/>
  <c r="F2" i="132"/>
  <c r="L33" i="132" l="1"/>
  <c r="L32" i="132"/>
  <c r="L37" i="132"/>
  <c r="C27" i="132"/>
  <c r="L35" i="132"/>
  <c r="L48" i="132"/>
  <c r="F24" i="132"/>
  <c r="F27" i="132" s="1"/>
  <c r="L43" i="132"/>
  <c r="L44" i="132"/>
  <c r="L45" i="132"/>
  <c r="G31" i="132"/>
  <c r="E31" i="132"/>
  <c r="F31" i="132"/>
  <c r="L42" i="132"/>
  <c r="L34" i="132"/>
  <c r="L46" i="132"/>
  <c r="L38" i="132"/>
  <c r="L41" i="132"/>
  <c r="L47" i="132"/>
  <c r="L40" i="132"/>
  <c r="L39" i="132"/>
  <c r="L36" i="132"/>
  <c r="L4" i="129"/>
  <c r="C10" i="129" s="1"/>
  <c r="D10" i="129" s="1"/>
  <c r="B108" i="168" l="1"/>
  <c r="L50" i="132"/>
  <c r="E32" i="132"/>
  <c r="F32" i="132"/>
  <c r="E10" i="129"/>
  <c r="F10" i="129"/>
  <c r="C11" i="129"/>
  <c r="H31" i="132"/>
  <c r="I32" i="132" s="1"/>
  <c r="G35" i="129"/>
  <c r="C35" i="129"/>
  <c r="D35" i="129" s="1"/>
  <c r="D36" i="129" s="1"/>
  <c r="F5" i="129"/>
  <c r="F4" i="129"/>
  <c r="E3" i="129"/>
  <c r="E6" i="129" s="1"/>
  <c r="D3" i="129"/>
  <c r="D6" i="129" s="1"/>
  <c r="C3" i="129"/>
  <c r="F2" i="129"/>
  <c r="G34" i="126"/>
  <c r="C34" i="126"/>
  <c r="D34" i="126" s="1"/>
  <c r="C35" i="126" s="1"/>
  <c r="C10" i="126"/>
  <c r="D10" i="126" s="1"/>
  <c r="F5" i="126"/>
  <c r="F4" i="126"/>
  <c r="E3" i="126"/>
  <c r="E6" i="126" s="1"/>
  <c r="D3" i="126"/>
  <c r="D6" i="126" s="1"/>
  <c r="C3" i="126"/>
  <c r="G68" i="168" s="1"/>
  <c r="F2" i="126"/>
  <c r="G36" i="125"/>
  <c r="C36" i="125"/>
  <c r="D36" i="125" s="1"/>
  <c r="C10" i="125"/>
  <c r="D10" i="125" s="1"/>
  <c r="F5" i="125"/>
  <c r="F4" i="125"/>
  <c r="E3" i="125"/>
  <c r="E6" i="125" s="1"/>
  <c r="D3" i="125"/>
  <c r="D6" i="125" s="1"/>
  <c r="C3" i="125"/>
  <c r="G8" i="168" s="1"/>
  <c r="F2" i="125"/>
  <c r="G35" i="124"/>
  <c r="L56" i="124" s="1"/>
  <c r="C35" i="124"/>
  <c r="D35" i="124" s="1"/>
  <c r="C36" i="124" s="1"/>
  <c r="C9" i="124"/>
  <c r="D9" i="124" s="1"/>
  <c r="F4" i="124"/>
  <c r="E3" i="124"/>
  <c r="E5" i="124" s="1"/>
  <c r="D3" i="124"/>
  <c r="D5" i="124" s="1"/>
  <c r="C3" i="124"/>
  <c r="F2" i="124"/>
  <c r="L21" i="129" l="1"/>
  <c r="G113" i="168"/>
  <c r="I33" i="132"/>
  <c r="N31" i="132"/>
  <c r="C6" i="129"/>
  <c r="C6" i="126"/>
  <c r="L56" i="129"/>
  <c r="M56" i="129" s="1"/>
  <c r="E11" i="129"/>
  <c r="B11" i="129"/>
  <c r="L44" i="129"/>
  <c r="M44" i="129" s="1"/>
  <c r="L45" i="129"/>
  <c r="M45" i="129" s="1"/>
  <c r="L57" i="126"/>
  <c r="M57" i="126" s="1"/>
  <c r="G10" i="126"/>
  <c r="L13" i="126"/>
  <c r="L21" i="126"/>
  <c r="C5" i="124"/>
  <c r="G13" i="168" s="1"/>
  <c r="L57" i="125"/>
  <c r="M57" i="125" s="1"/>
  <c r="C6" i="125"/>
  <c r="L14" i="126"/>
  <c r="C36" i="129"/>
  <c r="E36" i="129" s="1"/>
  <c r="L59" i="129"/>
  <c r="M59" i="129" s="1"/>
  <c r="G10" i="129"/>
  <c r="L11" i="129"/>
  <c r="L58" i="129"/>
  <c r="M58" i="129" s="1"/>
  <c r="L58" i="126"/>
  <c r="M58" i="126" s="1"/>
  <c r="L42" i="126"/>
  <c r="L43" i="126"/>
  <c r="M43" i="126" s="1"/>
  <c r="L49" i="126"/>
  <c r="M49" i="126" s="1"/>
  <c r="C11" i="126"/>
  <c r="D11" i="126"/>
  <c r="L29" i="126"/>
  <c r="L12" i="126"/>
  <c r="L22" i="126"/>
  <c r="L51" i="126"/>
  <c r="M51" i="126" s="1"/>
  <c r="D35" i="126"/>
  <c r="D36" i="126" s="1"/>
  <c r="L24" i="126"/>
  <c r="L58" i="124"/>
  <c r="L47" i="124"/>
  <c r="L52" i="124"/>
  <c r="O31" i="132"/>
  <c r="L53" i="124"/>
  <c r="L60" i="124"/>
  <c r="L43" i="124"/>
  <c r="L45" i="124"/>
  <c r="L46" i="124"/>
  <c r="L12" i="125"/>
  <c r="L53" i="125"/>
  <c r="M53" i="125" s="1"/>
  <c r="L60" i="125"/>
  <c r="M60" i="125" s="1"/>
  <c r="L61" i="125"/>
  <c r="M61" i="125" s="1"/>
  <c r="L51" i="125"/>
  <c r="M51" i="125" s="1"/>
  <c r="L62" i="125"/>
  <c r="M62" i="125" s="1"/>
  <c r="L15" i="125"/>
  <c r="L19" i="125"/>
  <c r="L16" i="125"/>
  <c r="L13" i="125"/>
  <c r="L17" i="125"/>
  <c r="L14" i="125"/>
  <c r="L18" i="125"/>
  <c r="L46" i="125"/>
  <c r="M46" i="125" s="1"/>
  <c r="L63" i="125"/>
  <c r="M63" i="125" s="1"/>
  <c r="L47" i="125"/>
  <c r="M47" i="125" s="1"/>
  <c r="L52" i="125"/>
  <c r="M52" i="125" s="1"/>
  <c r="C12" i="129"/>
  <c r="B12" i="129" s="1"/>
  <c r="L54" i="125"/>
  <c r="M54" i="125" s="1"/>
  <c r="L26" i="125"/>
  <c r="L44" i="125"/>
  <c r="L55" i="125"/>
  <c r="M55" i="125" s="1"/>
  <c r="L45" i="125"/>
  <c r="M45" i="125" s="1"/>
  <c r="L59" i="125"/>
  <c r="M59" i="125" s="1"/>
  <c r="L16" i="129"/>
  <c r="L46" i="129"/>
  <c r="M46" i="129" s="1"/>
  <c r="L60" i="129"/>
  <c r="M60" i="129" s="1"/>
  <c r="L15" i="129"/>
  <c r="F3" i="129"/>
  <c r="F6" i="129" s="1"/>
  <c r="L50" i="129"/>
  <c r="M50" i="129" s="1"/>
  <c r="L61" i="129"/>
  <c r="M61" i="129" s="1"/>
  <c r="L14" i="129"/>
  <c r="L51" i="129"/>
  <c r="M51" i="129" s="1"/>
  <c r="L62" i="129"/>
  <c r="M62" i="129" s="1"/>
  <c r="L13" i="129"/>
  <c r="L12" i="129"/>
  <c r="L53" i="129"/>
  <c r="M53" i="129" s="1"/>
  <c r="L52" i="129"/>
  <c r="M52" i="129" s="1"/>
  <c r="L43" i="129"/>
  <c r="L54" i="129"/>
  <c r="M54" i="129" s="1"/>
  <c r="L18" i="129"/>
  <c r="L17" i="129"/>
  <c r="L19" i="129"/>
  <c r="F36" i="129"/>
  <c r="C37" i="129"/>
  <c r="D37" i="129"/>
  <c r="F35" i="129"/>
  <c r="E35" i="129"/>
  <c r="L49" i="129"/>
  <c r="M49" i="129" s="1"/>
  <c r="L57" i="129"/>
  <c r="M57" i="129" s="1"/>
  <c r="L20" i="129"/>
  <c r="L47" i="129"/>
  <c r="M47" i="129" s="1"/>
  <c r="L55" i="129"/>
  <c r="M55" i="129" s="1"/>
  <c r="L48" i="129"/>
  <c r="M48" i="129" s="1"/>
  <c r="L15" i="126"/>
  <c r="L25" i="126"/>
  <c r="L16" i="126"/>
  <c r="F3" i="126"/>
  <c r="F6" i="126" s="1"/>
  <c r="L18" i="126"/>
  <c r="L26" i="126"/>
  <c r="L17" i="126"/>
  <c r="L27" i="126"/>
  <c r="L19" i="126"/>
  <c r="L23" i="126"/>
  <c r="F10" i="126"/>
  <c r="E10" i="126"/>
  <c r="F34" i="126"/>
  <c r="E34" i="126"/>
  <c r="L55" i="126"/>
  <c r="M55" i="126" s="1"/>
  <c r="L47" i="126"/>
  <c r="M47" i="126" s="1"/>
  <c r="L54" i="126"/>
  <c r="M54" i="126" s="1"/>
  <c r="L46" i="126"/>
  <c r="M46" i="126" s="1"/>
  <c r="L61" i="126"/>
  <c r="M61" i="126" s="1"/>
  <c r="L53" i="126"/>
  <c r="M53" i="126" s="1"/>
  <c r="L45" i="126"/>
  <c r="M45" i="126" s="1"/>
  <c r="L60" i="126"/>
  <c r="M60" i="126" s="1"/>
  <c r="L52" i="126"/>
  <c r="M52" i="126" s="1"/>
  <c r="L50" i="126"/>
  <c r="M50" i="126" s="1"/>
  <c r="L56" i="126"/>
  <c r="M56" i="126" s="1"/>
  <c r="L48" i="126"/>
  <c r="M48" i="126" s="1"/>
  <c r="L44" i="126"/>
  <c r="M44" i="126" s="1"/>
  <c r="L59" i="126"/>
  <c r="M59" i="126" s="1"/>
  <c r="L20" i="126"/>
  <c r="L28" i="126"/>
  <c r="L24" i="125"/>
  <c r="L25" i="125"/>
  <c r="F10" i="125"/>
  <c r="D11" i="125"/>
  <c r="C11" i="125"/>
  <c r="E10" i="125"/>
  <c r="F36" i="125"/>
  <c r="E36" i="125"/>
  <c r="F3" i="125"/>
  <c r="F6" i="125" s="1"/>
  <c r="L29" i="125"/>
  <c r="L21" i="125"/>
  <c r="G10" i="125"/>
  <c r="L28" i="125"/>
  <c r="L20" i="125"/>
  <c r="L30" i="125"/>
  <c r="L22" i="125"/>
  <c r="L27" i="125"/>
  <c r="L23" i="125"/>
  <c r="C37" i="125"/>
  <c r="L31" i="125"/>
  <c r="D37" i="125"/>
  <c r="L50" i="125"/>
  <c r="M50" i="125" s="1"/>
  <c r="L58" i="125"/>
  <c r="M58" i="125" s="1"/>
  <c r="L48" i="125"/>
  <c r="M48" i="125" s="1"/>
  <c r="L56" i="125"/>
  <c r="M56" i="125" s="1"/>
  <c r="L49" i="125"/>
  <c r="M49" i="125" s="1"/>
  <c r="L54" i="124"/>
  <c r="L44" i="124"/>
  <c r="L59" i="124"/>
  <c r="D36" i="124"/>
  <c r="C37" i="124" s="1"/>
  <c r="G9" i="124"/>
  <c r="F3" i="124"/>
  <c r="F5" i="124" s="1"/>
  <c r="L50" i="124"/>
  <c r="L61" i="124"/>
  <c r="L51" i="124"/>
  <c r="L62" i="124"/>
  <c r="D10" i="124"/>
  <c r="C10" i="124"/>
  <c r="E9" i="124"/>
  <c r="F9" i="124"/>
  <c r="F35" i="124"/>
  <c r="E35" i="124"/>
  <c r="L49" i="124"/>
  <c r="L57" i="124"/>
  <c r="L55" i="124"/>
  <c r="L48" i="124"/>
  <c r="F23" i="168" l="1"/>
  <c r="I23" i="168"/>
  <c r="L64" i="124"/>
  <c r="E34" i="132"/>
  <c r="F34" i="132"/>
  <c r="D35" i="132"/>
  <c r="C35" i="132"/>
  <c r="B35" i="132" s="1"/>
  <c r="L32" i="129"/>
  <c r="M43" i="129"/>
  <c r="M64" i="129" s="1"/>
  <c r="L64" i="129"/>
  <c r="L31" i="126"/>
  <c r="E35" i="126"/>
  <c r="L63" i="126"/>
  <c r="M42" i="126"/>
  <c r="M63" i="126" s="1"/>
  <c r="C36" i="126"/>
  <c r="E36" i="126" s="1"/>
  <c r="M44" i="125"/>
  <c r="L65" i="125"/>
  <c r="L33" i="125"/>
  <c r="G32" i="132"/>
  <c r="J32" i="132" s="1"/>
  <c r="H34" i="126"/>
  <c r="H10" i="126"/>
  <c r="I12" i="126" s="1"/>
  <c r="L18" i="124"/>
  <c r="L22" i="124"/>
  <c r="L26" i="124"/>
  <c r="L30" i="124"/>
  <c r="L19" i="124"/>
  <c r="L23" i="124"/>
  <c r="L27" i="124"/>
  <c r="L15" i="124"/>
  <c r="L16" i="124"/>
  <c r="L28" i="124"/>
  <c r="L17" i="124"/>
  <c r="L21" i="124"/>
  <c r="L25" i="124"/>
  <c r="L29" i="124"/>
  <c r="L20" i="124"/>
  <c r="L24" i="124"/>
  <c r="L14" i="124"/>
  <c r="H10" i="129"/>
  <c r="F11" i="126"/>
  <c r="C12" i="126"/>
  <c r="B12" i="126" s="1"/>
  <c r="D12" i="126"/>
  <c r="E11" i="126"/>
  <c r="F35" i="126"/>
  <c r="H9" i="124"/>
  <c r="H10" i="125"/>
  <c r="O10" i="125" s="1"/>
  <c r="C12" i="125"/>
  <c r="B12" i="125" s="1"/>
  <c r="D12" i="125"/>
  <c r="F12" i="129"/>
  <c r="F37" i="129"/>
  <c r="C38" i="129"/>
  <c r="E37" i="129"/>
  <c r="D38" i="129"/>
  <c r="H35" i="129"/>
  <c r="F36" i="126"/>
  <c r="D37" i="126"/>
  <c r="C37" i="126"/>
  <c r="H36" i="125"/>
  <c r="E11" i="125"/>
  <c r="F11" i="125"/>
  <c r="F37" i="125"/>
  <c r="E37" i="125"/>
  <c r="D38" i="125"/>
  <c r="C38" i="125"/>
  <c r="C11" i="124"/>
  <c r="B11" i="124" s="1"/>
  <c r="D11" i="124"/>
  <c r="D37" i="124"/>
  <c r="F37" i="124" s="1"/>
  <c r="E36" i="124"/>
  <c r="F36" i="124"/>
  <c r="E10" i="124"/>
  <c r="F10" i="124"/>
  <c r="H35" i="124"/>
  <c r="C108" i="168" l="1"/>
  <c r="H32" i="129"/>
  <c r="I21" i="129"/>
  <c r="N32" i="132"/>
  <c r="L32" i="124"/>
  <c r="F35" i="132"/>
  <c r="E35" i="132"/>
  <c r="D36" i="132"/>
  <c r="D108" i="168" s="1"/>
  <c r="C36" i="132"/>
  <c r="B36" i="132" s="1"/>
  <c r="N35" i="129"/>
  <c r="N35" i="124"/>
  <c r="N10" i="129"/>
  <c r="N9" i="124"/>
  <c r="O10" i="126"/>
  <c r="H31" i="126"/>
  <c r="O34" i="126"/>
  <c r="N34" i="126"/>
  <c r="N10" i="126"/>
  <c r="I18" i="126"/>
  <c r="M65" i="125"/>
  <c r="N36" i="125"/>
  <c r="N10" i="125"/>
  <c r="G11" i="125"/>
  <c r="I22" i="126"/>
  <c r="I29" i="126"/>
  <c r="I25" i="126"/>
  <c r="I14" i="126"/>
  <c r="I20" i="126"/>
  <c r="I16" i="126"/>
  <c r="I27" i="126"/>
  <c r="I15" i="129"/>
  <c r="I12" i="129"/>
  <c r="I17" i="129"/>
  <c r="I19" i="129"/>
  <c r="I18" i="129"/>
  <c r="I13" i="129"/>
  <c r="I16" i="129"/>
  <c r="I14" i="129"/>
  <c r="I11" i="129"/>
  <c r="I20" i="129"/>
  <c r="I13" i="126"/>
  <c r="O9" i="124"/>
  <c r="I28" i="126"/>
  <c r="I26" i="126"/>
  <c r="I24" i="126"/>
  <c r="I15" i="126"/>
  <c r="O10" i="129"/>
  <c r="I21" i="126"/>
  <c r="I19" i="126"/>
  <c r="I17" i="126"/>
  <c r="I23" i="126"/>
  <c r="E12" i="126"/>
  <c r="F12" i="126"/>
  <c r="D38" i="124"/>
  <c r="C39" i="124" s="1"/>
  <c r="C38" i="124"/>
  <c r="C13" i="125"/>
  <c r="B13" i="125" s="1"/>
  <c r="E12" i="125"/>
  <c r="D13" i="125"/>
  <c r="F12" i="125"/>
  <c r="E12" i="129"/>
  <c r="O35" i="129"/>
  <c r="C39" i="129"/>
  <c r="D39" i="129"/>
  <c r="F38" i="129"/>
  <c r="E38" i="129"/>
  <c r="D13" i="129"/>
  <c r="C13" i="129"/>
  <c r="B13" i="129" s="1"/>
  <c r="C13" i="126"/>
  <c r="B13" i="126" s="1"/>
  <c r="D13" i="126"/>
  <c r="D38" i="126"/>
  <c r="C38" i="126"/>
  <c r="F37" i="126"/>
  <c r="E37" i="126"/>
  <c r="F38" i="125"/>
  <c r="D39" i="125"/>
  <c r="C39" i="125"/>
  <c r="E38" i="125"/>
  <c r="O36" i="125"/>
  <c r="E11" i="124"/>
  <c r="E37" i="124"/>
  <c r="F11" i="124"/>
  <c r="C12" i="124"/>
  <c r="B12" i="124" s="1"/>
  <c r="D12" i="124"/>
  <c r="O35" i="124"/>
  <c r="H50" i="132" l="1"/>
  <c r="F36" i="132"/>
  <c r="E36" i="132"/>
  <c r="D37" i="132"/>
  <c r="E108" i="168" s="1"/>
  <c r="F108" i="168" s="1"/>
  <c r="C37" i="132"/>
  <c r="B37" i="132" s="1"/>
  <c r="I47" i="132"/>
  <c r="I42" i="132"/>
  <c r="I43" i="132"/>
  <c r="I38" i="132"/>
  <c r="I40" i="132"/>
  <c r="I44" i="132"/>
  <c r="I45" i="132"/>
  <c r="I41" i="132"/>
  <c r="I46" i="132"/>
  <c r="I36" i="132"/>
  <c r="I37" i="132"/>
  <c r="I39" i="132"/>
  <c r="I34" i="132"/>
  <c r="I35" i="132"/>
  <c r="I48" i="132"/>
  <c r="G36" i="129"/>
  <c r="H36" i="129" s="1"/>
  <c r="N36" i="129" s="1"/>
  <c r="G36" i="124"/>
  <c r="H36" i="124" s="1"/>
  <c r="G11" i="129"/>
  <c r="O11" i="129" s="1"/>
  <c r="G12" i="129" s="1"/>
  <c r="I32" i="129"/>
  <c r="G10" i="124"/>
  <c r="H10" i="124" s="1"/>
  <c r="I31" i="126"/>
  <c r="G35" i="126"/>
  <c r="G11" i="126"/>
  <c r="G37" i="125"/>
  <c r="H11" i="125"/>
  <c r="O11" i="125" s="1"/>
  <c r="D39" i="124"/>
  <c r="D40" i="124" s="1"/>
  <c r="F38" i="124"/>
  <c r="E38" i="124"/>
  <c r="C14" i="125"/>
  <c r="B14" i="125" s="1"/>
  <c r="F13" i="125"/>
  <c r="D14" i="125"/>
  <c r="E13" i="125"/>
  <c r="F13" i="129"/>
  <c r="E13" i="129"/>
  <c r="D14" i="129"/>
  <c r="C14" i="129"/>
  <c r="B14" i="129" s="1"/>
  <c r="C40" i="129"/>
  <c r="D40" i="129"/>
  <c r="F39" i="129"/>
  <c r="E39" i="129"/>
  <c r="E13" i="126"/>
  <c r="D14" i="126"/>
  <c r="C14" i="126"/>
  <c r="B14" i="126" s="1"/>
  <c r="F13" i="126"/>
  <c r="C39" i="126"/>
  <c r="E38" i="126"/>
  <c r="D39" i="126"/>
  <c r="F38" i="126"/>
  <c r="C40" i="125"/>
  <c r="F39" i="125"/>
  <c r="E39" i="125"/>
  <c r="D40" i="125"/>
  <c r="E12" i="124"/>
  <c r="C13" i="124"/>
  <c r="B13" i="124" s="1"/>
  <c r="D13" i="124"/>
  <c r="F12" i="124"/>
  <c r="C40" i="124"/>
  <c r="I50" i="132" l="1"/>
  <c r="O32" i="132"/>
  <c r="G33" i="132" s="1"/>
  <c r="K32" i="132"/>
  <c r="E37" i="132"/>
  <c r="F37" i="132"/>
  <c r="D38" i="132"/>
  <c r="C38" i="132"/>
  <c r="B38" i="132" s="1"/>
  <c r="J11" i="129"/>
  <c r="N11" i="129" s="1"/>
  <c r="O36" i="124"/>
  <c r="N36" i="124"/>
  <c r="N10" i="124"/>
  <c r="H35" i="126"/>
  <c r="N35" i="126" s="1"/>
  <c r="O11" i="126"/>
  <c r="J11" i="126"/>
  <c r="O10" i="124"/>
  <c r="E39" i="124"/>
  <c r="F39" i="124"/>
  <c r="H37" i="125"/>
  <c r="N37" i="125" s="1"/>
  <c r="N11" i="125"/>
  <c r="G12" i="125"/>
  <c r="E14" i="125"/>
  <c r="D15" i="125"/>
  <c r="C15" i="125"/>
  <c r="B15" i="125" s="1"/>
  <c r="F14" i="125"/>
  <c r="O12" i="129"/>
  <c r="G13" i="129" s="1"/>
  <c r="J12" i="129"/>
  <c r="D41" i="129"/>
  <c r="C41" i="129"/>
  <c r="E40" i="129"/>
  <c r="F40" i="129"/>
  <c r="F14" i="129"/>
  <c r="D15" i="129"/>
  <c r="C15" i="129"/>
  <c r="B15" i="129" s="1"/>
  <c r="E14" i="129"/>
  <c r="O36" i="129"/>
  <c r="F14" i="126"/>
  <c r="E14" i="126"/>
  <c r="D40" i="126"/>
  <c r="C40" i="126"/>
  <c r="F39" i="126"/>
  <c r="E39" i="126"/>
  <c r="C15" i="126"/>
  <c r="B15" i="126" s="1"/>
  <c r="D15" i="126"/>
  <c r="C41" i="125"/>
  <c r="D41" i="125"/>
  <c r="E40" i="125"/>
  <c r="F40" i="125"/>
  <c r="E13" i="124"/>
  <c r="D14" i="124"/>
  <c r="F13" i="124"/>
  <c r="C14" i="124"/>
  <c r="B14" i="124" s="1"/>
  <c r="D41" i="124"/>
  <c r="C41" i="124"/>
  <c r="F40" i="124"/>
  <c r="E40" i="124"/>
  <c r="J33" i="132" l="1"/>
  <c r="K33" i="132" s="1"/>
  <c r="M33" i="132" s="1"/>
  <c r="O33" i="132"/>
  <c r="K11" i="129"/>
  <c r="M11" i="129" s="1"/>
  <c r="M32" i="132"/>
  <c r="P32" i="132" s="1"/>
  <c r="E38" i="132"/>
  <c r="F38" i="132"/>
  <c r="D39" i="132"/>
  <c r="C39" i="132"/>
  <c r="B39" i="132" s="1"/>
  <c r="G37" i="129"/>
  <c r="H37" i="129" s="1"/>
  <c r="N37" i="129" s="1"/>
  <c r="N12" i="129"/>
  <c r="G37" i="124"/>
  <c r="N11" i="126"/>
  <c r="G11" i="124"/>
  <c r="H11" i="124" s="1"/>
  <c r="I21" i="124" s="1"/>
  <c r="K12" i="129"/>
  <c r="M12" i="129" s="1"/>
  <c r="J13" i="129"/>
  <c r="N13" i="129" s="1"/>
  <c r="G12" i="126"/>
  <c r="K11" i="126"/>
  <c r="O35" i="126"/>
  <c r="O37" i="125"/>
  <c r="H12" i="125"/>
  <c r="E15" i="125"/>
  <c r="F15" i="125"/>
  <c r="C16" i="125"/>
  <c r="B16" i="125" s="1"/>
  <c r="D16" i="125"/>
  <c r="O13" i="129"/>
  <c r="G14" i="129" s="1"/>
  <c r="D42" i="129"/>
  <c r="E41" i="129"/>
  <c r="C42" i="129"/>
  <c r="F41" i="129"/>
  <c r="E15" i="129"/>
  <c r="F15" i="129"/>
  <c r="D16" i="129"/>
  <c r="C16" i="129"/>
  <c r="B16" i="129" s="1"/>
  <c r="F15" i="126"/>
  <c r="C16" i="126"/>
  <c r="B16" i="126" s="1"/>
  <c r="E15" i="126"/>
  <c r="D16" i="126"/>
  <c r="C41" i="126"/>
  <c r="D41" i="126"/>
  <c r="E40" i="126"/>
  <c r="F40" i="126"/>
  <c r="D42" i="125"/>
  <c r="C42" i="125"/>
  <c r="F41" i="125"/>
  <c r="E41" i="125"/>
  <c r="E14" i="124"/>
  <c r="F14" i="124"/>
  <c r="D42" i="124"/>
  <c r="C42" i="124"/>
  <c r="E41" i="124"/>
  <c r="F41" i="124"/>
  <c r="D15" i="124"/>
  <c r="C15" i="124"/>
  <c r="B15" i="124" s="1"/>
  <c r="N33" i="132" l="1"/>
  <c r="P33" i="132" s="1"/>
  <c r="F39" i="132"/>
  <c r="E39" i="132"/>
  <c r="D40" i="132"/>
  <c r="C40" i="132"/>
  <c r="B40" i="132" s="1"/>
  <c r="H37" i="124"/>
  <c r="K13" i="129"/>
  <c r="M13" i="129" s="1"/>
  <c r="I11" i="124"/>
  <c r="K11" i="124" s="1"/>
  <c r="H32" i="124"/>
  <c r="J14" i="129"/>
  <c r="N14" i="129" s="1"/>
  <c r="O12" i="126"/>
  <c r="J12" i="126"/>
  <c r="G36" i="126"/>
  <c r="I23" i="124"/>
  <c r="I16" i="124"/>
  <c r="I27" i="124"/>
  <c r="I17" i="124"/>
  <c r="I30" i="124"/>
  <c r="I14" i="124"/>
  <c r="I24" i="124"/>
  <c r="I26" i="124"/>
  <c r="I29" i="124"/>
  <c r="I22" i="124"/>
  <c r="I12" i="124"/>
  <c r="I25" i="124"/>
  <c r="I18" i="124"/>
  <c r="I20" i="124"/>
  <c r="I15" i="124"/>
  <c r="I13" i="124"/>
  <c r="I28" i="124"/>
  <c r="I19" i="124"/>
  <c r="N11" i="124"/>
  <c r="G38" i="125"/>
  <c r="I15" i="125"/>
  <c r="I26" i="125"/>
  <c r="I22" i="125"/>
  <c r="I29" i="125"/>
  <c r="I13" i="125"/>
  <c r="I25" i="125"/>
  <c r="H33" i="125"/>
  <c r="I27" i="125"/>
  <c r="I31" i="125"/>
  <c r="I18" i="125"/>
  <c r="N12" i="125"/>
  <c r="I16" i="125"/>
  <c r="I17" i="125"/>
  <c r="I28" i="125"/>
  <c r="I12" i="125"/>
  <c r="O12" i="125" s="1"/>
  <c r="G13" i="125" s="1"/>
  <c r="I23" i="125"/>
  <c r="I30" i="125"/>
  <c r="I19" i="125"/>
  <c r="I20" i="125"/>
  <c r="I14" i="125"/>
  <c r="I21" i="125"/>
  <c r="I24" i="125"/>
  <c r="D17" i="125"/>
  <c r="F16" i="125"/>
  <c r="C17" i="125"/>
  <c r="B17" i="125" s="1"/>
  <c r="E16" i="125"/>
  <c r="O14" i="129"/>
  <c r="G15" i="129" s="1"/>
  <c r="E42" i="129"/>
  <c r="D43" i="129"/>
  <c r="F42" i="129"/>
  <c r="C43" i="129"/>
  <c r="O37" i="129"/>
  <c r="F16" i="129"/>
  <c r="D17" i="129"/>
  <c r="E16" i="129"/>
  <c r="C17" i="129"/>
  <c r="B17" i="129" s="1"/>
  <c r="F16" i="126"/>
  <c r="C17" i="126"/>
  <c r="B17" i="126" s="1"/>
  <c r="D17" i="126"/>
  <c r="E16" i="126"/>
  <c r="E41" i="126"/>
  <c r="D42" i="126"/>
  <c r="F41" i="126"/>
  <c r="C42" i="126"/>
  <c r="C43" i="125"/>
  <c r="D43" i="125"/>
  <c r="E42" i="125"/>
  <c r="F42" i="125"/>
  <c r="E42" i="124"/>
  <c r="D43" i="124"/>
  <c r="F42" i="124"/>
  <c r="C43" i="124"/>
  <c r="F15" i="124"/>
  <c r="C16" i="124"/>
  <c r="B16" i="124" s="1"/>
  <c r="E15" i="124"/>
  <c r="D16" i="124"/>
  <c r="G34" i="132" l="1"/>
  <c r="F40" i="132"/>
  <c r="E40" i="132"/>
  <c r="D41" i="132"/>
  <c r="C41" i="132"/>
  <c r="B41" i="132" s="1"/>
  <c r="G38" i="129"/>
  <c r="H38" i="129" s="1"/>
  <c r="N38" i="129" s="1"/>
  <c r="O37" i="124"/>
  <c r="N37" i="124"/>
  <c r="K14" i="129"/>
  <c r="M11" i="124"/>
  <c r="I32" i="124"/>
  <c r="J15" i="129"/>
  <c r="N15" i="129" s="1"/>
  <c r="H36" i="126"/>
  <c r="N36" i="126" s="1"/>
  <c r="G13" i="126"/>
  <c r="K12" i="126"/>
  <c r="N12" i="126"/>
  <c r="H38" i="125"/>
  <c r="N38" i="125" s="1"/>
  <c r="K12" i="125"/>
  <c r="I33" i="125"/>
  <c r="J13" i="125"/>
  <c r="K13" i="125" s="1"/>
  <c r="M13" i="125" s="1"/>
  <c r="O13" i="125"/>
  <c r="F17" i="125"/>
  <c r="D18" i="125"/>
  <c r="C18" i="125"/>
  <c r="B18" i="125" s="1"/>
  <c r="E17" i="125"/>
  <c r="O15" i="129"/>
  <c r="G16" i="129" s="1"/>
  <c r="D18" i="129"/>
  <c r="E17" i="129"/>
  <c r="C18" i="129"/>
  <c r="B18" i="129" s="1"/>
  <c r="F17" i="129"/>
  <c r="F43" i="129"/>
  <c r="D44" i="129"/>
  <c r="E43" i="129"/>
  <c r="C44" i="129"/>
  <c r="F42" i="126"/>
  <c r="D43" i="126"/>
  <c r="E42" i="126"/>
  <c r="C43" i="126"/>
  <c r="D18" i="126"/>
  <c r="E17" i="126"/>
  <c r="C18" i="126"/>
  <c r="B18" i="126" s="1"/>
  <c r="F17" i="126"/>
  <c r="E43" i="125"/>
  <c r="D44" i="125"/>
  <c r="F43" i="125"/>
  <c r="C44" i="125"/>
  <c r="F43" i="124"/>
  <c r="D44" i="124"/>
  <c r="E43" i="124"/>
  <c r="C44" i="124"/>
  <c r="F16" i="124"/>
  <c r="D17" i="124"/>
  <c r="E16" i="124"/>
  <c r="C17" i="124"/>
  <c r="B17" i="124" s="1"/>
  <c r="O36" i="126" l="1"/>
  <c r="G37" i="126" s="1"/>
  <c r="J34" i="132"/>
  <c r="O34" i="132"/>
  <c r="F41" i="132"/>
  <c r="E41" i="132"/>
  <c r="D42" i="132"/>
  <c r="C42" i="132"/>
  <c r="B42" i="132" s="1"/>
  <c r="G38" i="124"/>
  <c r="M14" i="129"/>
  <c r="K15" i="129"/>
  <c r="M15" i="129" s="1"/>
  <c r="O16" i="129"/>
  <c r="G17" i="129" s="1"/>
  <c r="O13" i="126"/>
  <c r="J13" i="126"/>
  <c r="M12" i="126"/>
  <c r="O38" i="125"/>
  <c r="N13" i="125"/>
  <c r="M12" i="125"/>
  <c r="G14" i="125"/>
  <c r="D19" i="125"/>
  <c r="F18" i="125"/>
  <c r="C19" i="125"/>
  <c r="B19" i="125" s="1"/>
  <c r="E18" i="125"/>
  <c r="J16" i="129"/>
  <c r="K16" i="129" s="1"/>
  <c r="D45" i="129"/>
  <c r="E44" i="129"/>
  <c r="C45" i="129"/>
  <c r="F44" i="129"/>
  <c r="C19" i="129"/>
  <c r="B19" i="129" s="1"/>
  <c r="D19" i="129"/>
  <c r="E18" i="129"/>
  <c r="F18" i="129"/>
  <c r="O38" i="129"/>
  <c r="D44" i="126"/>
  <c r="E43" i="126"/>
  <c r="C44" i="126"/>
  <c r="F43" i="126"/>
  <c r="C19" i="126"/>
  <c r="B19" i="126" s="1"/>
  <c r="F18" i="126"/>
  <c r="E18" i="126"/>
  <c r="D19" i="126"/>
  <c r="F44" i="125"/>
  <c r="D45" i="125"/>
  <c r="E44" i="125"/>
  <c r="C45" i="125"/>
  <c r="D45" i="124"/>
  <c r="E44" i="124"/>
  <c r="C45" i="124"/>
  <c r="F44" i="124"/>
  <c r="F17" i="124"/>
  <c r="D18" i="124"/>
  <c r="E17" i="124"/>
  <c r="C18" i="124"/>
  <c r="B18" i="124" s="1"/>
  <c r="M16" i="129" l="1"/>
  <c r="K34" i="132"/>
  <c r="B109" i="168" s="1"/>
  <c r="N34" i="132"/>
  <c r="G35" i="132"/>
  <c r="E42" i="132"/>
  <c r="F42" i="132"/>
  <c r="D43" i="132"/>
  <c r="C43" i="132"/>
  <c r="B43" i="132" s="1"/>
  <c r="G39" i="129"/>
  <c r="H39" i="129" s="1"/>
  <c r="N39" i="129" s="1"/>
  <c r="H38" i="124"/>
  <c r="N13" i="126"/>
  <c r="N16" i="129"/>
  <c r="J17" i="129"/>
  <c r="K17" i="129" s="1"/>
  <c r="O17" i="129"/>
  <c r="G18" i="129" s="1"/>
  <c r="G14" i="126"/>
  <c r="H37" i="126"/>
  <c r="K13" i="126"/>
  <c r="G39" i="125"/>
  <c r="O14" i="125"/>
  <c r="J14" i="125"/>
  <c r="N14" i="125" s="1"/>
  <c r="E19" i="125"/>
  <c r="F19" i="125"/>
  <c r="C20" i="129"/>
  <c r="B20" i="129" s="1"/>
  <c r="E19" i="129"/>
  <c r="D20" i="129"/>
  <c r="F19" i="129"/>
  <c r="C46" i="129"/>
  <c r="D46" i="129"/>
  <c r="E45" i="129"/>
  <c r="F45" i="129"/>
  <c r="D20" i="126"/>
  <c r="F19" i="126"/>
  <c r="C20" i="126"/>
  <c r="B20" i="126" s="1"/>
  <c r="E19" i="126"/>
  <c r="C45" i="126"/>
  <c r="F44" i="126"/>
  <c r="E44" i="126"/>
  <c r="D45" i="126"/>
  <c r="D46" i="125"/>
  <c r="E45" i="125"/>
  <c r="C46" i="125"/>
  <c r="F45" i="125"/>
  <c r="C20" i="125"/>
  <c r="B20" i="125" s="1"/>
  <c r="D20" i="125"/>
  <c r="D19" i="124"/>
  <c r="E18" i="124"/>
  <c r="C19" i="124"/>
  <c r="B19" i="124" s="1"/>
  <c r="F18" i="124"/>
  <c r="C46" i="124"/>
  <c r="D46" i="124"/>
  <c r="E45" i="124"/>
  <c r="F45" i="124"/>
  <c r="M17" i="129" l="1"/>
  <c r="J35" i="132"/>
  <c r="N35" i="132" s="1"/>
  <c r="O35" i="132"/>
  <c r="G36" i="132" s="1"/>
  <c r="M34" i="132"/>
  <c r="P34" i="132" s="1"/>
  <c r="E43" i="132"/>
  <c r="F43" i="132"/>
  <c r="D44" i="132"/>
  <c r="C44" i="132"/>
  <c r="B44" i="132" s="1"/>
  <c r="O38" i="124"/>
  <c r="N38" i="124"/>
  <c r="J18" i="129"/>
  <c r="K18" i="129" s="1"/>
  <c r="N17" i="129"/>
  <c r="O18" i="129"/>
  <c r="G19" i="129" s="1"/>
  <c r="O19" i="129" s="1"/>
  <c r="G20" i="129" s="1"/>
  <c r="O37" i="126"/>
  <c r="N37" i="126"/>
  <c r="M13" i="126"/>
  <c r="O14" i="126"/>
  <c r="G15" i="126" s="1"/>
  <c r="J14" i="126"/>
  <c r="H39" i="125"/>
  <c r="K14" i="125"/>
  <c r="G15" i="125"/>
  <c r="C47" i="129"/>
  <c r="F46" i="129"/>
  <c r="D47" i="129"/>
  <c r="E46" i="129"/>
  <c r="F20" i="129"/>
  <c r="E20" i="129"/>
  <c r="D21" i="129"/>
  <c r="C21" i="129"/>
  <c r="B21" i="129" s="1"/>
  <c r="O39" i="129"/>
  <c r="F45" i="126"/>
  <c r="D46" i="126"/>
  <c r="C46" i="126"/>
  <c r="E45" i="126"/>
  <c r="D21" i="126"/>
  <c r="C21" i="126"/>
  <c r="B21" i="126" s="1"/>
  <c r="E20" i="126"/>
  <c r="F20" i="126"/>
  <c r="C21" i="125"/>
  <c r="B21" i="125" s="1"/>
  <c r="F20" i="125"/>
  <c r="E20" i="125"/>
  <c r="D21" i="125"/>
  <c r="C47" i="125"/>
  <c r="D47" i="125"/>
  <c r="E46" i="125"/>
  <c r="F46" i="125"/>
  <c r="C47" i="124"/>
  <c r="D47" i="124"/>
  <c r="F46" i="124"/>
  <c r="E46" i="124"/>
  <c r="C20" i="124"/>
  <c r="B20" i="124" s="1"/>
  <c r="D20" i="124"/>
  <c r="E19" i="124"/>
  <c r="F19" i="124"/>
  <c r="C22" i="129" l="1"/>
  <c r="B22" i="129" s="1"/>
  <c r="D22" i="129"/>
  <c r="J19" i="129"/>
  <c r="K19" i="129" s="1"/>
  <c r="M19" i="129" s="1"/>
  <c r="M18" i="129"/>
  <c r="N18" i="129"/>
  <c r="O36" i="132"/>
  <c r="G37" i="132" s="1"/>
  <c r="J36" i="132"/>
  <c r="K35" i="132"/>
  <c r="C109" i="168" s="1"/>
  <c r="F44" i="132"/>
  <c r="E44" i="132"/>
  <c r="D45" i="132"/>
  <c r="C45" i="132"/>
  <c r="B45" i="132" s="1"/>
  <c r="G40" i="129"/>
  <c r="H40" i="129" s="1"/>
  <c r="O40" i="129" s="1"/>
  <c r="G41" i="129" s="1"/>
  <c r="G39" i="124"/>
  <c r="O15" i="126"/>
  <c r="G16" i="126" s="1"/>
  <c r="J15" i="126"/>
  <c r="N15" i="126" s="1"/>
  <c r="K14" i="126"/>
  <c r="M14" i="126" s="1"/>
  <c r="N14" i="126"/>
  <c r="G38" i="126"/>
  <c r="O39" i="125"/>
  <c r="N39" i="125"/>
  <c r="M14" i="125"/>
  <c r="O15" i="125"/>
  <c r="J15" i="125"/>
  <c r="N15" i="125" s="1"/>
  <c r="E47" i="129"/>
  <c r="F47" i="129"/>
  <c r="D48" i="129"/>
  <c r="C48" i="129"/>
  <c r="F21" i="129"/>
  <c r="E21" i="129"/>
  <c r="J20" i="129"/>
  <c r="K20" i="129" s="1"/>
  <c r="O20" i="129"/>
  <c r="G21" i="129" s="1"/>
  <c r="E46" i="126"/>
  <c r="D47" i="126"/>
  <c r="C47" i="126"/>
  <c r="F46" i="126"/>
  <c r="F21" i="126"/>
  <c r="E21" i="126"/>
  <c r="D22" i="126"/>
  <c r="C22" i="126"/>
  <c r="B22" i="126" s="1"/>
  <c r="E21" i="125"/>
  <c r="D22" i="125"/>
  <c r="C22" i="125"/>
  <c r="B22" i="125" s="1"/>
  <c r="F21" i="125"/>
  <c r="C48" i="125"/>
  <c r="D48" i="125"/>
  <c r="F47" i="125"/>
  <c r="E47" i="125"/>
  <c r="F47" i="124"/>
  <c r="E47" i="124"/>
  <c r="C48" i="124"/>
  <c r="D48" i="124"/>
  <c r="C21" i="124"/>
  <c r="B21" i="124" s="1"/>
  <c r="D21" i="124"/>
  <c r="F20" i="124"/>
  <c r="E20" i="124"/>
  <c r="F22" i="129" l="1"/>
  <c r="C23" i="129"/>
  <c r="B23" i="129" s="1"/>
  <c r="E22" i="129"/>
  <c r="D23" i="129"/>
  <c r="M20" i="129"/>
  <c r="B114" i="168"/>
  <c r="N19" i="129"/>
  <c r="N36" i="132"/>
  <c r="M35" i="132"/>
  <c r="P35" i="132" s="1"/>
  <c r="K36" i="132"/>
  <c r="O37" i="132"/>
  <c r="G38" i="132" s="1"/>
  <c r="J37" i="132"/>
  <c r="K37" i="132" s="1"/>
  <c r="F45" i="132"/>
  <c r="E45" i="132"/>
  <c r="D46" i="132"/>
  <c r="C46" i="132"/>
  <c r="B46" i="132" s="1"/>
  <c r="H39" i="124"/>
  <c r="O39" i="124" s="1"/>
  <c r="N20" i="129"/>
  <c r="N40" i="129"/>
  <c r="K15" i="126"/>
  <c r="H38" i="126"/>
  <c r="N38" i="126" s="1"/>
  <c r="O16" i="126"/>
  <c r="G17" i="126" s="1"/>
  <c r="J16" i="126"/>
  <c r="G40" i="125"/>
  <c r="K15" i="125"/>
  <c r="G16" i="125"/>
  <c r="H41" i="129"/>
  <c r="O41" i="129" s="1"/>
  <c r="G42" i="129" s="1"/>
  <c r="F48" i="129"/>
  <c r="D49" i="129"/>
  <c r="C49" i="129"/>
  <c r="E48" i="129"/>
  <c r="J21" i="129"/>
  <c r="K21" i="129" s="1"/>
  <c r="O21" i="129"/>
  <c r="G22" i="129" s="1"/>
  <c r="F47" i="126"/>
  <c r="E47" i="126"/>
  <c r="D48" i="126"/>
  <c r="C48" i="126"/>
  <c r="F22" i="126"/>
  <c r="E22" i="126"/>
  <c r="D23" i="126"/>
  <c r="C23" i="126"/>
  <c r="B23" i="126" s="1"/>
  <c r="E48" i="125"/>
  <c r="F48" i="125"/>
  <c r="D49" i="125"/>
  <c r="C49" i="125"/>
  <c r="F22" i="125"/>
  <c r="D23" i="125"/>
  <c r="E22" i="125"/>
  <c r="C23" i="125"/>
  <c r="B23" i="125" s="1"/>
  <c r="E21" i="124"/>
  <c r="D22" i="124"/>
  <c r="C22" i="124"/>
  <c r="B22" i="124" s="1"/>
  <c r="F21" i="124"/>
  <c r="C49" i="124"/>
  <c r="F48" i="124"/>
  <c r="E48" i="124"/>
  <c r="D49" i="124"/>
  <c r="O22" i="129" l="1"/>
  <c r="G23" i="129" s="1"/>
  <c r="K23" i="129" s="1"/>
  <c r="M23" i="129" s="1"/>
  <c r="K22" i="129"/>
  <c r="M22" i="129" s="1"/>
  <c r="E23" i="129"/>
  <c r="D24" i="129"/>
  <c r="F23" i="129"/>
  <c r="C24" i="129"/>
  <c r="B24" i="129" s="1"/>
  <c r="B113" i="168"/>
  <c r="D113" i="168"/>
  <c r="E113" i="168"/>
  <c r="C113" i="168"/>
  <c r="M21" i="129"/>
  <c r="C114" i="168"/>
  <c r="M36" i="132"/>
  <c r="P36" i="132" s="1"/>
  <c r="D109" i="168"/>
  <c r="M37" i="132"/>
  <c r="E109" i="168"/>
  <c r="M15" i="126"/>
  <c r="N37" i="132"/>
  <c r="O38" i="126"/>
  <c r="G39" i="126" s="1"/>
  <c r="J38" i="132"/>
  <c r="O38" i="132"/>
  <c r="G39" i="132" s="1"/>
  <c r="E46" i="132"/>
  <c r="F46" i="132"/>
  <c r="D47" i="132"/>
  <c r="C47" i="132"/>
  <c r="B47" i="132" s="1"/>
  <c r="G40" i="124"/>
  <c r="N39" i="124"/>
  <c r="N21" i="129"/>
  <c r="N41" i="129"/>
  <c r="K16" i="126"/>
  <c r="J17" i="126"/>
  <c r="O17" i="126"/>
  <c r="G18" i="126" s="1"/>
  <c r="N16" i="126"/>
  <c r="H40" i="125"/>
  <c r="O40" i="125" s="1"/>
  <c r="M15" i="125"/>
  <c r="O16" i="125"/>
  <c r="J16" i="125"/>
  <c r="N16" i="125" s="1"/>
  <c r="H42" i="129"/>
  <c r="N42" i="129" s="1"/>
  <c r="E49" i="129"/>
  <c r="F49" i="129"/>
  <c r="D50" i="129"/>
  <c r="C50" i="129"/>
  <c r="E23" i="126"/>
  <c r="F23" i="126"/>
  <c r="D24" i="126"/>
  <c r="C24" i="126"/>
  <c r="B24" i="126" s="1"/>
  <c r="F48" i="126"/>
  <c r="D49" i="126"/>
  <c r="C49" i="126"/>
  <c r="E48" i="126"/>
  <c r="F49" i="125"/>
  <c r="C50" i="125"/>
  <c r="D50" i="125"/>
  <c r="E49" i="125"/>
  <c r="D24" i="125"/>
  <c r="F23" i="125"/>
  <c r="E23" i="125"/>
  <c r="C24" i="125"/>
  <c r="B24" i="125" s="1"/>
  <c r="C23" i="124"/>
  <c r="B23" i="124" s="1"/>
  <c r="F22" i="124"/>
  <c r="E22" i="124"/>
  <c r="D23" i="124"/>
  <c r="F49" i="124"/>
  <c r="D50" i="124"/>
  <c r="C50" i="124"/>
  <c r="E49" i="124"/>
  <c r="N22" i="129" l="1"/>
  <c r="C25" i="129"/>
  <c r="B25" i="129" s="1"/>
  <c r="E24" i="129"/>
  <c r="D25" i="129"/>
  <c r="F24" i="129"/>
  <c r="O23" i="129"/>
  <c r="G24" i="129" s="1"/>
  <c r="K24" i="129" s="1"/>
  <c r="M24" i="129" s="1"/>
  <c r="F113" i="168"/>
  <c r="F109" i="168"/>
  <c r="D114" i="168"/>
  <c r="P37" i="132"/>
  <c r="M16" i="126"/>
  <c r="K38" i="132"/>
  <c r="N38" i="132"/>
  <c r="J39" i="132"/>
  <c r="K39" i="132" s="1"/>
  <c r="O39" i="132"/>
  <c r="G40" i="132" s="1"/>
  <c r="E47" i="132"/>
  <c r="F47" i="132"/>
  <c r="D48" i="132"/>
  <c r="H108" i="168" s="1"/>
  <c r="I108" i="168" s="1"/>
  <c r="C48" i="132"/>
  <c r="B48" i="132" s="1"/>
  <c r="O42" i="129"/>
  <c r="G43" i="129" s="1"/>
  <c r="N43" i="129" s="1"/>
  <c r="H64" i="129"/>
  <c r="H40" i="124"/>
  <c r="N40" i="124" s="1"/>
  <c r="O18" i="126"/>
  <c r="G19" i="126" s="1"/>
  <c r="J18" i="126"/>
  <c r="N18" i="126" s="1"/>
  <c r="H39" i="126"/>
  <c r="O39" i="126" s="1"/>
  <c r="G40" i="126" s="1"/>
  <c r="K17" i="126"/>
  <c r="N17" i="126"/>
  <c r="G41" i="125"/>
  <c r="N40" i="125"/>
  <c r="K16" i="125"/>
  <c r="G17" i="125"/>
  <c r="D51" i="129"/>
  <c r="F50" i="129"/>
  <c r="E50" i="129"/>
  <c r="C51" i="129"/>
  <c r="F49" i="126"/>
  <c r="D50" i="126"/>
  <c r="E49" i="126"/>
  <c r="C50" i="126"/>
  <c r="F24" i="126"/>
  <c r="C25" i="126"/>
  <c r="B25" i="126" s="1"/>
  <c r="D25" i="126"/>
  <c r="E24" i="126"/>
  <c r="D51" i="125"/>
  <c r="F50" i="125"/>
  <c r="E50" i="125"/>
  <c r="C51" i="125"/>
  <c r="F24" i="125"/>
  <c r="D25" i="125"/>
  <c r="E24" i="125"/>
  <c r="C25" i="125"/>
  <c r="B25" i="125" s="1"/>
  <c r="F23" i="124"/>
  <c r="D24" i="124"/>
  <c r="C24" i="124"/>
  <c r="B24" i="124" s="1"/>
  <c r="E23" i="124"/>
  <c r="D51" i="124"/>
  <c r="F50" i="124"/>
  <c r="E50" i="124"/>
  <c r="C51" i="124"/>
  <c r="M39" i="132" l="1"/>
  <c r="M38" i="132"/>
  <c r="P38" i="132" s="1"/>
  <c r="N24" i="129"/>
  <c r="O24" i="129"/>
  <c r="G25" i="129" s="1"/>
  <c r="K25" i="129" s="1"/>
  <c r="M25" i="129" s="1"/>
  <c r="C26" i="129"/>
  <c r="B26" i="129" s="1"/>
  <c r="E25" i="129"/>
  <c r="D26" i="129"/>
  <c r="F25" i="129"/>
  <c r="N23" i="129"/>
  <c r="E114" i="168"/>
  <c r="F114" i="168" s="1"/>
  <c r="M17" i="126"/>
  <c r="O40" i="124"/>
  <c r="G41" i="124" s="1"/>
  <c r="H41" i="124" s="1"/>
  <c r="N41" i="124" s="1"/>
  <c r="O40" i="132"/>
  <c r="G41" i="132" s="1"/>
  <c r="J40" i="132"/>
  <c r="K40" i="132" s="1"/>
  <c r="N39" i="132"/>
  <c r="F48" i="132"/>
  <c r="E48" i="132"/>
  <c r="H40" i="126"/>
  <c r="O40" i="126" s="1"/>
  <c r="G41" i="126" s="1"/>
  <c r="N39" i="126"/>
  <c r="K18" i="126"/>
  <c r="J19" i="126"/>
  <c r="K19" i="126" s="1"/>
  <c r="O19" i="126"/>
  <c r="G20" i="126" s="1"/>
  <c r="H41" i="125"/>
  <c r="M16" i="125"/>
  <c r="O17" i="125"/>
  <c r="J17" i="125"/>
  <c r="N17" i="125" s="1"/>
  <c r="F51" i="129"/>
  <c r="D52" i="129"/>
  <c r="E51" i="129"/>
  <c r="C52" i="129"/>
  <c r="F50" i="126"/>
  <c r="D51" i="126"/>
  <c r="E50" i="126"/>
  <c r="C51" i="126"/>
  <c r="D26" i="126"/>
  <c r="E25" i="126"/>
  <c r="C26" i="126"/>
  <c r="B26" i="126" s="1"/>
  <c r="F25" i="126"/>
  <c r="D26" i="125"/>
  <c r="E25" i="125"/>
  <c r="C26" i="125"/>
  <c r="B26" i="125" s="1"/>
  <c r="F25" i="125"/>
  <c r="D52" i="125"/>
  <c r="F51" i="125"/>
  <c r="C52" i="125"/>
  <c r="E51" i="125"/>
  <c r="F24" i="124"/>
  <c r="D25" i="124"/>
  <c r="E24" i="124"/>
  <c r="C25" i="124"/>
  <c r="B25" i="124" s="1"/>
  <c r="F51" i="124"/>
  <c r="D52" i="124"/>
  <c r="E51" i="124"/>
  <c r="C52" i="124"/>
  <c r="P39" i="132" l="1"/>
  <c r="M40" i="132"/>
  <c r="O25" i="129"/>
  <c r="G26" i="129" s="1"/>
  <c r="K26" i="129" s="1"/>
  <c r="M26" i="129" s="1"/>
  <c r="F26" i="129"/>
  <c r="C27" i="129"/>
  <c r="B27" i="129" s="1"/>
  <c r="D27" i="129"/>
  <c r="E26" i="129"/>
  <c r="M19" i="126"/>
  <c r="B69" i="168"/>
  <c r="M18" i="126"/>
  <c r="O41" i="124"/>
  <c r="G42" i="124" s="1"/>
  <c r="H42" i="124" s="1"/>
  <c r="N40" i="132"/>
  <c r="O41" i="132"/>
  <c r="G42" i="132" s="1"/>
  <c r="J41" i="132"/>
  <c r="K41" i="132" s="1"/>
  <c r="N40" i="126"/>
  <c r="J20" i="126"/>
  <c r="K20" i="126" s="1"/>
  <c r="O20" i="126"/>
  <c r="G21" i="126" s="1"/>
  <c r="N19" i="126"/>
  <c r="H41" i="126"/>
  <c r="N41" i="126" s="1"/>
  <c r="N41" i="125"/>
  <c r="O41" i="125"/>
  <c r="G42" i="125" s="1"/>
  <c r="K17" i="125"/>
  <c r="G18" i="125"/>
  <c r="D53" i="129"/>
  <c r="E52" i="129"/>
  <c r="C53" i="129"/>
  <c r="F52" i="129"/>
  <c r="D52" i="126"/>
  <c r="E51" i="126"/>
  <c r="C52" i="126"/>
  <c r="F51" i="126"/>
  <c r="C27" i="126"/>
  <c r="B27" i="126" s="1"/>
  <c r="D27" i="126"/>
  <c r="F26" i="126"/>
  <c r="E26" i="126"/>
  <c r="F52" i="125"/>
  <c r="D53" i="125"/>
  <c r="E52" i="125"/>
  <c r="C53" i="125"/>
  <c r="C27" i="125"/>
  <c r="B27" i="125" s="1"/>
  <c r="D27" i="125"/>
  <c r="E26" i="125"/>
  <c r="F26" i="125"/>
  <c r="F25" i="124"/>
  <c r="E25" i="124"/>
  <c r="C26" i="124"/>
  <c r="B26" i="124" s="1"/>
  <c r="D26" i="124"/>
  <c r="D53" i="124"/>
  <c r="E52" i="124"/>
  <c r="C53" i="124"/>
  <c r="F52" i="124"/>
  <c r="M41" i="132" l="1"/>
  <c r="P40" i="132"/>
  <c r="O26" i="129"/>
  <c r="G27" i="129" s="1"/>
  <c r="K27" i="129" s="1"/>
  <c r="M27" i="129" s="1"/>
  <c r="E27" i="129"/>
  <c r="D28" i="129"/>
  <c r="F27" i="129"/>
  <c r="C28" i="129"/>
  <c r="B28" i="129" s="1"/>
  <c r="N25" i="129"/>
  <c r="M20" i="126"/>
  <c r="C69" i="168"/>
  <c r="N41" i="132"/>
  <c r="O42" i="132"/>
  <c r="G43" i="132" s="1"/>
  <c r="J42" i="132"/>
  <c r="K42" i="132" s="1"/>
  <c r="M42" i="132" s="1"/>
  <c r="O42" i="124"/>
  <c r="G43" i="124" s="1"/>
  <c r="H64" i="124"/>
  <c r="N42" i="124"/>
  <c r="N20" i="126"/>
  <c r="J21" i="126"/>
  <c r="K21" i="126" s="1"/>
  <c r="O21" i="126"/>
  <c r="G22" i="126" s="1"/>
  <c r="O41" i="126"/>
  <c r="G42" i="126" s="1"/>
  <c r="N42" i="126" s="1"/>
  <c r="H63" i="126"/>
  <c r="H42" i="125"/>
  <c r="M17" i="125"/>
  <c r="O18" i="125"/>
  <c r="J18" i="125"/>
  <c r="N18" i="125" s="1"/>
  <c r="C54" i="129"/>
  <c r="D54" i="129"/>
  <c r="E53" i="129"/>
  <c r="F53" i="129"/>
  <c r="D28" i="126"/>
  <c r="C28" i="126"/>
  <c r="B28" i="126" s="1"/>
  <c r="E27" i="126"/>
  <c r="F27" i="126"/>
  <c r="C53" i="126"/>
  <c r="E52" i="126"/>
  <c r="D53" i="126"/>
  <c r="F52" i="126"/>
  <c r="C28" i="125"/>
  <c r="B28" i="125" s="1"/>
  <c r="D28" i="125"/>
  <c r="F27" i="125"/>
  <c r="E27" i="125"/>
  <c r="D54" i="125"/>
  <c r="E53" i="125"/>
  <c r="C54" i="125"/>
  <c r="F53" i="125"/>
  <c r="C54" i="124"/>
  <c r="D54" i="124"/>
  <c r="E53" i="124"/>
  <c r="F53" i="124"/>
  <c r="D27" i="124"/>
  <c r="E26" i="124"/>
  <c r="C27" i="124"/>
  <c r="B27" i="124" s="1"/>
  <c r="F26" i="124"/>
  <c r="P41" i="132" l="1"/>
  <c r="N26" i="129"/>
  <c r="C29" i="129"/>
  <c r="B29" i="129" s="1"/>
  <c r="E28" i="129"/>
  <c r="D29" i="129"/>
  <c r="F28" i="129"/>
  <c r="O27" i="129"/>
  <c r="G28" i="129" s="1"/>
  <c r="K28" i="129" s="1"/>
  <c r="M28" i="129" s="1"/>
  <c r="M21" i="126"/>
  <c r="D69" i="168"/>
  <c r="N42" i="132"/>
  <c r="P42" i="132" s="1"/>
  <c r="J43" i="132"/>
  <c r="K43" i="132" s="1"/>
  <c r="M43" i="132" s="1"/>
  <c r="O43" i="132"/>
  <c r="G44" i="132" s="1"/>
  <c r="J43" i="124"/>
  <c r="N21" i="126"/>
  <c r="J22" i="126"/>
  <c r="K22" i="126" s="1"/>
  <c r="O22" i="126"/>
  <c r="G23" i="126" s="1"/>
  <c r="N42" i="125"/>
  <c r="O42" i="125"/>
  <c r="G43" i="125" s="1"/>
  <c r="K18" i="125"/>
  <c r="M18" i="125" s="1"/>
  <c r="G19" i="125"/>
  <c r="C55" i="129"/>
  <c r="E54" i="129"/>
  <c r="F54" i="129"/>
  <c r="D55" i="129"/>
  <c r="C54" i="126"/>
  <c r="F53" i="126"/>
  <c r="D54" i="126"/>
  <c r="E53" i="126"/>
  <c r="E28" i="126"/>
  <c r="D29" i="126"/>
  <c r="H68" i="168" s="1"/>
  <c r="I68" i="168" s="1"/>
  <c r="C29" i="126"/>
  <c r="B29" i="126" s="1"/>
  <c r="F28" i="126"/>
  <c r="D29" i="125"/>
  <c r="C29" i="125"/>
  <c r="B29" i="125" s="1"/>
  <c r="F28" i="125"/>
  <c r="E28" i="125"/>
  <c r="C55" i="125"/>
  <c r="D55" i="125"/>
  <c r="E54" i="125"/>
  <c r="F54" i="125"/>
  <c r="C55" i="124"/>
  <c r="F54" i="124"/>
  <c r="E54" i="124"/>
  <c r="D55" i="124"/>
  <c r="C28" i="124"/>
  <c r="B28" i="124" s="1"/>
  <c r="D28" i="124"/>
  <c r="E27" i="124"/>
  <c r="F27" i="124"/>
  <c r="N27" i="129" l="1"/>
  <c r="C30" i="129"/>
  <c r="B30" i="129" s="1"/>
  <c r="E29" i="129"/>
  <c r="D30" i="129"/>
  <c r="F29" i="129"/>
  <c r="O28" i="129"/>
  <c r="G29" i="129" s="1"/>
  <c r="K29" i="129" s="1"/>
  <c r="M29" i="129" s="1"/>
  <c r="M22" i="126"/>
  <c r="E69" i="168"/>
  <c r="F69" i="168" s="1"/>
  <c r="N43" i="132"/>
  <c r="P43" i="132" s="1"/>
  <c r="J44" i="132"/>
  <c r="K44" i="132" s="1"/>
  <c r="M44" i="132" s="1"/>
  <c r="O44" i="132"/>
  <c r="G45" i="132" s="1"/>
  <c r="K43" i="124"/>
  <c r="N43" i="124"/>
  <c r="N22" i="126"/>
  <c r="O23" i="126"/>
  <c r="G24" i="126" s="1"/>
  <c r="J23" i="126"/>
  <c r="K23" i="126" s="1"/>
  <c r="H43" i="125"/>
  <c r="O19" i="125"/>
  <c r="J19" i="125"/>
  <c r="D56" i="129"/>
  <c r="C56" i="129"/>
  <c r="F55" i="129"/>
  <c r="E55" i="129"/>
  <c r="E29" i="126"/>
  <c r="F29" i="126"/>
  <c r="F54" i="126"/>
  <c r="D55" i="126"/>
  <c r="E54" i="126"/>
  <c r="C55" i="126"/>
  <c r="C56" i="125"/>
  <c r="E55" i="125"/>
  <c r="D56" i="125"/>
  <c r="F55" i="125"/>
  <c r="E29" i="125"/>
  <c r="D30" i="125"/>
  <c r="C30" i="125"/>
  <c r="B30" i="125" s="1"/>
  <c r="F29" i="125"/>
  <c r="C56" i="124"/>
  <c r="F55" i="124"/>
  <c r="E55" i="124"/>
  <c r="D56" i="124"/>
  <c r="C29" i="124"/>
  <c r="B29" i="124" s="1"/>
  <c r="F28" i="124"/>
  <c r="E28" i="124"/>
  <c r="D29" i="124"/>
  <c r="M23" i="126" l="1"/>
  <c r="N29" i="129"/>
  <c r="O29" i="129"/>
  <c r="G30" i="129" s="1"/>
  <c r="K30" i="129" s="1"/>
  <c r="M30" i="129" s="1"/>
  <c r="F30" i="129"/>
  <c r="E30" i="129"/>
  <c r="H113" i="168"/>
  <c r="I113" i="168" s="1"/>
  <c r="N28" i="129"/>
  <c r="N44" i="132"/>
  <c r="P44" i="132" s="1"/>
  <c r="J45" i="132"/>
  <c r="K45" i="132" s="1"/>
  <c r="M45" i="132" s="1"/>
  <c r="O45" i="132"/>
  <c r="G46" i="132" s="1"/>
  <c r="M43" i="124"/>
  <c r="N19" i="125"/>
  <c r="N23" i="126"/>
  <c r="J24" i="126"/>
  <c r="K24" i="126" s="1"/>
  <c r="O24" i="126"/>
  <c r="G25" i="126" s="1"/>
  <c r="O43" i="125"/>
  <c r="G44" i="125" s="1"/>
  <c r="H65" i="125"/>
  <c r="I55" i="125"/>
  <c r="I45" i="125"/>
  <c r="I57" i="125"/>
  <c r="I58" i="125"/>
  <c r="I52" i="125"/>
  <c r="I56" i="125"/>
  <c r="I53" i="125"/>
  <c r="I62" i="125"/>
  <c r="I60" i="125"/>
  <c r="I50" i="125"/>
  <c r="I54" i="125"/>
  <c r="I48" i="125"/>
  <c r="I44" i="125"/>
  <c r="I49" i="125"/>
  <c r="I51" i="125"/>
  <c r="I59" i="125"/>
  <c r="I47" i="125"/>
  <c r="I63" i="125"/>
  <c r="I46" i="125"/>
  <c r="I61" i="125"/>
  <c r="N43" i="125"/>
  <c r="K19" i="125"/>
  <c r="M19" i="125" s="1"/>
  <c r="G20" i="125"/>
  <c r="F56" i="129"/>
  <c r="D57" i="129"/>
  <c r="E56" i="129"/>
  <c r="C57" i="129"/>
  <c r="F55" i="126"/>
  <c r="D56" i="126"/>
  <c r="E55" i="126"/>
  <c r="C56" i="126"/>
  <c r="D57" i="125"/>
  <c r="C57" i="125"/>
  <c r="F56" i="125"/>
  <c r="E56" i="125"/>
  <c r="F30" i="125"/>
  <c r="E30" i="125"/>
  <c r="D31" i="125"/>
  <c r="H8" i="168" s="1"/>
  <c r="I8" i="168" s="1"/>
  <c r="C31" i="125"/>
  <c r="B31" i="125" s="1"/>
  <c r="D57" i="124"/>
  <c r="C57" i="124"/>
  <c r="F56" i="124"/>
  <c r="E56" i="124"/>
  <c r="C30" i="124"/>
  <c r="B30" i="124" s="1"/>
  <c r="F29" i="124"/>
  <c r="E29" i="124"/>
  <c r="D30" i="124"/>
  <c r="H13" i="168" s="1"/>
  <c r="I13" i="168" s="1"/>
  <c r="M24" i="126" l="1"/>
  <c r="G32" i="129"/>
  <c r="O30" i="129"/>
  <c r="O32" i="129" s="1"/>
  <c r="N30" i="129"/>
  <c r="N45" i="132"/>
  <c r="P45" i="132" s="1"/>
  <c r="O46" i="132"/>
  <c r="G47" i="132" s="1"/>
  <c r="J46" i="132"/>
  <c r="K46" i="132" s="1"/>
  <c r="M46" i="132" s="1"/>
  <c r="N24" i="126"/>
  <c r="O25" i="126"/>
  <c r="G26" i="126" s="1"/>
  <c r="J25" i="126"/>
  <c r="K25" i="126" s="1"/>
  <c r="J44" i="125"/>
  <c r="O44" i="125"/>
  <c r="G45" i="125" s="1"/>
  <c r="I65" i="125"/>
  <c r="O20" i="125"/>
  <c r="J20" i="125"/>
  <c r="F57" i="129"/>
  <c r="D58" i="129"/>
  <c r="E57" i="129"/>
  <c r="C58" i="129"/>
  <c r="F56" i="126"/>
  <c r="D57" i="126"/>
  <c r="E56" i="126"/>
  <c r="C57" i="126"/>
  <c r="E31" i="125"/>
  <c r="F31" i="125"/>
  <c r="F57" i="125"/>
  <c r="E57" i="125"/>
  <c r="D58" i="125"/>
  <c r="C58" i="125"/>
  <c r="F30" i="124"/>
  <c r="E30" i="124"/>
  <c r="F57" i="124"/>
  <c r="E57" i="124"/>
  <c r="D58" i="124"/>
  <c r="C58" i="124"/>
  <c r="M25" i="126" l="1"/>
  <c r="N32" i="129"/>
  <c r="N46" i="132"/>
  <c r="P46" i="132" s="1"/>
  <c r="J47" i="132"/>
  <c r="K47" i="132" s="1"/>
  <c r="M47" i="132" s="1"/>
  <c r="O47" i="132"/>
  <c r="G48" i="132" s="1"/>
  <c r="J32" i="129"/>
  <c r="N20" i="125"/>
  <c r="N25" i="126"/>
  <c r="O26" i="126"/>
  <c r="G27" i="126" s="1"/>
  <c r="J26" i="126"/>
  <c r="K26" i="126" s="1"/>
  <c r="N44" i="125"/>
  <c r="J45" i="125"/>
  <c r="N45" i="125" s="1"/>
  <c r="O45" i="125"/>
  <c r="G46" i="125" s="1"/>
  <c r="K20" i="125"/>
  <c r="M20" i="125" s="1"/>
  <c r="G21" i="125"/>
  <c r="F58" i="129"/>
  <c r="D59" i="129"/>
  <c r="E58" i="129"/>
  <c r="C59" i="129"/>
  <c r="F57" i="126"/>
  <c r="D58" i="126"/>
  <c r="E57" i="126"/>
  <c r="C58" i="126"/>
  <c r="E58" i="125"/>
  <c r="F58" i="125"/>
  <c r="D59" i="125"/>
  <c r="C59" i="125"/>
  <c r="D59" i="124"/>
  <c r="F58" i="124"/>
  <c r="E58" i="124"/>
  <c r="C59" i="124"/>
  <c r="M26" i="126" l="1"/>
  <c r="N47" i="132"/>
  <c r="P47" i="132" s="1"/>
  <c r="O48" i="132"/>
  <c r="J48" i="132"/>
  <c r="K48" i="132" s="1"/>
  <c r="M48" i="132" s="1"/>
  <c r="M32" i="129"/>
  <c r="K32" i="129"/>
  <c r="N26" i="126"/>
  <c r="O27" i="126"/>
  <c r="G28" i="126" s="1"/>
  <c r="J27" i="126"/>
  <c r="K27" i="126" s="1"/>
  <c r="M27" i="126" s="1"/>
  <c r="O46" i="125"/>
  <c r="G47" i="125" s="1"/>
  <c r="J46" i="125"/>
  <c r="N46" i="125" s="1"/>
  <c r="O21" i="125"/>
  <c r="J21" i="125"/>
  <c r="F59" i="129"/>
  <c r="D60" i="129"/>
  <c r="E59" i="129"/>
  <c r="C60" i="129"/>
  <c r="F58" i="126"/>
  <c r="D59" i="126"/>
  <c r="E58" i="126"/>
  <c r="C59" i="126"/>
  <c r="D60" i="125"/>
  <c r="F59" i="125"/>
  <c r="E59" i="125"/>
  <c r="C60" i="125"/>
  <c r="F59" i="124"/>
  <c r="C60" i="124"/>
  <c r="D60" i="124"/>
  <c r="E59" i="124"/>
  <c r="N48" i="132" l="1"/>
  <c r="P48" i="132" s="1"/>
  <c r="N21" i="125"/>
  <c r="N27" i="126"/>
  <c r="J28" i="126"/>
  <c r="K28" i="126" s="1"/>
  <c r="M28" i="126" s="1"/>
  <c r="O28" i="126"/>
  <c r="G29" i="126" s="1"/>
  <c r="O47" i="125"/>
  <c r="G48" i="125" s="1"/>
  <c r="J47" i="125"/>
  <c r="N47" i="125" s="1"/>
  <c r="K21" i="125"/>
  <c r="M21" i="125" s="1"/>
  <c r="G22" i="125"/>
  <c r="D61" i="129"/>
  <c r="E60" i="129"/>
  <c r="C61" i="129"/>
  <c r="F60" i="129"/>
  <c r="D60" i="126"/>
  <c r="E59" i="126"/>
  <c r="C60" i="126"/>
  <c r="F59" i="126"/>
  <c r="F60" i="125"/>
  <c r="D61" i="125"/>
  <c r="E60" i="125"/>
  <c r="C61" i="125"/>
  <c r="D61" i="124"/>
  <c r="E60" i="124"/>
  <c r="C61" i="124"/>
  <c r="F60" i="124"/>
  <c r="N28" i="126" l="1"/>
  <c r="G31" i="126"/>
  <c r="J29" i="126"/>
  <c r="N29" i="126" s="1"/>
  <c r="O29" i="126"/>
  <c r="O31" i="126" s="1"/>
  <c r="J48" i="125"/>
  <c r="O48" i="125"/>
  <c r="G49" i="125" s="1"/>
  <c r="O22" i="125"/>
  <c r="J22" i="125"/>
  <c r="C62" i="129"/>
  <c r="D62" i="129"/>
  <c r="E61" i="129"/>
  <c r="F61" i="129"/>
  <c r="C61" i="126"/>
  <c r="D61" i="126"/>
  <c r="E60" i="126"/>
  <c r="F60" i="126"/>
  <c r="D62" i="125"/>
  <c r="E61" i="125"/>
  <c r="C62" i="125"/>
  <c r="F61" i="125"/>
  <c r="C62" i="124"/>
  <c r="D62" i="124"/>
  <c r="E61" i="124"/>
  <c r="F61" i="124"/>
  <c r="O50" i="132" l="1"/>
  <c r="G50" i="132"/>
  <c r="N31" i="126"/>
  <c r="N22" i="125"/>
  <c r="K29" i="126"/>
  <c r="J31" i="126"/>
  <c r="N48" i="125"/>
  <c r="J49" i="125"/>
  <c r="N49" i="125" s="1"/>
  <c r="O49" i="125"/>
  <c r="G50" i="125" s="1"/>
  <c r="K22" i="125"/>
  <c r="M22" i="125" s="1"/>
  <c r="G23" i="125"/>
  <c r="F62" i="129"/>
  <c r="E62" i="129"/>
  <c r="F61" i="126"/>
  <c r="E61" i="126"/>
  <c r="C63" i="125"/>
  <c r="D63" i="125"/>
  <c r="E62" i="125"/>
  <c r="F62" i="125"/>
  <c r="F62" i="124"/>
  <c r="E62" i="124"/>
  <c r="B68" i="168" l="1"/>
  <c r="E68" i="168"/>
  <c r="D68" i="168"/>
  <c r="C68" i="168"/>
  <c r="P50" i="132"/>
  <c r="J50" i="132"/>
  <c r="N50" i="132"/>
  <c r="M29" i="126"/>
  <c r="K31" i="126"/>
  <c r="J50" i="125"/>
  <c r="N50" i="125" s="1"/>
  <c r="O50" i="125"/>
  <c r="G51" i="125" s="1"/>
  <c r="O23" i="125"/>
  <c r="J23" i="125"/>
  <c r="N23" i="125" s="1"/>
  <c r="E63" i="125"/>
  <c r="F63" i="125"/>
  <c r="F68" i="168" l="1"/>
  <c r="M31" i="126"/>
  <c r="M50" i="132"/>
  <c r="K50" i="132"/>
  <c r="J51" i="125"/>
  <c r="N51" i="125" s="1"/>
  <c r="O51" i="125"/>
  <c r="G52" i="125" s="1"/>
  <c r="K23" i="125"/>
  <c r="G24" i="125"/>
  <c r="M23" i="125" l="1"/>
  <c r="O52" i="125"/>
  <c r="G53" i="125" s="1"/>
  <c r="J52" i="125"/>
  <c r="N52" i="125" s="1"/>
  <c r="O24" i="125"/>
  <c r="J24" i="125"/>
  <c r="N24" i="125" s="1"/>
  <c r="O53" i="125" l="1"/>
  <c r="G54" i="125" s="1"/>
  <c r="J53" i="125"/>
  <c r="N53" i="125" s="1"/>
  <c r="K24" i="125"/>
  <c r="G25" i="125"/>
  <c r="M24" i="125" l="1"/>
  <c r="O54" i="125"/>
  <c r="G55" i="125" s="1"/>
  <c r="J54" i="125"/>
  <c r="N54" i="125" s="1"/>
  <c r="O25" i="125"/>
  <c r="J25" i="125"/>
  <c r="N25" i="125" s="1"/>
  <c r="G417" i="120"/>
  <c r="C417" i="120"/>
  <c r="D417" i="120" s="1"/>
  <c r="G389" i="120"/>
  <c r="C389" i="120"/>
  <c r="D389" i="120" s="1"/>
  <c r="G361" i="120"/>
  <c r="C361" i="120"/>
  <c r="D361" i="120" s="1"/>
  <c r="G332" i="120"/>
  <c r="C332" i="120"/>
  <c r="D332" i="120" s="1"/>
  <c r="G303" i="120"/>
  <c r="C303" i="120"/>
  <c r="D303" i="120" s="1"/>
  <c r="G274" i="120"/>
  <c r="C274" i="120"/>
  <c r="D274" i="120" s="1"/>
  <c r="G245" i="120"/>
  <c r="C245" i="120"/>
  <c r="D245" i="120" s="1"/>
  <c r="F245" i="120" s="1"/>
  <c r="G215" i="120"/>
  <c r="C215" i="120"/>
  <c r="D215" i="120" s="1"/>
  <c r="G185" i="120"/>
  <c r="C185" i="120"/>
  <c r="D185" i="120" s="1"/>
  <c r="C155" i="120"/>
  <c r="D155" i="120" s="1"/>
  <c r="G155" i="120"/>
  <c r="G124" i="120"/>
  <c r="G92" i="120"/>
  <c r="C124" i="120"/>
  <c r="D124" i="120" s="1"/>
  <c r="C92" i="120"/>
  <c r="D92" i="120" s="1"/>
  <c r="A64" i="120"/>
  <c r="B64" i="120" s="1"/>
  <c r="D30" i="120"/>
  <c r="D33" i="120" s="1"/>
  <c r="E30" i="120"/>
  <c r="E33" i="120" s="1"/>
  <c r="C30" i="120"/>
  <c r="F3" i="120"/>
  <c r="F4" i="120"/>
  <c r="F5" i="120"/>
  <c r="F6" i="120"/>
  <c r="F7" i="120"/>
  <c r="F8" i="120"/>
  <c r="F9" i="120"/>
  <c r="F10" i="120"/>
  <c r="F11" i="120"/>
  <c r="F12" i="120"/>
  <c r="F13" i="120"/>
  <c r="F14" i="120"/>
  <c r="F15" i="120"/>
  <c r="F16" i="120"/>
  <c r="F17" i="120"/>
  <c r="F18" i="120"/>
  <c r="F19" i="120"/>
  <c r="F20" i="120"/>
  <c r="F21" i="120"/>
  <c r="F22" i="120"/>
  <c r="F23" i="120"/>
  <c r="F24" i="120"/>
  <c r="F25" i="120"/>
  <c r="F26" i="120"/>
  <c r="F27" i="120"/>
  <c r="F28" i="120"/>
  <c r="F29" i="120"/>
  <c r="C37" i="120"/>
  <c r="D37" i="120" s="1"/>
  <c r="D38" i="120" s="1"/>
  <c r="F2" i="120"/>
  <c r="G18" i="168" l="1"/>
  <c r="L224" i="120"/>
  <c r="L340" i="120"/>
  <c r="L134" i="120"/>
  <c r="L194" i="120"/>
  <c r="L253" i="120"/>
  <c r="L311" i="120"/>
  <c r="L368" i="120"/>
  <c r="L164" i="120"/>
  <c r="L282" i="120"/>
  <c r="L396" i="120"/>
  <c r="L424" i="120"/>
  <c r="L102" i="120"/>
  <c r="C33" i="120"/>
  <c r="O55" i="125"/>
  <c r="G56" i="125" s="1"/>
  <c r="J55" i="125"/>
  <c r="N55" i="125" s="1"/>
  <c r="K25" i="125"/>
  <c r="G26" i="125"/>
  <c r="L349" i="120"/>
  <c r="L42" i="120"/>
  <c r="L106" i="120"/>
  <c r="L166" i="120"/>
  <c r="L168" i="120"/>
  <c r="L169" i="120"/>
  <c r="L165" i="120"/>
  <c r="L167" i="120"/>
  <c r="L370" i="120"/>
  <c r="L369" i="120"/>
  <c r="L312" i="120"/>
  <c r="L313" i="120"/>
  <c r="L57" i="120"/>
  <c r="L284" i="120"/>
  <c r="L283" i="120"/>
  <c r="L426" i="120"/>
  <c r="L425" i="120"/>
  <c r="L135" i="120"/>
  <c r="L136" i="120"/>
  <c r="L255" i="120"/>
  <c r="L254" i="120"/>
  <c r="L195" i="120"/>
  <c r="L196" i="120"/>
  <c r="L226" i="120"/>
  <c r="L342" i="120"/>
  <c r="L341" i="120"/>
  <c r="L428" i="120"/>
  <c r="D39" i="120"/>
  <c r="C39" i="120"/>
  <c r="L140" i="120"/>
  <c r="L429" i="120"/>
  <c r="L401" i="120"/>
  <c r="L354" i="120"/>
  <c r="L374" i="120"/>
  <c r="L439" i="120"/>
  <c r="L438" i="120"/>
  <c r="L433" i="120"/>
  <c r="L409" i="120"/>
  <c r="L431" i="120"/>
  <c r="L227" i="120"/>
  <c r="L403" i="120"/>
  <c r="L225" i="120"/>
  <c r="L285" i="120"/>
  <c r="L402" i="120"/>
  <c r="L440" i="120"/>
  <c r="L430" i="120"/>
  <c r="L399" i="120"/>
  <c r="L207" i="120"/>
  <c r="L264" i="120"/>
  <c r="L323" i="120"/>
  <c r="L348" i="120"/>
  <c r="L411" i="120"/>
  <c r="L437" i="120"/>
  <c r="L261" i="120"/>
  <c r="L320" i="120"/>
  <c r="L410" i="120"/>
  <c r="L436" i="120"/>
  <c r="L229" i="120"/>
  <c r="L407" i="120"/>
  <c r="L432" i="120"/>
  <c r="L203" i="120"/>
  <c r="L202" i="120"/>
  <c r="L318" i="120"/>
  <c r="L347" i="120"/>
  <c r="L408" i="120"/>
  <c r="L400" i="120"/>
  <c r="L210" i="120"/>
  <c r="L316" i="120"/>
  <c r="L398" i="120"/>
  <c r="L383" i="120"/>
  <c r="L150" i="120"/>
  <c r="L295" i="120"/>
  <c r="L326" i="120"/>
  <c r="L382" i="120"/>
  <c r="L406" i="120"/>
  <c r="L143" i="120"/>
  <c r="L209" i="120"/>
  <c r="L197" i="120"/>
  <c r="L233" i="120"/>
  <c r="L293" i="120"/>
  <c r="L325" i="120"/>
  <c r="L315" i="120"/>
  <c r="L356" i="120"/>
  <c r="L377" i="120"/>
  <c r="L405" i="120"/>
  <c r="L397" i="120"/>
  <c r="L435" i="120"/>
  <c r="L427" i="120"/>
  <c r="L319" i="120"/>
  <c r="L201" i="120"/>
  <c r="L239" i="120"/>
  <c r="L200" i="120"/>
  <c r="L238" i="120"/>
  <c r="L327" i="120"/>
  <c r="L317" i="120"/>
  <c r="L346" i="120"/>
  <c r="L199" i="120"/>
  <c r="L237" i="120"/>
  <c r="L141" i="120"/>
  <c r="L208" i="120"/>
  <c r="L231" i="120"/>
  <c r="L269" i="120"/>
  <c r="L287" i="120"/>
  <c r="L324" i="120"/>
  <c r="L355" i="120"/>
  <c r="L375" i="120"/>
  <c r="L412" i="120"/>
  <c r="L404" i="120"/>
  <c r="L434" i="120"/>
  <c r="C418" i="120"/>
  <c r="E417" i="120"/>
  <c r="F417" i="120"/>
  <c r="D418" i="120"/>
  <c r="C390" i="120"/>
  <c r="F389" i="120"/>
  <c r="E389" i="120"/>
  <c r="D390" i="120"/>
  <c r="L240" i="120"/>
  <c r="L230" i="120"/>
  <c r="L294" i="120"/>
  <c r="L286" i="120"/>
  <c r="L384" i="120"/>
  <c r="L376" i="120"/>
  <c r="L292" i="120"/>
  <c r="L177" i="120"/>
  <c r="L291" i="120"/>
  <c r="L322" i="120"/>
  <c r="L314" i="120"/>
  <c r="L353" i="120"/>
  <c r="L345" i="120"/>
  <c r="L381" i="120"/>
  <c r="L373" i="120"/>
  <c r="L176" i="120"/>
  <c r="L205" i="120"/>
  <c r="L235" i="120"/>
  <c r="L262" i="120"/>
  <c r="L298" i="120"/>
  <c r="L290" i="120"/>
  <c r="L321" i="120"/>
  <c r="L352" i="120"/>
  <c r="L344" i="120"/>
  <c r="L380" i="120"/>
  <c r="L372" i="120"/>
  <c r="L297" i="120"/>
  <c r="L289" i="120"/>
  <c r="L351" i="120"/>
  <c r="L343" i="120"/>
  <c r="L379" i="120"/>
  <c r="L371" i="120"/>
  <c r="L232" i="120"/>
  <c r="L256" i="120"/>
  <c r="L296" i="120"/>
  <c r="L288" i="120"/>
  <c r="L350" i="120"/>
  <c r="L378" i="120"/>
  <c r="F361" i="120"/>
  <c r="C362" i="120"/>
  <c r="D362" i="120"/>
  <c r="E361" i="120"/>
  <c r="E332" i="120"/>
  <c r="D333" i="120"/>
  <c r="F332" i="120"/>
  <c r="C333" i="120"/>
  <c r="D304" i="120"/>
  <c r="C304" i="120"/>
  <c r="F303" i="120"/>
  <c r="E303" i="120"/>
  <c r="E274" i="120"/>
  <c r="D275" i="120"/>
  <c r="F274" i="120"/>
  <c r="C275" i="120"/>
  <c r="L149" i="120"/>
  <c r="L139" i="120"/>
  <c r="L260" i="120"/>
  <c r="L148" i="120"/>
  <c r="L138" i="120"/>
  <c r="L266" i="120"/>
  <c r="L258" i="120"/>
  <c r="L268" i="120"/>
  <c r="L267" i="120"/>
  <c r="L259" i="120"/>
  <c r="L115" i="120"/>
  <c r="L147" i="120"/>
  <c r="L114" i="120"/>
  <c r="L146" i="120"/>
  <c r="L206" i="120"/>
  <c r="L198" i="120"/>
  <c r="L236" i="120"/>
  <c r="L228" i="120"/>
  <c r="L265" i="120"/>
  <c r="L257" i="120"/>
  <c r="L107" i="120"/>
  <c r="L142" i="120"/>
  <c r="L204" i="120"/>
  <c r="L234" i="120"/>
  <c r="L263" i="120"/>
  <c r="E245" i="120"/>
  <c r="H245" i="120" s="1"/>
  <c r="N245" i="120" s="1"/>
  <c r="C246" i="120"/>
  <c r="D246" i="120"/>
  <c r="F215" i="120"/>
  <c r="D216" i="120"/>
  <c r="C216" i="120"/>
  <c r="E215" i="120"/>
  <c r="D186" i="120"/>
  <c r="F185" i="120"/>
  <c r="C186" i="120"/>
  <c r="E185" i="120"/>
  <c r="L113" i="120"/>
  <c r="L104" i="120"/>
  <c r="L174" i="120"/>
  <c r="L110" i="120"/>
  <c r="L180" i="120"/>
  <c r="L172" i="120"/>
  <c r="L117" i="120"/>
  <c r="L109" i="120"/>
  <c r="L145" i="120"/>
  <c r="L137" i="120"/>
  <c r="L179" i="120"/>
  <c r="L171" i="120"/>
  <c r="L105" i="120"/>
  <c r="L175" i="120"/>
  <c r="L112" i="120"/>
  <c r="L111" i="120"/>
  <c r="L103" i="120"/>
  <c r="L173" i="120"/>
  <c r="L118" i="120"/>
  <c r="L116" i="120"/>
  <c r="L108" i="120"/>
  <c r="L144" i="120"/>
  <c r="L178" i="120"/>
  <c r="L170" i="120"/>
  <c r="F155" i="120"/>
  <c r="D156" i="120"/>
  <c r="C156" i="120"/>
  <c r="E155" i="120"/>
  <c r="E124" i="120"/>
  <c r="C125" i="120"/>
  <c r="F124" i="120"/>
  <c r="D125" i="120"/>
  <c r="B65" i="120"/>
  <c r="A65" i="120"/>
  <c r="L45" i="120"/>
  <c r="L48" i="120"/>
  <c r="L51" i="120"/>
  <c r="L52" i="120"/>
  <c r="L58" i="120"/>
  <c r="G37" i="120"/>
  <c r="L53" i="120"/>
  <c r="F30" i="120"/>
  <c r="F33" i="120" s="1"/>
  <c r="L43" i="120"/>
  <c r="L54" i="120"/>
  <c r="L44" i="120"/>
  <c r="L56" i="120"/>
  <c r="L46" i="120"/>
  <c r="L47" i="120"/>
  <c r="L55" i="120"/>
  <c r="L49" i="120"/>
  <c r="L50" i="120"/>
  <c r="C38" i="120"/>
  <c r="F37" i="120"/>
  <c r="E37" i="120"/>
  <c r="C93" i="120"/>
  <c r="F92" i="120"/>
  <c r="D93" i="120"/>
  <c r="E92" i="120"/>
  <c r="C34" i="112"/>
  <c r="D34" i="112" s="1"/>
  <c r="I61" i="112"/>
  <c r="L61" i="112"/>
  <c r="I60" i="112"/>
  <c r="L60" i="112"/>
  <c r="I59" i="112"/>
  <c r="L59" i="112"/>
  <c r="I58" i="112"/>
  <c r="L58" i="112"/>
  <c r="I57" i="112"/>
  <c r="L57" i="112"/>
  <c r="I56" i="112"/>
  <c r="L56" i="112"/>
  <c r="I55" i="112"/>
  <c r="L55" i="112"/>
  <c r="I54" i="112"/>
  <c r="L54" i="112"/>
  <c r="I53" i="112"/>
  <c r="L53" i="112"/>
  <c r="I52" i="112"/>
  <c r="L52" i="112"/>
  <c r="I51" i="112"/>
  <c r="L51" i="112"/>
  <c r="I50" i="112"/>
  <c r="L50" i="112"/>
  <c r="I49" i="112"/>
  <c r="L49" i="112"/>
  <c r="I48" i="112"/>
  <c r="L48" i="112"/>
  <c r="I47" i="112"/>
  <c r="L47" i="112"/>
  <c r="I46" i="112"/>
  <c r="L46" i="112"/>
  <c r="I45" i="112"/>
  <c r="L45" i="112"/>
  <c r="I44" i="112"/>
  <c r="L44" i="112"/>
  <c r="I43" i="112"/>
  <c r="L43" i="112"/>
  <c r="I42" i="112"/>
  <c r="I63" i="112" s="1"/>
  <c r="L42" i="112"/>
  <c r="L63" i="112" s="1"/>
  <c r="G34" i="112"/>
  <c r="M25" i="125" l="1"/>
  <c r="L442" i="120"/>
  <c r="L386" i="120"/>
  <c r="L152" i="120"/>
  <c r="L414" i="120"/>
  <c r="L329" i="120"/>
  <c r="L358" i="120"/>
  <c r="L300" i="120"/>
  <c r="L271" i="120"/>
  <c r="L242" i="120"/>
  <c r="L182" i="120"/>
  <c r="L212" i="120"/>
  <c r="L120" i="120"/>
  <c r="F69" i="120"/>
  <c r="L60" i="120"/>
  <c r="H124" i="120"/>
  <c r="N124" i="120" s="1"/>
  <c r="H274" i="120"/>
  <c r="N274" i="120" s="1"/>
  <c r="H303" i="120"/>
  <c r="H332" i="120"/>
  <c r="H155" i="120"/>
  <c r="N155" i="120" s="1"/>
  <c r="H215" i="120"/>
  <c r="N215" i="120" s="1"/>
  <c r="H417" i="120"/>
  <c r="O56" i="125"/>
  <c r="G57" i="125" s="1"/>
  <c r="J56" i="125"/>
  <c r="N56" i="125" s="1"/>
  <c r="O26" i="125"/>
  <c r="J26" i="125"/>
  <c r="N26" i="125" s="1"/>
  <c r="H185" i="120"/>
  <c r="N185" i="120" s="1"/>
  <c r="H37" i="120"/>
  <c r="H361" i="120"/>
  <c r="H389" i="120"/>
  <c r="N389" i="120" s="1"/>
  <c r="H92" i="120"/>
  <c r="F78" i="120"/>
  <c r="F68" i="120"/>
  <c r="F71" i="120"/>
  <c r="F67" i="120"/>
  <c r="A66" i="120"/>
  <c r="B66" i="120"/>
  <c r="F73" i="120"/>
  <c r="F85" i="120"/>
  <c r="F79" i="120"/>
  <c r="F72" i="120"/>
  <c r="F82" i="120"/>
  <c r="F77" i="120"/>
  <c r="F39" i="120"/>
  <c r="E39" i="120"/>
  <c r="C40" i="120"/>
  <c r="D40" i="120"/>
  <c r="F75" i="120"/>
  <c r="F76" i="120"/>
  <c r="F80" i="120"/>
  <c r="F74" i="120"/>
  <c r="F81" i="120"/>
  <c r="F83" i="120"/>
  <c r="F84" i="120"/>
  <c r="F70" i="120"/>
  <c r="D419" i="120"/>
  <c r="C419" i="120"/>
  <c r="F418" i="120"/>
  <c r="E418" i="120"/>
  <c r="D391" i="120"/>
  <c r="C391" i="120"/>
  <c r="F390" i="120"/>
  <c r="E390" i="120"/>
  <c r="C363" i="120"/>
  <c r="E362" i="120"/>
  <c r="F362" i="120"/>
  <c r="D363" i="120"/>
  <c r="C334" i="120"/>
  <c r="E333" i="120"/>
  <c r="D334" i="120"/>
  <c r="F333" i="120"/>
  <c r="C305" i="120"/>
  <c r="D305" i="120"/>
  <c r="E304" i="120"/>
  <c r="F304" i="120"/>
  <c r="C276" i="120"/>
  <c r="D276" i="120"/>
  <c r="E275" i="120"/>
  <c r="F275" i="120"/>
  <c r="O245" i="120"/>
  <c r="F246" i="120"/>
  <c r="E246" i="120"/>
  <c r="D247" i="120"/>
  <c r="C247" i="120"/>
  <c r="C217" i="120"/>
  <c r="F216" i="120"/>
  <c r="E216" i="120"/>
  <c r="D217" i="120"/>
  <c r="D187" i="120"/>
  <c r="C187" i="120"/>
  <c r="F186" i="120"/>
  <c r="E186" i="120"/>
  <c r="F156" i="120"/>
  <c r="E156" i="120"/>
  <c r="D157" i="120"/>
  <c r="C157" i="120"/>
  <c r="F125" i="120"/>
  <c r="E125" i="120"/>
  <c r="D126" i="120"/>
  <c r="C126" i="120"/>
  <c r="D94" i="120"/>
  <c r="C94" i="120"/>
  <c r="F93" i="120"/>
  <c r="E93" i="120"/>
  <c r="F38" i="120"/>
  <c r="E38" i="120"/>
  <c r="F34" i="112"/>
  <c r="C35" i="112"/>
  <c r="E34" i="112"/>
  <c r="D35" i="112"/>
  <c r="N417" i="120" l="1"/>
  <c r="G246" i="120"/>
  <c r="H246" i="120" s="1"/>
  <c r="N92" i="120"/>
  <c r="O332" i="120"/>
  <c r="N332" i="120"/>
  <c r="O303" i="120"/>
  <c r="N303" i="120"/>
  <c r="O361" i="120"/>
  <c r="N361" i="120"/>
  <c r="M37" i="120"/>
  <c r="N37" i="120"/>
  <c r="J57" i="125"/>
  <c r="N57" i="125" s="1"/>
  <c r="O57" i="125"/>
  <c r="G58" i="125" s="1"/>
  <c r="K26" i="125"/>
  <c r="G27" i="125"/>
  <c r="B67" i="120"/>
  <c r="A67" i="120"/>
  <c r="O37" i="120"/>
  <c r="C41" i="120"/>
  <c r="F40" i="120"/>
  <c r="D41" i="120"/>
  <c r="E40" i="120"/>
  <c r="O124" i="120"/>
  <c r="O417" i="120"/>
  <c r="O389" i="120"/>
  <c r="D420" i="120"/>
  <c r="C420" i="120"/>
  <c r="F419" i="120"/>
  <c r="E419" i="120"/>
  <c r="D392" i="120"/>
  <c r="C392" i="120"/>
  <c r="E391" i="120"/>
  <c r="F391" i="120"/>
  <c r="O274" i="120"/>
  <c r="D364" i="120"/>
  <c r="C364" i="120"/>
  <c r="F363" i="120"/>
  <c r="E363" i="120"/>
  <c r="D335" i="120"/>
  <c r="F334" i="120"/>
  <c r="C335" i="120"/>
  <c r="E334" i="120"/>
  <c r="D306" i="120"/>
  <c r="C306" i="120"/>
  <c r="F305" i="120"/>
  <c r="E305" i="120"/>
  <c r="D277" i="120"/>
  <c r="C277" i="120"/>
  <c r="E276" i="120"/>
  <c r="F276" i="120"/>
  <c r="O185" i="120"/>
  <c r="O215" i="120"/>
  <c r="C248" i="120"/>
  <c r="D248" i="120"/>
  <c r="F247" i="120"/>
  <c r="E247" i="120"/>
  <c r="C218" i="120"/>
  <c r="E217" i="120"/>
  <c r="D218" i="120"/>
  <c r="F217" i="120"/>
  <c r="C188" i="120"/>
  <c r="F187" i="120"/>
  <c r="D188" i="120"/>
  <c r="E187" i="120"/>
  <c r="O155" i="120"/>
  <c r="E157" i="120"/>
  <c r="F157" i="120"/>
  <c r="D158" i="120"/>
  <c r="C158" i="120"/>
  <c r="E126" i="120"/>
  <c r="D127" i="120"/>
  <c r="F126" i="120"/>
  <c r="C127" i="120"/>
  <c r="O92" i="120"/>
  <c r="C95" i="120"/>
  <c r="E94" i="120"/>
  <c r="D95" i="120"/>
  <c r="F94" i="120"/>
  <c r="H34" i="112"/>
  <c r="E35" i="112"/>
  <c r="F35" i="112"/>
  <c r="D36" i="112"/>
  <c r="C36" i="112"/>
  <c r="M26" i="125" l="1"/>
  <c r="G418" i="120"/>
  <c r="H418" i="120" s="1"/>
  <c r="G390" i="120"/>
  <c r="H390" i="120" s="1"/>
  <c r="G362" i="120"/>
  <c r="H362" i="120" s="1"/>
  <c r="G333" i="120"/>
  <c r="G304" i="120"/>
  <c r="H304" i="120" s="1"/>
  <c r="G275" i="120"/>
  <c r="H275" i="120" s="1"/>
  <c r="N246" i="120"/>
  <c r="G216" i="120"/>
  <c r="H216" i="120" s="1"/>
  <c r="G186" i="120"/>
  <c r="G156" i="120"/>
  <c r="G125" i="120"/>
  <c r="H125" i="120" s="1"/>
  <c r="G93" i="120"/>
  <c r="H93" i="120" s="1"/>
  <c r="H186" i="120"/>
  <c r="O34" i="112"/>
  <c r="N34" i="112"/>
  <c r="G38" i="120"/>
  <c r="H38" i="120" s="1"/>
  <c r="O58" i="125"/>
  <c r="G59" i="125" s="1"/>
  <c r="J58" i="125"/>
  <c r="N58" i="125" s="1"/>
  <c r="O27" i="125"/>
  <c r="J27" i="125"/>
  <c r="K27" i="125" s="1"/>
  <c r="D365" i="120"/>
  <c r="C365" i="120"/>
  <c r="D421" i="120"/>
  <c r="C421" i="120"/>
  <c r="A68" i="120"/>
  <c r="B68" i="120"/>
  <c r="D393" i="120"/>
  <c r="C393" i="120"/>
  <c r="C42" i="120"/>
  <c r="B42" i="120" s="1"/>
  <c r="D42" i="120"/>
  <c r="F41" i="120"/>
  <c r="E41" i="120"/>
  <c r="O246" i="120"/>
  <c r="E420" i="120"/>
  <c r="F420" i="120"/>
  <c r="E392" i="120"/>
  <c r="F392" i="120"/>
  <c r="E364" i="120"/>
  <c r="F364" i="120"/>
  <c r="D336" i="120"/>
  <c r="C336" i="120"/>
  <c r="E335" i="120"/>
  <c r="F335" i="120"/>
  <c r="D307" i="120"/>
  <c r="C307" i="120"/>
  <c r="F306" i="120"/>
  <c r="E306" i="120"/>
  <c r="D278" i="120"/>
  <c r="F277" i="120"/>
  <c r="C278" i="120"/>
  <c r="E277" i="120"/>
  <c r="D249" i="120"/>
  <c r="C249" i="120"/>
  <c r="F248" i="120"/>
  <c r="E248" i="120"/>
  <c r="D219" i="120"/>
  <c r="C219" i="120"/>
  <c r="E218" i="120"/>
  <c r="F218" i="120"/>
  <c r="D189" i="120"/>
  <c r="C189" i="120"/>
  <c r="F188" i="120"/>
  <c r="E188" i="120"/>
  <c r="C159" i="120"/>
  <c r="E158" i="120"/>
  <c r="F158" i="120"/>
  <c r="D159" i="120"/>
  <c r="C128" i="120"/>
  <c r="E127" i="120"/>
  <c r="F127" i="120"/>
  <c r="D128" i="120"/>
  <c r="E95" i="120"/>
  <c r="C96" i="120"/>
  <c r="D96" i="120"/>
  <c r="F95" i="120"/>
  <c r="E36" i="112"/>
  <c r="D37" i="112"/>
  <c r="F36" i="112"/>
  <c r="C37" i="112"/>
  <c r="M27" i="125" l="1"/>
  <c r="B9" i="168"/>
  <c r="G35" i="112"/>
  <c r="N418" i="120"/>
  <c r="N390" i="120"/>
  <c r="N362" i="120"/>
  <c r="H333" i="120"/>
  <c r="N304" i="120"/>
  <c r="N275" i="120"/>
  <c r="G247" i="120"/>
  <c r="H247" i="120" s="1"/>
  <c r="N216" i="120"/>
  <c r="O186" i="120"/>
  <c r="H156" i="120"/>
  <c r="O156" i="120" s="1"/>
  <c r="N125" i="120"/>
  <c r="N93" i="120"/>
  <c r="O304" i="120"/>
  <c r="O275" i="120"/>
  <c r="O125" i="120"/>
  <c r="N186" i="120"/>
  <c r="O216" i="120"/>
  <c r="O390" i="120"/>
  <c r="O362" i="120"/>
  <c r="O418" i="120"/>
  <c r="O38" i="120"/>
  <c r="N38" i="120"/>
  <c r="J59" i="125"/>
  <c r="N59" i="125" s="1"/>
  <c r="O59" i="125"/>
  <c r="G60" i="125" s="1"/>
  <c r="N27" i="125"/>
  <c r="G28" i="125"/>
  <c r="C337" i="120"/>
  <c r="D337" i="120"/>
  <c r="D394" i="120"/>
  <c r="C394" i="120"/>
  <c r="F393" i="120"/>
  <c r="E393" i="120"/>
  <c r="C250" i="120"/>
  <c r="D250" i="120"/>
  <c r="C279" i="120"/>
  <c r="D279" i="120"/>
  <c r="C308" i="120"/>
  <c r="D308" i="120"/>
  <c r="E421" i="120"/>
  <c r="D422" i="120"/>
  <c r="F421" i="120"/>
  <c r="C422" i="120"/>
  <c r="C366" i="120"/>
  <c r="F365" i="120"/>
  <c r="E365" i="120"/>
  <c r="D366" i="120"/>
  <c r="O93" i="120"/>
  <c r="E42" i="120"/>
  <c r="F42" i="120"/>
  <c r="E336" i="120"/>
  <c r="F336" i="120"/>
  <c r="E307" i="120"/>
  <c r="F307" i="120"/>
  <c r="E278" i="120"/>
  <c r="F278" i="120"/>
  <c r="F249" i="120"/>
  <c r="E249" i="120"/>
  <c r="C220" i="120"/>
  <c r="F219" i="120"/>
  <c r="E219" i="120"/>
  <c r="D220" i="120"/>
  <c r="D190" i="120"/>
  <c r="C190" i="120"/>
  <c r="F189" i="120"/>
  <c r="E189" i="120"/>
  <c r="D160" i="120"/>
  <c r="C160" i="120"/>
  <c r="F159" i="120"/>
  <c r="E159" i="120"/>
  <c r="D129" i="120"/>
  <c r="C129" i="120"/>
  <c r="F128" i="120"/>
  <c r="E128" i="120"/>
  <c r="A69" i="120"/>
  <c r="B69" i="120"/>
  <c r="F96" i="120"/>
  <c r="D97" i="120"/>
  <c r="C97" i="120"/>
  <c r="E96" i="120"/>
  <c r="E37" i="112"/>
  <c r="F37" i="112"/>
  <c r="D38" i="112"/>
  <c r="C38" i="112"/>
  <c r="H35" i="112" l="1"/>
  <c r="G419" i="120"/>
  <c r="G391" i="120"/>
  <c r="G363" i="120"/>
  <c r="N333" i="120"/>
  <c r="O333" i="120"/>
  <c r="G305" i="120"/>
  <c r="G276" i="120"/>
  <c r="O247" i="120"/>
  <c r="G217" i="120"/>
  <c r="G187" i="120"/>
  <c r="G157" i="120"/>
  <c r="H157" i="120" s="1"/>
  <c r="O157" i="120" s="1"/>
  <c r="G158" i="120" s="1"/>
  <c r="N156" i="120"/>
  <c r="G126" i="120"/>
  <c r="G94" i="120"/>
  <c r="H94" i="120" s="1"/>
  <c r="N247" i="120"/>
  <c r="G39" i="120"/>
  <c r="O60" i="125"/>
  <c r="G61" i="125" s="1"/>
  <c r="J60" i="125"/>
  <c r="N60" i="125" s="1"/>
  <c r="O28" i="125"/>
  <c r="J28" i="125"/>
  <c r="K28" i="125" s="1"/>
  <c r="E422" i="120"/>
  <c r="E394" i="120"/>
  <c r="C309" i="120"/>
  <c r="E308" i="120"/>
  <c r="F308" i="120"/>
  <c r="D309" i="120"/>
  <c r="F394" i="120"/>
  <c r="D395" i="120"/>
  <c r="C395" i="120"/>
  <c r="C191" i="120"/>
  <c r="D191" i="120"/>
  <c r="D221" i="120"/>
  <c r="C221" i="120"/>
  <c r="C423" i="120"/>
  <c r="F422" i="120"/>
  <c r="D423" i="120"/>
  <c r="C251" i="120"/>
  <c r="D251" i="120"/>
  <c r="E250" i="120"/>
  <c r="F250" i="120"/>
  <c r="C161" i="120"/>
  <c r="D161" i="120"/>
  <c r="F161" i="120" s="1"/>
  <c r="C367" i="120"/>
  <c r="F366" i="120"/>
  <c r="D367" i="120"/>
  <c r="E366" i="120"/>
  <c r="C280" i="120"/>
  <c r="D280" i="120"/>
  <c r="F279" i="120"/>
  <c r="E279" i="120"/>
  <c r="C338" i="120"/>
  <c r="D338" i="120"/>
  <c r="F337" i="120"/>
  <c r="E337" i="120"/>
  <c r="E220" i="120"/>
  <c r="F220" i="120"/>
  <c r="E190" i="120"/>
  <c r="F190" i="120"/>
  <c r="E160" i="120"/>
  <c r="F160" i="120"/>
  <c r="D130" i="120"/>
  <c r="F129" i="120"/>
  <c r="C130" i="120"/>
  <c r="E129" i="120"/>
  <c r="B70" i="120"/>
  <c r="A70" i="120"/>
  <c r="F97" i="120"/>
  <c r="D98" i="120"/>
  <c r="C98" i="120"/>
  <c r="E97" i="120"/>
  <c r="D43" i="120"/>
  <c r="C43" i="120"/>
  <c r="B43" i="120" s="1"/>
  <c r="C39" i="112"/>
  <c r="F38" i="112"/>
  <c r="E38" i="112"/>
  <c r="D39" i="112"/>
  <c r="M28" i="125" l="1"/>
  <c r="C9" i="168"/>
  <c r="O35" i="112"/>
  <c r="N35" i="112"/>
  <c r="H419" i="120"/>
  <c r="H391" i="120"/>
  <c r="H363" i="120"/>
  <c r="G334" i="120"/>
  <c r="H305" i="120"/>
  <c r="H276" i="120"/>
  <c r="G248" i="120"/>
  <c r="H217" i="120"/>
  <c r="O217" i="120" s="1"/>
  <c r="H187" i="120"/>
  <c r="H126" i="120"/>
  <c r="N94" i="120"/>
  <c r="N157" i="120"/>
  <c r="H158" i="120"/>
  <c r="N158" i="120" s="1"/>
  <c r="H39" i="120"/>
  <c r="O61" i="125"/>
  <c r="G62" i="125" s="1"/>
  <c r="J61" i="125"/>
  <c r="N61" i="125" s="1"/>
  <c r="N28" i="125"/>
  <c r="G29" i="125"/>
  <c r="E423" i="120"/>
  <c r="O94" i="120"/>
  <c r="C252" i="120"/>
  <c r="F251" i="120"/>
  <c r="D252" i="120"/>
  <c r="E251" i="120"/>
  <c r="E338" i="120"/>
  <c r="F338" i="120"/>
  <c r="D339" i="120"/>
  <c r="C339" i="120"/>
  <c r="D424" i="120"/>
  <c r="C424" i="120"/>
  <c r="B424" i="120" s="1"/>
  <c r="F423" i="120"/>
  <c r="C396" i="120"/>
  <c r="B396" i="120" s="1"/>
  <c r="D396" i="120"/>
  <c r="E395" i="120"/>
  <c r="F395" i="120"/>
  <c r="D368" i="120"/>
  <c r="C368" i="120"/>
  <c r="B368" i="120" s="1"/>
  <c r="E367" i="120"/>
  <c r="F367" i="120"/>
  <c r="C162" i="120"/>
  <c r="E161" i="120"/>
  <c r="D162" i="120"/>
  <c r="D99" i="120"/>
  <c r="C99" i="120"/>
  <c r="C281" i="120"/>
  <c r="F280" i="120"/>
  <c r="D281" i="120"/>
  <c r="E280" i="120"/>
  <c r="C222" i="120"/>
  <c r="E221" i="120"/>
  <c r="F221" i="120"/>
  <c r="D222" i="120"/>
  <c r="C131" i="120"/>
  <c r="D131" i="120"/>
  <c r="C310" i="120"/>
  <c r="E309" i="120"/>
  <c r="D310" i="120"/>
  <c r="F309" i="120"/>
  <c r="C192" i="120"/>
  <c r="D192" i="120"/>
  <c r="F191" i="120"/>
  <c r="E191" i="120"/>
  <c r="E130" i="120"/>
  <c r="F130" i="120"/>
  <c r="B71" i="120"/>
  <c r="A71" i="120"/>
  <c r="F43" i="120"/>
  <c r="D44" i="120"/>
  <c r="C44" i="120"/>
  <c r="B44" i="120" s="1"/>
  <c r="E43" i="120"/>
  <c r="E98" i="120"/>
  <c r="F98" i="120"/>
  <c r="D40" i="112"/>
  <c r="F39" i="112"/>
  <c r="E39" i="112"/>
  <c r="C40" i="112"/>
  <c r="G36" i="112" l="1"/>
  <c r="N419" i="120"/>
  <c r="O419" i="120"/>
  <c r="N391" i="120"/>
  <c r="O391" i="120"/>
  <c r="O363" i="120"/>
  <c r="N363" i="120"/>
  <c r="H334" i="120"/>
  <c r="O334" i="120" s="1"/>
  <c r="N305" i="120"/>
  <c r="O305" i="120"/>
  <c r="N276" i="120"/>
  <c r="O276" i="120"/>
  <c r="H248" i="120"/>
  <c r="O248" i="120" s="1"/>
  <c r="G218" i="120"/>
  <c r="N217" i="120"/>
  <c r="O187" i="120"/>
  <c r="N187" i="120"/>
  <c r="N126" i="120"/>
  <c r="O126" i="120"/>
  <c r="G95" i="120"/>
  <c r="H95" i="120" s="1"/>
  <c r="O158" i="120"/>
  <c r="N39" i="120"/>
  <c r="J62" i="125"/>
  <c r="N62" i="125" s="1"/>
  <c r="O62" i="125"/>
  <c r="G63" i="125" s="1"/>
  <c r="O29" i="125"/>
  <c r="J29" i="125"/>
  <c r="K29" i="125" s="1"/>
  <c r="D9" i="168" s="1"/>
  <c r="C223" i="120"/>
  <c r="D223" i="120"/>
  <c r="F222" i="120"/>
  <c r="E99" i="120"/>
  <c r="C100" i="120"/>
  <c r="F99" i="120"/>
  <c r="D100" i="120"/>
  <c r="F368" i="120"/>
  <c r="C369" i="120"/>
  <c r="B369" i="120" s="1"/>
  <c r="D369" i="120"/>
  <c r="E368" i="120"/>
  <c r="E424" i="120"/>
  <c r="E396" i="120"/>
  <c r="F396" i="120"/>
  <c r="E131" i="120"/>
  <c r="F131" i="120"/>
  <c r="D132" i="120"/>
  <c r="C132" i="120"/>
  <c r="C425" i="120"/>
  <c r="B425" i="120" s="1"/>
  <c r="F424" i="120"/>
  <c r="D425" i="120"/>
  <c r="F425" i="120" s="1"/>
  <c r="E252" i="120"/>
  <c r="F252" i="120"/>
  <c r="C253" i="120"/>
  <c r="B253" i="120" s="1"/>
  <c r="D253" i="120"/>
  <c r="F192" i="120"/>
  <c r="C193" i="120"/>
  <c r="D193" i="120"/>
  <c r="E192" i="120"/>
  <c r="E310" i="120"/>
  <c r="C311" i="120"/>
  <c r="B311" i="120" s="1"/>
  <c r="D311" i="120"/>
  <c r="F310" i="120"/>
  <c r="C163" i="120"/>
  <c r="D163" i="120"/>
  <c r="E162" i="120"/>
  <c r="F162" i="120"/>
  <c r="E222" i="120"/>
  <c r="C282" i="120"/>
  <c r="B282" i="120" s="1"/>
  <c r="F281" i="120"/>
  <c r="E281" i="120"/>
  <c r="D282" i="120"/>
  <c r="C340" i="120"/>
  <c r="B340" i="120" s="1"/>
  <c r="F339" i="120"/>
  <c r="E339" i="120"/>
  <c r="D340" i="120"/>
  <c r="C397" i="120"/>
  <c r="B397" i="120" s="1"/>
  <c r="D397" i="120"/>
  <c r="A72" i="120"/>
  <c r="B72" i="120"/>
  <c r="F44" i="120"/>
  <c r="D45" i="120"/>
  <c r="E44" i="120"/>
  <c r="C45" i="120"/>
  <c r="B45" i="120" s="1"/>
  <c r="D41" i="112"/>
  <c r="C41" i="112"/>
  <c r="F40" i="112"/>
  <c r="E40" i="112"/>
  <c r="M29" i="125" l="1"/>
  <c r="H36" i="112"/>
  <c r="N36" i="112" s="1"/>
  <c r="G420" i="120"/>
  <c r="N95" i="120"/>
  <c r="G392" i="120"/>
  <c r="G364" i="120"/>
  <c r="G335" i="120"/>
  <c r="N334" i="120"/>
  <c r="G306" i="120"/>
  <c r="G277" i="120"/>
  <c r="G249" i="120"/>
  <c r="N248" i="120"/>
  <c r="H218" i="120"/>
  <c r="G188" i="120"/>
  <c r="G159" i="120"/>
  <c r="G127" i="120"/>
  <c r="O95" i="120"/>
  <c r="G65" i="125"/>
  <c r="J63" i="125"/>
  <c r="J65" i="125" s="1"/>
  <c r="O63" i="125"/>
  <c r="O65" i="125" s="1"/>
  <c r="N29" i="125"/>
  <c r="G30" i="125"/>
  <c r="E425" i="120"/>
  <c r="C164" i="120"/>
  <c r="B164" i="120" s="1"/>
  <c r="D164" i="120"/>
  <c r="F163" i="120"/>
  <c r="E163" i="120"/>
  <c r="F369" i="120"/>
  <c r="E369" i="120"/>
  <c r="C341" i="120"/>
  <c r="B341" i="120" s="1"/>
  <c r="E340" i="120"/>
  <c r="F340" i="120"/>
  <c r="D341" i="120"/>
  <c r="F132" i="120"/>
  <c r="E132" i="120"/>
  <c r="C133" i="120"/>
  <c r="D133" i="120"/>
  <c r="C283" i="120"/>
  <c r="B283" i="120" s="1"/>
  <c r="D283" i="120"/>
  <c r="F282" i="120"/>
  <c r="E282" i="120"/>
  <c r="E253" i="120"/>
  <c r="F253" i="120"/>
  <c r="C254" i="120"/>
  <c r="B254" i="120" s="1"/>
  <c r="D254" i="120"/>
  <c r="C194" i="120"/>
  <c r="B194" i="120" s="1"/>
  <c r="D194" i="120"/>
  <c r="E193" i="120"/>
  <c r="F193" i="120"/>
  <c r="C224" i="120"/>
  <c r="B224" i="120" s="1"/>
  <c r="D224" i="120"/>
  <c r="F223" i="120"/>
  <c r="E311" i="120"/>
  <c r="D312" i="120"/>
  <c r="F311" i="120"/>
  <c r="C312" i="120"/>
  <c r="B312" i="120" s="1"/>
  <c r="F100" i="120"/>
  <c r="D101" i="120"/>
  <c r="E100" i="120"/>
  <c r="C101" i="120"/>
  <c r="E223" i="120"/>
  <c r="C426" i="120"/>
  <c r="B426" i="120" s="1"/>
  <c r="D426" i="120"/>
  <c r="D398" i="120"/>
  <c r="F397" i="120"/>
  <c r="E397" i="120"/>
  <c r="C398" i="120"/>
  <c r="B398" i="120" s="1"/>
  <c r="C370" i="120"/>
  <c r="B370" i="120" s="1"/>
  <c r="D370" i="120"/>
  <c r="A73" i="120"/>
  <c r="B73" i="120"/>
  <c r="F45" i="120"/>
  <c r="E45" i="120"/>
  <c r="D46" i="120"/>
  <c r="C46" i="120"/>
  <c r="B46" i="120" s="1"/>
  <c r="E41" i="112"/>
  <c r="D42" i="112"/>
  <c r="C42" i="112"/>
  <c r="F41" i="112"/>
  <c r="O36" i="112" l="1"/>
  <c r="H420" i="120"/>
  <c r="O420" i="120" s="1"/>
  <c r="H392" i="120"/>
  <c r="N392" i="120" s="1"/>
  <c r="H364" i="120"/>
  <c r="N364" i="120" s="1"/>
  <c r="H335" i="120"/>
  <c r="N335" i="120" s="1"/>
  <c r="H306" i="120"/>
  <c r="N306" i="120" s="1"/>
  <c r="H277" i="120"/>
  <c r="N277" i="120" s="1"/>
  <c r="H249" i="120"/>
  <c r="N249" i="120" s="1"/>
  <c r="O218" i="120"/>
  <c r="N218" i="120"/>
  <c r="H188" i="120"/>
  <c r="O188" i="120" s="1"/>
  <c r="H159" i="120"/>
  <c r="H127" i="120"/>
  <c r="N127" i="120" s="1"/>
  <c r="G96" i="120"/>
  <c r="N63" i="125"/>
  <c r="N65" i="125" s="1"/>
  <c r="O30" i="125"/>
  <c r="J30" i="125"/>
  <c r="K30" i="125" s="1"/>
  <c r="E9" i="168" s="1"/>
  <c r="F9" i="168" s="1"/>
  <c r="F254" i="120"/>
  <c r="E254" i="120"/>
  <c r="C342" i="120"/>
  <c r="B342" i="120" s="1"/>
  <c r="D342" i="120"/>
  <c r="E341" i="120"/>
  <c r="F341" i="120"/>
  <c r="E224" i="120"/>
  <c r="F224" i="120"/>
  <c r="E133" i="120"/>
  <c r="C134" i="120"/>
  <c r="B134" i="120" s="1"/>
  <c r="F133" i="120"/>
  <c r="D134" i="120"/>
  <c r="F194" i="120"/>
  <c r="C195" i="120"/>
  <c r="B195" i="120" s="1"/>
  <c r="E194" i="120"/>
  <c r="D195" i="120"/>
  <c r="D165" i="120"/>
  <c r="E164" i="120"/>
  <c r="F164" i="120"/>
  <c r="C165" i="120"/>
  <c r="B165" i="120" s="1"/>
  <c r="E101" i="120"/>
  <c r="F101" i="120"/>
  <c r="C102" i="120"/>
  <c r="B102" i="120" s="1"/>
  <c r="D102" i="120"/>
  <c r="C313" i="120"/>
  <c r="B313" i="120" s="1"/>
  <c r="D313" i="120"/>
  <c r="E312" i="120"/>
  <c r="F312" i="120"/>
  <c r="F283" i="120"/>
  <c r="E283" i="120"/>
  <c r="D284" i="120"/>
  <c r="C284" i="120"/>
  <c r="B284" i="120" s="1"/>
  <c r="E426" i="120"/>
  <c r="F426" i="120"/>
  <c r="D427" i="120"/>
  <c r="C427" i="120"/>
  <c r="B427" i="120" s="1"/>
  <c r="E398" i="120"/>
  <c r="C399" i="120"/>
  <c r="B399" i="120" s="1"/>
  <c r="F398" i="120"/>
  <c r="D399" i="120"/>
  <c r="E370" i="120"/>
  <c r="C371" i="120"/>
  <c r="B371" i="120" s="1"/>
  <c r="F370" i="120"/>
  <c r="D371" i="120"/>
  <c r="D255" i="120"/>
  <c r="C255" i="120"/>
  <c r="B255" i="120" s="1"/>
  <c r="C225" i="120"/>
  <c r="B225" i="120" s="1"/>
  <c r="D225" i="120"/>
  <c r="B74" i="120"/>
  <c r="A74" i="120"/>
  <c r="F46" i="120"/>
  <c r="C47" i="120"/>
  <c r="B47" i="120" s="1"/>
  <c r="E46" i="120"/>
  <c r="D47" i="120"/>
  <c r="F42" i="112"/>
  <c r="D43" i="112"/>
  <c r="F43" i="112" s="1"/>
  <c r="E42" i="112"/>
  <c r="C43" i="112"/>
  <c r="M30" i="125" l="1"/>
  <c r="G37" i="112"/>
  <c r="G421" i="120"/>
  <c r="N420" i="120"/>
  <c r="O392" i="120"/>
  <c r="O364" i="120"/>
  <c r="O335" i="120"/>
  <c r="O306" i="120"/>
  <c r="O277" i="120"/>
  <c r="O249" i="120"/>
  <c r="G219" i="120"/>
  <c r="G189" i="120"/>
  <c r="N188" i="120"/>
  <c r="N159" i="120"/>
  <c r="O159" i="120"/>
  <c r="O127" i="120"/>
  <c r="H96" i="120"/>
  <c r="O96" i="120" s="1"/>
  <c r="N30" i="125"/>
  <c r="G31" i="125"/>
  <c r="G33" i="125" s="1"/>
  <c r="F342" i="120"/>
  <c r="E342" i="120"/>
  <c r="E313" i="120"/>
  <c r="F313" i="120"/>
  <c r="C166" i="120"/>
  <c r="B166" i="120" s="1"/>
  <c r="F165" i="120"/>
  <c r="E165" i="120"/>
  <c r="D166" i="120"/>
  <c r="D196" i="120"/>
  <c r="F195" i="120"/>
  <c r="E195" i="120"/>
  <c r="C196" i="120"/>
  <c r="B196" i="120" s="1"/>
  <c r="E284" i="120"/>
  <c r="F284" i="120"/>
  <c r="E102" i="120"/>
  <c r="F102" i="120"/>
  <c r="F134" i="120"/>
  <c r="D135" i="120"/>
  <c r="C135" i="120"/>
  <c r="B135" i="120" s="1"/>
  <c r="E134" i="120"/>
  <c r="F427" i="120"/>
  <c r="D428" i="120"/>
  <c r="E427" i="120"/>
  <c r="C428" i="120"/>
  <c r="B428" i="120" s="1"/>
  <c r="F399" i="120"/>
  <c r="D400" i="120"/>
  <c r="E399" i="120"/>
  <c r="C400" i="120"/>
  <c r="B400" i="120" s="1"/>
  <c r="F371" i="120"/>
  <c r="D372" i="120"/>
  <c r="E371" i="120"/>
  <c r="C372" i="120"/>
  <c r="B372" i="120" s="1"/>
  <c r="D343" i="120"/>
  <c r="C343" i="120"/>
  <c r="B343" i="120" s="1"/>
  <c r="D314" i="120"/>
  <c r="C314" i="120"/>
  <c r="B314" i="120" s="1"/>
  <c r="D285" i="120"/>
  <c r="C285" i="120"/>
  <c r="B285" i="120" s="1"/>
  <c r="C256" i="120"/>
  <c r="B256" i="120" s="1"/>
  <c r="F255" i="120"/>
  <c r="E255" i="120"/>
  <c r="D256" i="120"/>
  <c r="E225" i="120"/>
  <c r="C226" i="120"/>
  <c r="B226" i="120" s="1"/>
  <c r="F225" i="120"/>
  <c r="D226" i="120"/>
  <c r="B75" i="120"/>
  <c r="A75" i="120"/>
  <c r="D103" i="120"/>
  <c r="C103" i="120"/>
  <c r="B103" i="120" s="1"/>
  <c r="F47" i="120"/>
  <c r="C48" i="120"/>
  <c r="B48" i="120" s="1"/>
  <c r="E47" i="120"/>
  <c r="D48" i="120"/>
  <c r="D44" i="112"/>
  <c r="F44" i="112" s="1"/>
  <c r="E43" i="112"/>
  <c r="C44" i="112"/>
  <c r="H37" i="112" l="1"/>
  <c r="N37" i="112" s="1"/>
  <c r="H421" i="120"/>
  <c r="O421" i="120" s="1"/>
  <c r="G393" i="120"/>
  <c r="G365" i="120"/>
  <c r="G336" i="120"/>
  <c r="G307" i="120"/>
  <c r="G278" i="120"/>
  <c r="G250" i="120"/>
  <c r="H219" i="120"/>
  <c r="N219" i="120" s="1"/>
  <c r="H189" i="120"/>
  <c r="O189" i="120" s="1"/>
  <c r="G160" i="120"/>
  <c r="G128" i="120"/>
  <c r="G97" i="120"/>
  <c r="N96" i="120"/>
  <c r="O31" i="125"/>
  <c r="J31" i="125"/>
  <c r="N31" i="125" s="1"/>
  <c r="F135" i="120"/>
  <c r="E135" i="120"/>
  <c r="C136" i="120"/>
  <c r="B136" i="120" s="1"/>
  <c r="D136" i="120"/>
  <c r="F196" i="120"/>
  <c r="E196" i="120"/>
  <c r="F166" i="120"/>
  <c r="E166" i="120"/>
  <c r="C167" i="120"/>
  <c r="B167" i="120" s="1"/>
  <c r="D167" i="120"/>
  <c r="F428" i="120"/>
  <c r="D429" i="120"/>
  <c r="E428" i="120"/>
  <c r="C429" i="120"/>
  <c r="B429" i="120" s="1"/>
  <c r="F400" i="120"/>
  <c r="D401" i="120"/>
  <c r="E400" i="120"/>
  <c r="C401" i="120"/>
  <c r="B401" i="120" s="1"/>
  <c r="F372" i="120"/>
  <c r="D373" i="120"/>
  <c r="E372" i="120"/>
  <c r="C373" i="120"/>
  <c r="B373" i="120" s="1"/>
  <c r="C344" i="120"/>
  <c r="B344" i="120" s="1"/>
  <c r="F343" i="120"/>
  <c r="D344" i="120"/>
  <c r="E343" i="120"/>
  <c r="F314" i="120"/>
  <c r="D315" i="120"/>
  <c r="E314" i="120"/>
  <c r="C315" i="120"/>
  <c r="B315" i="120" s="1"/>
  <c r="E285" i="120"/>
  <c r="D286" i="120"/>
  <c r="F285" i="120"/>
  <c r="C286" i="120"/>
  <c r="B286" i="120" s="1"/>
  <c r="F256" i="120"/>
  <c r="D257" i="120"/>
  <c r="C257" i="120"/>
  <c r="B257" i="120" s="1"/>
  <c r="E256" i="120"/>
  <c r="C227" i="120"/>
  <c r="B227" i="120" s="1"/>
  <c r="F226" i="120"/>
  <c r="D227" i="120"/>
  <c r="E226" i="120"/>
  <c r="C197" i="120"/>
  <c r="B197" i="120" s="1"/>
  <c r="D197" i="120"/>
  <c r="B76" i="120"/>
  <c r="A76" i="120"/>
  <c r="F48" i="120"/>
  <c r="E48" i="120"/>
  <c r="D49" i="120"/>
  <c r="C49" i="120"/>
  <c r="B49" i="120" s="1"/>
  <c r="F103" i="120"/>
  <c r="C104" i="120"/>
  <c r="B104" i="120" s="1"/>
  <c r="E103" i="120"/>
  <c r="D104" i="120"/>
  <c r="C45" i="112"/>
  <c r="D45" i="112"/>
  <c r="F45" i="112" s="1"/>
  <c r="E44" i="112"/>
  <c r="O37" i="112" l="1"/>
  <c r="N421" i="120"/>
  <c r="G422" i="120"/>
  <c r="H393" i="120"/>
  <c r="H365" i="120"/>
  <c r="O365" i="120" s="1"/>
  <c r="H336" i="120"/>
  <c r="O336" i="120" s="1"/>
  <c r="H307" i="120"/>
  <c r="N307" i="120" s="1"/>
  <c r="H278" i="120"/>
  <c r="N278" i="120" s="1"/>
  <c r="H250" i="120"/>
  <c r="N250" i="120" s="1"/>
  <c r="O219" i="120"/>
  <c r="G190" i="120"/>
  <c r="N189" i="120"/>
  <c r="H160" i="120"/>
  <c r="H128" i="120"/>
  <c r="H97" i="120"/>
  <c r="N97" i="120" s="1"/>
  <c r="N33" i="125"/>
  <c r="O33" i="125"/>
  <c r="K31" i="125"/>
  <c r="J33" i="125"/>
  <c r="C168" i="120"/>
  <c r="B168" i="120" s="1"/>
  <c r="E167" i="120"/>
  <c r="F167" i="120"/>
  <c r="D168" i="120"/>
  <c r="E136" i="120"/>
  <c r="F136" i="120"/>
  <c r="F429" i="120"/>
  <c r="E429" i="120"/>
  <c r="D430" i="120"/>
  <c r="C430" i="120"/>
  <c r="B430" i="120" s="1"/>
  <c r="F401" i="120"/>
  <c r="D402" i="120"/>
  <c r="E401" i="120"/>
  <c r="C402" i="120"/>
  <c r="B402" i="120" s="1"/>
  <c r="D374" i="120"/>
  <c r="F373" i="120"/>
  <c r="E373" i="120"/>
  <c r="C374" i="120"/>
  <c r="B374" i="120" s="1"/>
  <c r="F344" i="120"/>
  <c r="D345" i="120"/>
  <c r="E344" i="120"/>
  <c r="C345" i="120"/>
  <c r="B345" i="120" s="1"/>
  <c r="D316" i="120"/>
  <c r="F315" i="120"/>
  <c r="E315" i="120"/>
  <c r="C316" i="120"/>
  <c r="B316" i="120" s="1"/>
  <c r="F286" i="120"/>
  <c r="C287" i="120"/>
  <c r="B287" i="120" s="1"/>
  <c r="D287" i="120"/>
  <c r="E286" i="120"/>
  <c r="F257" i="120"/>
  <c r="D258" i="120"/>
  <c r="E257" i="120"/>
  <c r="C258" i="120"/>
  <c r="B258" i="120" s="1"/>
  <c r="F227" i="120"/>
  <c r="D228" i="120"/>
  <c r="E227" i="120"/>
  <c r="C228" i="120"/>
  <c r="B228" i="120" s="1"/>
  <c r="C198" i="120"/>
  <c r="B198" i="120" s="1"/>
  <c r="F197" i="120"/>
  <c r="D198" i="120"/>
  <c r="E197" i="120"/>
  <c r="C137" i="120"/>
  <c r="B137" i="120" s="1"/>
  <c r="D137" i="120"/>
  <c r="A77" i="120"/>
  <c r="B77" i="120"/>
  <c r="F49" i="120"/>
  <c r="D50" i="120"/>
  <c r="C50" i="120"/>
  <c r="B50" i="120" s="1"/>
  <c r="E49" i="120"/>
  <c r="F104" i="120"/>
  <c r="D105" i="120"/>
  <c r="E104" i="120"/>
  <c r="C105" i="120"/>
  <c r="B105" i="120" s="1"/>
  <c r="D46" i="112"/>
  <c r="F46" i="112" s="1"/>
  <c r="E45" i="112"/>
  <c r="C46" i="112"/>
  <c r="G38" i="112" l="1"/>
  <c r="H422" i="120"/>
  <c r="O422" i="120" s="1"/>
  <c r="G423" i="120" s="1"/>
  <c r="N393" i="120"/>
  <c r="G366" i="120"/>
  <c r="N365" i="120"/>
  <c r="G337" i="120"/>
  <c r="N336" i="120"/>
  <c r="O307" i="120"/>
  <c r="O278" i="120"/>
  <c r="O250" i="120"/>
  <c r="G251" i="120" s="1"/>
  <c r="G220" i="120"/>
  <c r="H190" i="120"/>
  <c r="O190" i="120" s="1"/>
  <c r="G191" i="120" s="1"/>
  <c r="N160" i="120"/>
  <c r="O160" i="120"/>
  <c r="G161" i="120" s="1"/>
  <c r="O128" i="120"/>
  <c r="N128" i="120"/>
  <c r="O97" i="120"/>
  <c r="G98" i="120" s="1"/>
  <c r="M31" i="125"/>
  <c r="K33" i="125"/>
  <c r="D169" i="120"/>
  <c r="C169" i="120"/>
  <c r="B169" i="120" s="1"/>
  <c r="E168" i="120"/>
  <c r="F168" i="120"/>
  <c r="D431" i="120"/>
  <c r="E430" i="120"/>
  <c r="C431" i="120"/>
  <c r="B431" i="120" s="1"/>
  <c r="F430" i="120"/>
  <c r="D403" i="120"/>
  <c r="E402" i="120"/>
  <c r="C403" i="120"/>
  <c r="B403" i="120" s="1"/>
  <c r="F402" i="120"/>
  <c r="F374" i="120"/>
  <c r="D375" i="120"/>
  <c r="C375" i="120"/>
  <c r="B375" i="120" s="1"/>
  <c r="E374" i="120"/>
  <c r="F345" i="120"/>
  <c r="D346" i="120"/>
  <c r="E345" i="120"/>
  <c r="C346" i="120"/>
  <c r="B346" i="120" s="1"/>
  <c r="F316" i="120"/>
  <c r="E316" i="120"/>
  <c r="D317" i="120"/>
  <c r="C317" i="120"/>
  <c r="B317" i="120" s="1"/>
  <c r="F287" i="120"/>
  <c r="D288" i="120"/>
  <c r="E287" i="120"/>
  <c r="C288" i="120"/>
  <c r="B288" i="120" s="1"/>
  <c r="F258" i="120"/>
  <c r="D259" i="120"/>
  <c r="E258" i="120"/>
  <c r="C259" i="120"/>
  <c r="B259" i="120" s="1"/>
  <c r="E228" i="120"/>
  <c r="F228" i="120"/>
  <c r="D229" i="120"/>
  <c r="C229" i="120"/>
  <c r="B229" i="120" s="1"/>
  <c r="F198" i="120"/>
  <c r="D199" i="120"/>
  <c r="E198" i="120"/>
  <c r="C199" i="120"/>
  <c r="B199" i="120" s="1"/>
  <c r="F137" i="120"/>
  <c r="D138" i="120"/>
  <c r="E137" i="120"/>
  <c r="C138" i="120"/>
  <c r="B138" i="120" s="1"/>
  <c r="A78" i="120"/>
  <c r="B78" i="120"/>
  <c r="F50" i="120"/>
  <c r="D51" i="120"/>
  <c r="C51" i="120"/>
  <c r="B51" i="120" s="1"/>
  <c r="E50" i="120"/>
  <c r="D106" i="120"/>
  <c r="E105" i="120"/>
  <c r="C106" i="120"/>
  <c r="B106" i="120" s="1"/>
  <c r="F105" i="120"/>
  <c r="E46" i="112"/>
  <c r="D47" i="112"/>
  <c r="F47" i="112" s="1"/>
  <c r="C47" i="112"/>
  <c r="B8" i="168" l="1"/>
  <c r="E8" i="168"/>
  <c r="C8" i="168"/>
  <c r="D8" i="168"/>
  <c r="H38" i="112"/>
  <c r="O38" i="112" s="1"/>
  <c r="H423" i="120"/>
  <c r="N423" i="120" s="1"/>
  <c r="N422" i="120"/>
  <c r="H366" i="120"/>
  <c r="O366" i="120" s="1"/>
  <c r="G367" i="120" s="1"/>
  <c r="H337" i="120"/>
  <c r="N337" i="120" s="1"/>
  <c r="G308" i="120"/>
  <c r="G279" i="120"/>
  <c r="H251" i="120"/>
  <c r="N251" i="120" s="1"/>
  <c r="H220" i="120"/>
  <c r="N220" i="120" s="1"/>
  <c r="H191" i="120"/>
  <c r="O191" i="120" s="1"/>
  <c r="G192" i="120" s="1"/>
  <c r="N190" i="120"/>
  <c r="H161" i="120"/>
  <c r="G129" i="120"/>
  <c r="H98" i="120"/>
  <c r="N98" i="120" s="1"/>
  <c r="M33" i="125"/>
  <c r="E169" i="120"/>
  <c r="F169" i="120"/>
  <c r="C432" i="120"/>
  <c r="B432" i="120" s="1"/>
  <c r="E431" i="120"/>
  <c r="F431" i="120"/>
  <c r="D432" i="120"/>
  <c r="C404" i="120"/>
  <c r="B404" i="120" s="1"/>
  <c r="E403" i="120"/>
  <c r="F403" i="120"/>
  <c r="D404" i="120"/>
  <c r="D376" i="120"/>
  <c r="E375" i="120"/>
  <c r="C376" i="120"/>
  <c r="B376" i="120" s="1"/>
  <c r="F375" i="120"/>
  <c r="D347" i="120"/>
  <c r="E346" i="120"/>
  <c r="F346" i="120"/>
  <c r="C347" i="120"/>
  <c r="B347" i="120" s="1"/>
  <c r="D318" i="120"/>
  <c r="E317" i="120"/>
  <c r="C318" i="120"/>
  <c r="B318" i="120" s="1"/>
  <c r="F317" i="120"/>
  <c r="D289" i="120"/>
  <c r="E288" i="120"/>
  <c r="C289" i="120"/>
  <c r="B289" i="120" s="1"/>
  <c r="F288" i="120"/>
  <c r="F259" i="120"/>
  <c r="D260" i="120"/>
  <c r="E259" i="120"/>
  <c r="C260" i="120"/>
  <c r="B260" i="120" s="1"/>
  <c r="F229" i="120"/>
  <c r="D230" i="120"/>
  <c r="E229" i="120"/>
  <c r="C230" i="120"/>
  <c r="B230" i="120" s="1"/>
  <c r="F199" i="120"/>
  <c r="E199" i="120"/>
  <c r="D200" i="120"/>
  <c r="C200" i="120"/>
  <c r="B200" i="120" s="1"/>
  <c r="D170" i="120"/>
  <c r="C170" i="120"/>
  <c r="B170" i="120" s="1"/>
  <c r="F138" i="120"/>
  <c r="D139" i="120"/>
  <c r="E138" i="120"/>
  <c r="C139" i="120"/>
  <c r="B139" i="120" s="1"/>
  <c r="B79" i="120"/>
  <c r="A79" i="120"/>
  <c r="C107" i="120"/>
  <c r="B107" i="120" s="1"/>
  <c r="E106" i="120"/>
  <c r="D107" i="120"/>
  <c r="F106" i="120"/>
  <c r="F51" i="120"/>
  <c r="D52" i="120"/>
  <c r="C52" i="120"/>
  <c r="B52" i="120" s="1"/>
  <c r="E51" i="120"/>
  <c r="D48" i="112"/>
  <c r="F48" i="112" s="1"/>
  <c r="C48" i="112"/>
  <c r="E47" i="112"/>
  <c r="F8" i="168" l="1"/>
  <c r="N38" i="112"/>
  <c r="G39" i="112"/>
  <c r="O423" i="120"/>
  <c r="G424" i="120" s="1"/>
  <c r="N366" i="120"/>
  <c r="H367" i="120"/>
  <c r="N367" i="120" s="1"/>
  <c r="O337" i="120"/>
  <c r="G338" i="120" s="1"/>
  <c r="H308" i="120"/>
  <c r="N308" i="120" s="1"/>
  <c r="H279" i="120"/>
  <c r="N279" i="120" s="1"/>
  <c r="O251" i="120"/>
  <c r="G252" i="120" s="1"/>
  <c r="O220" i="120"/>
  <c r="G221" i="120" s="1"/>
  <c r="H192" i="120"/>
  <c r="O192" i="120" s="1"/>
  <c r="G193" i="120" s="1"/>
  <c r="N191" i="120"/>
  <c r="N161" i="120"/>
  <c r="O161" i="120"/>
  <c r="G162" i="120" s="1"/>
  <c r="H129" i="120"/>
  <c r="O98" i="120"/>
  <c r="G99" i="120" s="1"/>
  <c r="F432" i="120"/>
  <c r="E432" i="120"/>
  <c r="D433" i="120"/>
  <c r="C433" i="120"/>
  <c r="B433" i="120" s="1"/>
  <c r="D405" i="120"/>
  <c r="F404" i="120"/>
  <c r="E404" i="120"/>
  <c r="C405" i="120"/>
  <c r="B405" i="120" s="1"/>
  <c r="C377" i="120"/>
  <c r="B377" i="120" s="1"/>
  <c r="F376" i="120"/>
  <c r="D377" i="120"/>
  <c r="E376" i="120"/>
  <c r="C348" i="120"/>
  <c r="B348" i="120" s="1"/>
  <c r="D348" i="120"/>
  <c r="E347" i="120"/>
  <c r="F347" i="120"/>
  <c r="C319" i="120"/>
  <c r="B319" i="120" s="1"/>
  <c r="D319" i="120"/>
  <c r="F318" i="120"/>
  <c r="E318" i="120"/>
  <c r="C290" i="120"/>
  <c r="B290" i="120" s="1"/>
  <c r="F289" i="120"/>
  <c r="D290" i="120"/>
  <c r="E289" i="120"/>
  <c r="D261" i="120"/>
  <c r="E260" i="120"/>
  <c r="C261" i="120"/>
  <c r="B261" i="120" s="1"/>
  <c r="F260" i="120"/>
  <c r="D231" i="120"/>
  <c r="E230" i="120"/>
  <c r="C231" i="120"/>
  <c r="B231" i="120" s="1"/>
  <c r="F230" i="120"/>
  <c r="D201" i="120"/>
  <c r="E200" i="120"/>
  <c r="C201" i="120"/>
  <c r="B201" i="120" s="1"/>
  <c r="F200" i="120"/>
  <c r="F170" i="120"/>
  <c r="D171" i="120"/>
  <c r="E170" i="120"/>
  <c r="C171" i="120"/>
  <c r="B171" i="120" s="1"/>
  <c r="F139" i="120"/>
  <c r="D140" i="120"/>
  <c r="E139" i="120"/>
  <c r="C140" i="120"/>
  <c r="B140" i="120" s="1"/>
  <c r="A80" i="120"/>
  <c r="B80" i="120"/>
  <c r="F52" i="120"/>
  <c r="D53" i="120"/>
  <c r="E52" i="120"/>
  <c r="C53" i="120"/>
  <c r="B53" i="120" s="1"/>
  <c r="D108" i="120"/>
  <c r="C108" i="120"/>
  <c r="B108" i="120" s="1"/>
  <c r="F107" i="120"/>
  <c r="E107" i="120"/>
  <c r="D49" i="112"/>
  <c r="F49" i="112" s="1"/>
  <c r="E48" i="112"/>
  <c r="C49" i="112"/>
  <c r="H39" i="112" l="1"/>
  <c r="O39" i="112" s="1"/>
  <c r="G40" i="112" s="1"/>
  <c r="H424" i="120"/>
  <c r="N424" i="120" s="1"/>
  <c r="O367" i="120"/>
  <c r="G368" i="120" s="1"/>
  <c r="H368" i="120" s="1"/>
  <c r="H338" i="120"/>
  <c r="N338" i="120" s="1"/>
  <c r="O308" i="120"/>
  <c r="G309" i="120" s="1"/>
  <c r="O279" i="120"/>
  <c r="G280" i="120" s="1"/>
  <c r="H252" i="120"/>
  <c r="O252" i="120" s="1"/>
  <c r="G253" i="120" s="1"/>
  <c r="H221" i="120"/>
  <c r="N221" i="120" s="1"/>
  <c r="H193" i="120"/>
  <c r="O193" i="120" s="1"/>
  <c r="G194" i="120" s="1"/>
  <c r="N192" i="120"/>
  <c r="H162" i="120"/>
  <c r="N129" i="120"/>
  <c r="O129" i="120"/>
  <c r="G130" i="120" s="1"/>
  <c r="H99" i="120"/>
  <c r="N99" i="120" s="1"/>
  <c r="E433" i="120"/>
  <c r="F433" i="120"/>
  <c r="D434" i="120"/>
  <c r="C434" i="120"/>
  <c r="B434" i="120" s="1"/>
  <c r="D406" i="120"/>
  <c r="C406" i="120"/>
  <c r="B406" i="120" s="1"/>
  <c r="F405" i="120"/>
  <c r="E405" i="120"/>
  <c r="E377" i="120"/>
  <c r="C378" i="120"/>
  <c r="B378" i="120" s="1"/>
  <c r="F377" i="120"/>
  <c r="D378" i="120"/>
  <c r="D349" i="120"/>
  <c r="E348" i="120"/>
  <c r="F348" i="120"/>
  <c r="C349" i="120"/>
  <c r="B349" i="120" s="1"/>
  <c r="D320" i="120"/>
  <c r="C320" i="120"/>
  <c r="B320" i="120" s="1"/>
  <c r="F319" i="120"/>
  <c r="E319" i="120"/>
  <c r="F290" i="120"/>
  <c r="E290" i="120"/>
  <c r="C291" i="120"/>
  <c r="B291" i="120" s="1"/>
  <c r="D291" i="120"/>
  <c r="C262" i="120"/>
  <c r="B262" i="120" s="1"/>
  <c r="D262" i="120"/>
  <c r="F261" i="120"/>
  <c r="E261" i="120"/>
  <c r="C232" i="120"/>
  <c r="B232" i="120" s="1"/>
  <c r="D232" i="120"/>
  <c r="F231" i="120"/>
  <c r="E231" i="120"/>
  <c r="C202" i="120"/>
  <c r="B202" i="120" s="1"/>
  <c r="E201" i="120"/>
  <c r="F201" i="120"/>
  <c r="D202" i="120"/>
  <c r="D172" i="120"/>
  <c r="E171" i="120"/>
  <c r="C172" i="120"/>
  <c r="B172" i="120" s="1"/>
  <c r="F171" i="120"/>
  <c r="D141" i="120"/>
  <c r="E140" i="120"/>
  <c r="C141" i="120"/>
  <c r="B141" i="120" s="1"/>
  <c r="F140" i="120"/>
  <c r="A81" i="120"/>
  <c r="B81" i="120"/>
  <c r="F53" i="120"/>
  <c r="E53" i="120"/>
  <c r="D54" i="120"/>
  <c r="C54" i="120"/>
  <c r="B54" i="120" s="1"/>
  <c r="F108" i="120"/>
  <c r="D109" i="120"/>
  <c r="E108" i="120"/>
  <c r="C109" i="120"/>
  <c r="B109" i="120" s="1"/>
  <c r="D50" i="112"/>
  <c r="F50" i="112" s="1"/>
  <c r="E49" i="112"/>
  <c r="C50" i="112"/>
  <c r="N39" i="112" l="1"/>
  <c r="H40" i="112"/>
  <c r="O40" i="112" s="1"/>
  <c r="G41" i="112" s="1"/>
  <c r="I430" i="120"/>
  <c r="H442" i="120"/>
  <c r="I427" i="120"/>
  <c r="I433" i="120"/>
  <c r="I435" i="120"/>
  <c r="I432" i="120"/>
  <c r="I436" i="120"/>
  <c r="I434" i="120"/>
  <c r="I439" i="120"/>
  <c r="I429" i="120"/>
  <c r="I431" i="120"/>
  <c r="I440" i="120"/>
  <c r="I424" i="120"/>
  <c r="I425" i="120"/>
  <c r="I437" i="120"/>
  <c r="I438" i="120"/>
  <c r="I428" i="120"/>
  <c r="I426" i="120"/>
  <c r="N368" i="120"/>
  <c r="I371" i="120"/>
  <c r="I368" i="120"/>
  <c r="I375" i="120"/>
  <c r="I381" i="120"/>
  <c r="I376" i="120"/>
  <c r="I382" i="120"/>
  <c r="I379" i="120"/>
  <c r="I383" i="120"/>
  <c r="I377" i="120"/>
  <c r="I370" i="120"/>
  <c r="I378" i="120"/>
  <c r="I369" i="120"/>
  <c r="I373" i="120"/>
  <c r="I380" i="120"/>
  <c r="I374" i="120"/>
  <c r="I384" i="120"/>
  <c r="I372" i="120"/>
  <c r="H386" i="120"/>
  <c r="O338" i="120"/>
  <c r="G339" i="120" s="1"/>
  <c r="H309" i="120"/>
  <c r="O309" i="120" s="1"/>
  <c r="G310" i="120" s="1"/>
  <c r="H280" i="120"/>
  <c r="N280" i="120" s="1"/>
  <c r="H253" i="120"/>
  <c r="N253" i="120" s="1"/>
  <c r="N252" i="120"/>
  <c r="O221" i="120"/>
  <c r="G222" i="120" s="1"/>
  <c r="H194" i="120"/>
  <c r="N194" i="120" s="1"/>
  <c r="N193" i="120"/>
  <c r="O162" i="120"/>
  <c r="G163" i="120" s="1"/>
  <c r="N162" i="120"/>
  <c r="H130" i="120"/>
  <c r="O130" i="120" s="1"/>
  <c r="G131" i="120" s="1"/>
  <c r="H131" i="120" s="1"/>
  <c r="N131" i="120" s="1"/>
  <c r="O99" i="120"/>
  <c r="G100" i="120" s="1"/>
  <c r="C435" i="120"/>
  <c r="B435" i="120" s="1"/>
  <c r="F434" i="120"/>
  <c r="D435" i="120"/>
  <c r="E434" i="120"/>
  <c r="D407" i="120"/>
  <c r="C407" i="120"/>
  <c r="B407" i="120" s="1"/>
  <c r="F406" i="120"/>
  <c r="E406" i="120"/>
  <c r="D379" i="120"/>
  <c r="C379" i="120"/>
  <c r="B379" i="120" s="1"/>
  <c r="F378" i="120"/>
  <c r="E378" i="120"/>
  <c r="F349" i="120"/>
  <c r="E349" i="120"/>
  <c r="D350" i="120"/>
  <c r="C350" i="120"/>
  <c r="B350" i="120" s="1"/>
  <c r="E320" i="120"/>
  <c r="F320" i="120"/>
  <c r="D321" i="120"/>
  <c r="C321" i="120"/>
  <c r="B321" i="120" s="1"/>
  <c r="F291" i="120"/>
  <c r="C292" i="120"/>
  <c r="B292" i="120" s="1"/>
  <c r="D292" i="120"/>
  <c r="E291" i="120"/>
  <c r="E262" i="120"/>
  <c r="D263" i="120"/>
  <c r="C263" i="120"/>
  <c r="B263" i="120" s="1"/>
  <c r="F262" i="120"/>
  <c r="E232" i="120"/>
  <c r="F232" i="120"/>
  <c r="D233" i="120"/>
  <c r="C233" i="120"/>
  <c r="B233" i="120" s="1"/>
  <c r="F202" i="120"/>
  <c r="D203" i="120"/>
  <c r="C203" i="120"/>
  <c r="B203" i="120" s="1"/>
  <c r="E202" i="120"/>
  <c r="C173" i="120"/>
  <c r="B173" i="120" s="1"/>
  <c r="D173" i="120"/>
  <c r="F172" i="120"/>
  <c r="E172" i="120"/>
  <c r="C142" i="120"/>
  <c r="B142" i="120" s="1"/>
  <c r="E141" i="120"/>
  <c r="F141" i="120"/>
  <c r="D142" i="120"/>
  <c r="B82" i="120"/>
  <c r="A82" i="120"/>
  <c r="F54" i="120"/>
  <c r="C55" i="120"/>
  <c r="B55" i="120" s="1"/>
  <c r="E54" i="120"/>
  <c r="D55" i="120"/>
  <c r="F109" i="120"/>
  <c r="D110" i="120"/>
  <c r="E109" i="120"/>
  <c r="C110" i="120"/>
  <c r="B110" i="120" s="1"/>
  <c r="D51" i="112"/>
  <c r="F51" i="112" s="1"/>
  <c r="E50" i="112"/>
  <c r="C51" i="112"/>
  <c r="I268" i="120" l="1"/>
  <c r="N40" i="112"/>
  <c r="I206" i="120"/>
  <c r="I199" i="120"/>
  <c r="I198" i="120"/>
  <c r="I253" i="120"/>
  <c r="K253" i="120" s="1"/>
  <c r="I264" i="120"/>
  <c r="I265" i="120"/>
  <c r="H41" i="112"/>
  <c r="N41" i="112" s="1"/>
  <c r="I204" i="120"/>
  <c r="I207" i="120"/>
  <c r="I266" i="120"/>
  <c r="I254" i="120"/>
  <c r="O424" i="120"/>
  <c r="G425" i="120" s="1"/>
  <c r="I442" i="120"/>
  <c r="K424" i="120"/>
  <c r="I386" i="120"/>
  <c r="K368" i="120"/>
  <c r="O368" i="120"/>
  <c r="G369" i="120" s="1"/>
  <c r="H339" i="120"/>
  <c r="O339" i="120" s="1"/>
  <c r="G340" i="120" s="1"/>
  <c r="H310" i="120"/>
  <c r="N310" i="120" s="1"/>
  <c r="N309" i="120"/>
  <c r="O280" i="120"/>
  <c r="G281" i="120" s="1"/>
  <c r="I269" i="120"/>
  <c r="I257" i="120"/>
  <c r="O253" i="120"/>
  <c r="G254" i="120" s="1"/>
  <c r="J254" i="120" s="1"/>
  <c r="N254" i="120" s="1"/>
  <c r="I260" i="120"/>
  <c r="I258" i="120"/>
  <c r="I263" i="120"/>
  <c r="I267" i="120"/>
  <c r="I259" i="120"/>
  <c r="I256" i="120"/>
  <c r="I261" i="120"/>
  <c r="I255" i="120"/>
  <c r="I262" i="120"/>
  <c r="H271" i="120"/>
  <c r="H222" i="120"/>
  <c r="N222" i="120" s="1"/>
  <c r="I201" i="120"/>
  <c r="I195" i="120"/>
  <c r="I203" i="120"/>
  <c r="I194" i="120"/>
  <c r="I209" i="120"/>
  <c r="I202" i="120"/>
  <c r="I200" i="120"/>
  <c r="H212" i="120"/>
  <c r="I205" i="120"/>
  <c r="I208" i="120"/>
  <c r="I196" i="120"/>
  <c r="I197" i="120"/>
  <c r="I210" i="120"/>
  <c r="H163" i="120"/>
  <c r="N130" i="120"/>
  <c r="H100" i="120"/>
  <c r="N100" i="120" s="1"/>
  <c r="F435" i="120"/>
  <c r="D436" i="120"/>
  <c r="E435" i="120"/>
  <c r="C436" i="120"/>
  <c r="B436" i="120" s="1"/>
  <c r="F407" i="120"/>
  <c r="D408" i="120"/>
  <c r="E407" i="120"/>
  <c r="C408" i="120"/>
  <c r="B408" i="120" s="1"/>
  <c r="F379" i="120"/>
  <c r="C380" i="120"/>
  <c r="B380" i="120" s="1"/>
  <c r="D380" i="120"/>
  <c r="E379" i="120"/>
  <c r="E350" i="120"/>
  <c r="C351" i="120"/>
  <c r="B351" i="120" s="1"/>
  <c r="F350" i="120"/>
  <c r="D351" i="120"/>
  <c r="F321" i="120"/>
  <c r="D322" i="120"/>
  <c r="E321" i="120"/>
  <c r="C322" i="120"/>
  <c r="B322" i="120" s="1"/>
  <c r="F292" i="120"/>
  <c r="D293" i="120"/>
  <c r="E292" i="120"/>
  <c r="C293" i="120"/>
  <c r="B293" i="120" s="1"/>
  <c r="F263" i="120"/>
  <c r="E263" i="120"/>
  <c r="D264" i="120"/>
  <c r="C264" i="120"/>
  <c r="B264" i="120" s="1"/>
  <c r="E233" i="120"/>
  <c r="F233" i="120"/>
  <c r="D234" i="120"/>
  <c r="C234" i="120"/>
  <c r="B234" i="120" s="1"/>
  <c r="E203" i="120"/>
  <c r="C204" i="120"/>
  <c r="B204" i="120" s="1"/>
  <c r="F203" i="120"/>
  <c r="D204" i="120"/>
  <c r="F173" i="120"/>
  <c r="D174" i="120"/>
  <c r="E173" i="120"/>
  <c r="C174" i="120"/>
  <c r="B174" i="120" s="1"/>
  <c r="D143" i="120"/>
  <c r="C143" i="120"/>
  <c r="B143" i="120" s="1"/>
  <c r="F142" i="120"/>
  <c r="E142" i="120"/>
  <c r="B83" i="120"/>
  <c r="A83" i="120"/>
  <c r="D111" i="120"/>
  <c r="E110" i="120"/>
  <c r="C111" i="120"/>
  <c r="B111" i="120" s="1"/>
  <c r="F110" i="120"/>
  <c r="F55" i="120"/>
  <c r="C56" i="120"/>
  <c r="B56" i="120" s="1"/>
  <c r="E55" i="120"/>
  <c r="D56" i="120"/>
  <c r="D52" i="112"/>
  <c r="F52" i="112" s="1"/>
  <c r="E51" i="112"/>
  <c r="C52" i="112"/>
  <c r="O41" i="112" l="1"/>
  <c r="G42" i="112" s="1"/>
  <c r="H63" i="112"/>
  <c r="O254" i="120"/>
  <c r="G255" i="120" s="1"/>
  <c r="J255" i="120" s="1"/>
  <c r="K255" i="120" s="1"/>
  <c r="M255" i="120" s="1"/>
  <c r="M424" i="120"/>
  <c r="J425" i="120"/>
  <c r="O425" i="120"/>
  <c r="G426" i="120" s="1"/>
  <c r="O369" i="120"/>
  <c r="G370" i="120" s="1"/>
  <c r="J369" i="120"/>
  <c r="N369" i="120" s="1"/>
  <c r="M368" i="120"/>
  <c r="H340" i="120"/>
  <c r="H358" i="120" s="1"/>
  <c r="N339" i="120"/>
  <c r="O310" i="120"/>
  <c r="G311" i="120" s="1"/>
  <c r="H311" i="120" s="1"/>
  <c r="N311" i="120" s="1"/>
  <c r="H281" i="120"/>
  <c r="O281" i="120" s="1"/>
  <c r="G282" i="120" s="1"/>
  <c r="I271" i="120"/>
  <c r="M253" i="120"/>
  <c r="K254" i="120"/>
  <c r="M254" i="120" s="1"/>
  <c r="O222" i="120"/>
  <c r="G223" i="120" s="1"/>
  <c r="K194" i="120"/>
  <c r="I212" i="120"/>
  <c r="O194" i="120"/>
  <c r="G195" i="120" s="1"/>
  <c r="N163" i="120"/>
  <c r="O163" i="120"/>
  <c r="G164" i="120" s="1"/>
  <c r="O100" i="120"/>
  <c r="G101" i="120" s="1"/>
  <c r="F436" i="120"/>
  <c r="D437" i="120"/>
  <c r="E436" i="120"/>
  <c r="C437" i="120"/>
  <c r="B437" i="120" s="1"/>
  <c r="F408" i="120"/>
  <c r="D409" i="120"/>
  <c r="E408" i="120"/>
  <c r="C409" i="120"/>
  <c r="B409" i="120" s="1"/>
  <c r="F380" i="120"/>
  <c r="D381" i="120"/>
  <c r="E380" i="120"/>
  <c r="C381" i="120"/>
  <c r="B381" i="120" s="1"/>
  <c r="C352" i="120"/>
  <c r="B352" i="120" s="1"/>
  <c r="F351" i="120"/>
  <c r="D352" i="120"/>
  <c r="E351" i="120"/>
  <c r="F322" i="120"/>
  <c r="D323" i="120"/>
  <c r="E322" i="120"/>
  <c r="C323" i="120"/>
  <c r="B323" i="120" s="1"/>
  <c r="D294" i="120"/>
  <c r="E293" i="120"/>
  <c r="F293" i="120"/>
  <c r="C294" i="120"/>
  <c r="B294" i="120" s="1"/>
  <c r="F264" i="120"/>
  <c r="E264" i="120"/>
  <c r="D265" i="120"/>
  <c r="C265" i="120"/>
  <c r="B265" i="120" s="1"/>
  <c r="C235" i="120"/>
  <c r="B235" i="120" s="1"/>
  <c r="F234" i="120"/>
  <c r="D235" i="120"/>
  <c r="E234" i="120"/>
  <c r="C205" i="120"/>
  <c r="B205" i="120" s="1"/>
  <c r="F204" i="120"/>
  <c r="D205" i="120"/>
  <c r="E204" i="120"/>
  <c r="F174" i="120"/>
  <c r="E174" i="120"/>
  <c r="C175" i="120"/>
  <c r="B175" i="120" s="1"/>
  <c r="D175" i="120"/>
  <c r="D144" i="120"/>
  <c r="E143" i="120"/>
  <c r="F143" i="120"/>
  <c r="C144" i="120"/>
  <c r="B144" i="120" s="1"/>
  <c r="B84" i="120"/>
  <c r="A84" i="120"/>
  <c r="C57" i="120"/>
  <c r="B57" i="120" s="1"/>
  <c r="D57" i="120"/>
  <c r="F56" i="120"/>
  <c r="E56" i="120"/>
  <c r="F111" i="120"/>
  <c r="C112" i="120"/>
  <c r="B112" i="120" s="1"/>
  <c r="D112" i="120"/>
  <c r="E111" i="120"/>
  <c r="C53" i="112"/>
  <c r="D53" i="112"/>
  <c r="F53" i="112" s="1"/>
  <c r="E52" i="112"/>
  <c r="O255" i="120" l="1"/>
  <c r="G256" i="120" s="1"/>
  <c r="O256" i="120" s="1"/>
  <c r="G257" i="120" s="1"/>
  <c r="I351" i="120"/>
  <c r="N281" i="120"/>
  <c r="O42" i="112"/>
  <c r="G43" i="112" s="1"/>
  <c r="J42" i="112"/>
  <c r="N42" i="112" s="1"/>
  <c r="I353" i="120"/>
  <c r="K425" i="120"/>
  <c r="I342" i="120"/>
  <c r="O426" i="120"/>
  <c r="G427" i="120" s="1"/>
  <c r="J426" i="120"/>
  <c r="K426" i="120" s="1"/>
  <c r="M426" i="120" s="1"/>
  <c r="N425" i="120"/>
  <c r="K369" i="120"/>
  <c r="J370" i="120"/>
  <c r="K370" i="120" s="1"/>
  <c r="M370" i="120" s="1"/>
  <c r="O370" i="120"/>
  <c r="G371" i="120" s="1"/>
  <c r="I343" i="120"/>
  <c r="I347" i="120"/>
  <c r="I350" i="120"/>
  <c r="I354" i="120"/>
  <c r="I348" i="120"/>
  <c r="I356" i="120"/>
  <c r="I344" i="120"/>
  <c r="I349" i="120"/>
  <c r="I345" i="120"/>
  <c r="I346" i="120"/>
  <c r="I340" i="120"/>
  <c r="K340" i="120" s="1"/>
  <c r="I355" i="120"/>
  <c r="I352" i="120"/>
  <c r="I341" i="120"/>
  <c r="N340" i="120"/>
  <c r="H329" i="120"/>
  <c r="I317" i="120"/>
  <c r="I312" i="120"/>
  <c r="I318" i="120"/>
  <c r="I325" i="120"/>
  <c r="I320" i="120"/>
  <c r="I321" i="120"/>
  <c r="I313" i="120"/>
  <c r="I319" i="120"/>
  <c r="I316" i="120"/>
  <c r="I326" i="120"/>
  <c r="I315" i="120"/>
  <c r="I323" i="120"/>
  <c r="I324" i="120"/>
  <c r="I311" i="120"/>
  <c r="I314" i="120"/>
  <c r="I322" i="120"/>
  <c r="I327" i="120"/>
  <c r="H282" i="120"/>
  <c r="N282" i="120" s="1"/>
  <c r="N255" i="120"/>
  <c r="H223" i="120"/>
  <c r="O223" i="120" s="1"/>
  <c r="G224" i="120" s="1"/>
  <c r="J195" i="120"/>
  <c r="N195" i="120" s="1"/>
  <c r="O195" i="120"/>
  <c r="G196" i="120" s="1"/>
  <c r="M194" i="120"/>
  <c r="H164" i="120"/>
  <c r="H101" i="120"/>
  <c r="O101" i="120" s="1"/>
  <c r="G102" i="120" s="1"/>
  <c r="F437" i="120"/>
  <c r="E437" i="120"/>
  <c r="D438" i="120"/>
  <c r="C438" i="120"/>
  <c r="B438" i="120" s="1"/>
  <c r="F409" i="120"/>
  <c r="D410" i="120"/>
  <c r="E409" i="120"/>
  <c r="C410" i="120"/>
  <c r="B410" i="120" s="1"/>
  <c r="F381" i="120"/>
  <c r="D382" i="120"/>
  <c r="E381" i="120"/>
  <c r="C382" i="120"/>
  <c r="B382" i="120" s="1"/>
  <c r="F352" i="120"/>
  <c r="D353" i="120"/>
  <c r="E352" i="120"/>
  <c r="C353" i="120"/>
  <c r="B353" i="120" s="1"/>
  <c r="D324" i="120"/>
  <c r="E323" i="120"/>
  <c r="F323" i="120"/>
  <c r="C324" i="120"/>
  <c r="B324" i="120" s="1"/>
  <c r="C295" i="120"/>
  <c r="B295" i="120" s="1"/>
  <c r="F294" i="120"/>
  <c r="D295" i="120"/>
  <c r="E294" i="120"/>
  <c r="F265" i="120"/>
  <c r="D266" i="120"/>
  <c r="E265" i="120"/>
  <c r="C266" i="120"/>
  <c r="B266" i="120" s="1"/>
  <c r="F235" i="120"/>
  <c r="D236" i="120"/>
  <c r="E235" i="120"/>
  <c r="C236" i="120"/>
  <c r="B236" i="120" s="1"/>
  <c r="F205" i="120"/>
  <c r="D206" i="120"/>
  <c r="E205" i="120"/>
  <c r="C206" i="120"/>
  <c r="B206" i="120" s="1"/>
  <c r="C176" i="120"/>
  <c r="B176" i="120" s="1"/>
  <c r="D176" i="120"/>
  <c r="F175" i="120"/>
  <c r="E175" i="120"/>
  <c r="C145" i="120"/>
  <c r="B145" i="120" s="1"/>
  <c r="F144" i="120"/>
  <c r="D145" i="120"/>
  <c r="E144" i="120"/>
  <c r="A85" i="120"/>
  <c r="B85" i="120"/>
  <c r="F57" i="120"/>
  <c r="D58" i="120"/>
  <c r="C58" i="120"/>
  <c r="B58" i="120" s="1"/>
  <c r="E57" i="120"/>
  <c r="F112" i="120"/>
  <c r="D113" i="120"/>
  <c r="E112" i="120"/>
  <c r="C113" i="120"/>
  <c r="B113" i="120" s="1"/>
  <c r="D54" i="112"/>
  <c r="F54" i="112" s="1"/>
  <c r="E53" i="112"/>
  <c r="C54" i="112"/>
  <c r="F58" i="120" l="1"/>
  <c r="H18" i="168"/>
  <c r="I18" i="168" s="1"/>
  <c r="J256" i="120"/>
  <c r="N256" i="120" s="1"/>
  <c r="N426" i="120"/>
  <c r="O43" i="112"/>
  <c r="G44" i="112" s="1"/>
  <c r="J43" i="112"/>
  <c r="K43" i="112" s="1"/>
  <c r="M43" i="112" s="1"/>
  <c r="K42" i="112"/>
  <c r="I288" i="120"/>
  <c r="I291" i="120"/>
  <c r="I294" i="120"/>
  <c r="I298" i="120"/>
  <c r="J427" i="120"/>
  <c r="N427" i="120" s="1"/>
  <c r="O427" i="120"/>
  <c r="G428" i="120" s="1"/>
  <c r="I293" i="120"/>
  <c r="M425" i="120"/>
  <c r="N370" i="120"/>
  <c r="M369" i="120"/>
  <c r="O371" i="120"/>
  <c r="G372" i="120" s="1"/>
  <c r="J371" i="120"/>
  <c r="K371" i="120" s="1"/>
  <c r="M371" i="120" s="1"/>
  <c r="O340" i="120"/>
  <c r="G341" i="120" s="1"/>
  <c r="O341" i="120" s="1"/>
  <c r="G342" i="120" s="1"/>
  <c r="I358" i="120"/>
  <c r="M340" i="120"/>
  <c r="O311" i="120"/>
  <c r="G312" i="120" s="1"/>
  <c r="I329" i="120"/>
  <c r="K311" i="120"/>
  <c r="I287" i="120"/>
  <c r="I292" i="120"/>
  <c r="I290" i="120"/>
  <c r="I297" i="120"/>
  <c r="I283" i="120"/>
  <c r="I285" i="120"/>
  <c r="I284" i="120"/>
  <c r="I286" i="120"/>
  <c r="I296" i="120"/>
  <c r="I282" i="120"/>
  <c r="O282" i="120" s="1"/>
  <c r="G283" i="120" s="1"/>
  <c r="I295" i="120"/>
  <c r="I289" i="120"/>
  <c r="H300" i="120"/>
  <c r="K256" i="120"/>
  <c r="O257" i="120"/>
  <c r="G258" i="120" s="1"/>
  <c r="J257" i="120"/>
  <c r="K257" i="120" s="1"/>
  <c r="M257" i="120" s="1"/>
  <c r="H224" i="120"/>
  <c r="H242" i="120" s="1"/>
  <c r="N223" i="120"/>
  <c r="O196" i="120"/>
  <c r="G197" i="120" s="1"/>
  <c r="J196" i="120"/>
  <c r="K196" i="120" s="1"/>
  <c r="M196" i="120" s="1"/>
  <c r="K195" i="120"/>
  <c r="H182" i="120"/>
  <c r="I180" i="120"/>
  <c r="I173" i="120"/>
  <c r="I167" i="120"/>
  <c r="I174" i="120"/>
  <c r="I166" i="120"/>
  <c r="I169" i="120"/>
  <c r="I179" i="120"/>
  <c r="I165" i="120"/>
  <c r="I175" i="120"/>
  <c r="I168" i="120"/>
  <c r="I177" i="120"/>
  <c r="I170" i="120"/>
  <c r="I178" i="120"/>
  <c r="I176" i="120"/>
  <c r="I172" i="120"/>
  <c r="I171" i="120"/>
  <c r="I164" i="120"/>
  <c r="O164" i="120" s="1"/>
  <c r="G165" i="120" s="1"/>
  <c r="N164" i="120"/>
  <c r="H102" i="120"/>
  <c r="N102" i="120" s="1"/>
  <c r="N101" i="120"/>
  <c r="D439" i="120"/>
  <c r="E438" i="120"/>
  <c r="C439" i="120"/>
  <c r="B439" i="120" s="1"/>
  <c r="F438" i="120"/>
  <c r="D411" i="120"/>
  <c r="E410" i="120"/>
  <c r="C411" i="120"/>
  <c r="B411" i="120" s="1"/>
  <c r="F410" i="120"/>
  <c r="F382" i="120"/>
  <c r="E382" i="120"/>
  <c r="C383" i="120"/>
  <c r="B383" i="120" s="1"/>
  <c r="D383" i="120"/>
  <c r="F353" i="120"/>
  <c r="D354" i="120"/>
  <c r="E353" i="120"/>
  <c r="C354" i="120"/>
  <c r="B354" i="120" s="1"/>
  <c r="F324" i="120"/>
  <c r="E324" i="120"/>
  <c r="C325" i="120"/>
  <c r="B325" i="120" s="1"/>
  <c r="D325" i="120"/>
  <c r="F295" i="120"/>
  <c r="D296" i="120"/>
  <c r="E295" i="120"/>
  <c r="C296" i="120"/>
  <c r="B296" i="120" s="1"/>
  <c r="F266" i="120"/>
  <c r="D267" i="120"/>
  <c r="E266" i="120"/>
  <c r="C267" i="120"/>
  <c r="B267" i="120" s="1"/>
  <c r="D237" i="120"/>
  <c r="E236" i="120"/>
  <c r="F236" i="120"/>
  <c r="C237" i="120"/>
  <c r="B237" i="120" s="1"/>
  <c r="F206" i="120"/>
  <c r="D207" i="120"/>
  <c r="E206" i="120"/>
  <c r="C207" i="120"/>
  <c r="B207" i="120" s="1"/>
  <c r="F176" i="120"/>
  <c r="D177" i="120"/>
  <c r="E176" i="120"/>
  <c r="C177" i="120"/>
  <c r="B177" i="120" s="1"/>
  <c r="F145" i="120"/>
  <c r="D146" i="120"/>
  <c r="E145" i="120"/>
  <c r="C146" i="120"/>
  <c r="B146" i="120" s="1"/>
  <c r="E58" i="120"/>
  <c r="D114" i="120"/>
  <c r="E113" i="120"/>
  <c r="C114" i="120"/>
  <c r="B114" i="120" s="1"/>
  <c r="F113" i="120"/>
  <c r="E54" i="112"/>
  <c r="D55" i="112"/>
  <c r="F55" i="112" s="1"/>
  <c r="C55" i="112"/>
  <c r="N43" i="112" l="1"/>
  <c r="I114" i="120"/>
  <c r="I108" i="120"/>
  <c r="I103" i="120"/>
  <c r="I105" i="120"/>
  <c r="O44" i="112"/>
  <c r="G45" i="112" s="1"/>
  <c r="J44" i="112"/>
  <c r="K44" i="112" s="1"/>
  <c r="M44" i="112" s="1"/>
  <c r="M42" i="112"/>
  <c r="I226" i="120"/>
  <c r="I109" i="120"/>
  <c r="I115" i="120"/>
  <c r="I225" i="120"/>
  <c r="I112" i="120"/>
  <c r="I117" i="120"/>
  <c r="I111" i="120"/>
  <c r="I240" i="120"/>
  <c r="I300" i="120"/>
  <c r="I104" i="120"/>
  <c r="I102" i="120"/>
  <c r="O102" i="120" s="1"/>
  <c r="G103" i="120" s="1"/>
  <c r="J428" i="120"/>
  <c r="K428" i="120" s="1"/>
  <c r="M428" i="120" s="1"/>
  <c r="O428" i="120"/>
  <c r="G429" i="120" s="1"/>
  <c r="K427" i="120"/>
  <c r="N371" i="120"/>
  <c r="O372" i="120"/>
  <c r="G373" i="120" s="1"/>
  <c r="J372" i="120"/>
  <c r="K372" i="120" s="1"/>
  <c r="J341" i="120"/>
  <c r="N341" i="120" s="1"/>
  <c r="O342" i="120"/>
  <c r="G343" i="120" s="1"/>
  <c r="J342" i="120"/>
  <c r="K342" i="120" s="1"/>
  <c r="M342" i="120" s="1"/>
  <c r="M311" i="120"/>
  <c r="O312" i="120"/>
  <c r="G313" i="120" s="1"/>
  <c r="J312" i="120"/>
  <c r="K282" i="120"/>
  <c r="M282" i="120" s="1"/>
  <c r="J283" i="120"/>
  <c r="N283" i="120" s="1"/>
  <c r="O283" i="120"/>
  <c r="G284" i="120" s="1"/>
  <c r="O258" i="120"/>
  <c r="G259" i="120" s="1"/>
  <c r="J258" i="120"/>
  <c r="K258" i="120" s="1"/>
  <c r="M258" i="120" s="1"/>
  <c r="N257" i="120"/>
  <c r="M256" i="120"/>
  <c r="I228" i="120"/>
  <c r="I234" i="120"/>
  <c r="I238" i="120"/>
  <c r="I232" i="120"/>
  <c r="I227" i="120"/>
  <c r="I233" i="120"/>
  <c r="I231" i="120"/>
  <c r="I236" i="120"/>
  <c r="I229" i="120"/>
  <c r="I230" i="120"/>
  <c r="I224" i="120"/>
  <c r="O224" i="120" s="1"/>
  <c r="G225" i="120" s="1"/>
  <c r="I239" i="120"/>
  <c r="I235" i="120"/>
  <c r="I237" i="120"/>
  <c r="N224" i="120"/>
  <c r="O197" i="120"/>
  <c r="G198" i="120" s="1"/>
  <c r="J197" i="120"/>
  <c r="K197" i="120" s="1"/>
  <c r="M197" i="120" s="1"/>
  <c r="N196" i="120"/>
  <c r="M195" i="120"/>
  <c r="J165" i="120"/>
  <c r="O165" i="120"/>
  <c r="G166" i="120" s="1"/>
  <c r="K164" i="120"/>
  <c r="I182" i="120"/>
  <c r="I118" i="120"/>
  <c r="I113" i="120"/>
  <c r="I116" i="120"/>
  <c r="I110" i="120"/>
  <c r="I107" i="120"/>
  <c r="I106" i="120"/>
  <c r="H120" i="120"/>
  <c r="C440" i="120"/>
  <c r="B440" i="120" s="1"/>
  <c r="F439" i="120"/>
  <c r="E439" i="120"/>
  <c r="D440" i="120"/>
  <c r="C412" i="120"/>
  <c r="B412" i="120" s="1"/>
  <c r="F411" i="120"/>
  <c r="E411" i="120"/>
  <c r="D412" i="120"/>
  <c r="D384" i="120"/>
  <c r="E383" i="120"/>
  <c r="C384" i="120"/>
  <c r="B384" i="120" s="1"/>
  <c r="F383" i="120"/>
  <c r="D355" i="120"/>
  <c r="E354" i="120"/>
  <c r="C355" i="120"/>
  <c r="B355" i="120" s="1"/>
  <c r="F354" i="120"/>
  <c r="D326" i="120"/>
  <c r="E325" i="120"/>
  <c r="C326" i="120"/>
  <c r="B326" i="120" s="1"/>
  <c r="F325" i="120"/>
  <c r="D297" i="120"/>
  <c r="E296" i="120"/>
  <c r="C297" i="120"/>
  <c r="B297" i="120" s="1"/>
  <c r="F296" i="120"/>
  <c r="F267" i="120"/>
  <c r="D268" i="120"/>
  <c r="E267" i="120"/>
  <c r="C268" i="120"/>
  <c r="B268" i="120" s="1"/>
  <c r="F237" i="120"/>
  <c r="C238" i="120"/>
  <c r="B238" i="120" s="1"/>
  <c r="D238" i="120"/>
  <c r="E237" i="120"/>
  <c r="F207" i="120"/>
  <c r="D208" i="120"/>
  <c r="C208" i="120"/>
  <c r="B208" i="120" s="1"/>
  <c r="E207" i="120"/>
  <c r="F177" i="120"/>
  <c r="D178" i="120"/>
  <c r="E177" i="120"/>
  <c r="C178" i="120"/>
  <c r="B178" i="120" s="1"/>
  <c r="F146" i="120"/>
  <c r="D147" i="120"/>
  <c r="E146" i="120"/>
  <c r="C147" i="120"/>
  <c r="B147" i="120" s="1"/>
  <c r="C115" i="120"/>
  <c r="B115" i="120" s="1"/>
  <c r="F114" i="120"/>
  <c r="E114" i="120"/>
  <c r="D115" i="120"/>
  <c r="D56" i="112"/>
  <c r="F56" i="112" s="1"/>
  <c r="C56" i="112"/>
  <c r="E55" i="112"/>
  <c r="N44" i="112" l="1"/>
  <c r="O45" i="112"/>
  <c r="G46" i="112" s="1"/>
  <c r="J45" i="112"/>
  <c r="K45" i="112" s="1"/>
  <c r="M45" i="112" s="1"/>
  <c r="K224" i="120"/>
  <c r="M224" i="120" s="1"/>
  <c r="I120" i="120"/>
  <c r="K102" i="120"/>
  <c r="M102" i="120" s="1"/>
  <c r="M427" i="120"/>
  <c r="N428" i="120"/>
  <c r="N197" i="120"/>
  <c r="O429" i="120"/>
  <c r="G430" i="120" s="1"/>
  <c r="J429" i="120"/>
  <c r="N429" i="120" s="1"/>
  <c r="N372" i="120"/>
  <c r="M372" i="120"/>
  <c r="O373" i="120"/>
  <c r="G374" i="120" s="1"/>
  <c r="J373" i="120"/>
  <c r="K373" i="120" s="1"/>
  <c r="M373" i="120" s="1"/>
  <c r="K341" i="120"/>
  <c r="M341" i="120" s="1"/>
  <c r="N342" i="120"/>
  <c r="O343" i="120"/>
  <c r="G344" i="120" s="1"/>
  <c r="J343" i="120"/>
  <c r="N343" i="120" s="1"/>
  <c r="K312" i="120"/>
  <c r="J313" i="120"/>
  <c r="K313" i="120" s="1"/>
  <c r="M313" i="120" s="1"/>
  <c r="O313" i="120"/>
  <c r="G314" i="120" s="1"/>
  <c r="N312" i="120"/>
  <c r="J284" i="120"/>
  <c r="K284" i="120" s="1"/>
  <c r="M284" i="120" s="1"/>
  <c r="O284" i="120"/>
  <c r="G285" i="120" s="1"/>
  <c r="K283" i="120"/>
  <c r="N258" i="120"/>
  <c r="O259" i="120"/>
  <c r="G260" i="120" s="1"/>
  <c r="J259" i="120"/>
  <c r="N259" i="120" s="1"/>
  <c r="I242" i="120"/>
  <c r="J225" i="120"/>
  <c r="O225" i="120"/>
  <c r="G226" i="120" s="1"/>
  <c r="O198" i="120"/>
  <c r="G199" i="120" s="1"/>
  <c r="J198" i="120"/>
  <c r="K198" i="120" s="1"/>
  <c r="M198" i="120" s="1"/>
  <c r="M164" i="120"/>
  <c r="K165" i="120"/>
  <c r="M165" i="120" s="1"/>
  <c r="N165" i="120"/>
  <c r="J166" i="120"/>
  <c r="K166" i="120" s="1"/>
  <c r="M166" i="120" s="1"/>
  <c r="O166" i="120"/>
  <c r="G167" i="120" s="1"/>
  <c r="O103" i="120"/>
  <c r="G104" i="120" s="1"/>
  <c r="J103" i="120"/>
  <c r="F440" i="120"/>
  <c r="E440" i="120"/>
  <c r="F412" i="120"/>
  <c r="E412" i="120"/>
  <c r="F384" i="120"/>
  <c r="E384" i="120"/>
  <c r="C356" i="120"/>
  <c r="B356" i="120" s="1"/>
  <c r="E355" i="120"/>
  <c r="F355" i="120"/>
  <c r="D356" i="120"/>
  <c r="C327" i="120"/>
  <c r="B327" i="120" s="1"/>
  <c r="F326" i="120"/>
  <c r="D327" i="120"/>
  <c r="E326" i="120"/>
  <c r="C298" i="120"/>
  <c r="B298" i="120" s="1"/>
  <c r="F297" i="120"/>
  <c r="D298" i="120"/>
  <c r="E297" i="120"/>
  <c r="D269" i="120"/>
  <c r="E268" i="120"/>
  <c r="C269" i="120"/>
  <c r="B269" i="120" s="1"/>
  <c r="F268" i="120"/>
  <c r="D239" i="120"/>
  <c r="E238" i="120"/>
  <c r="C239" i="120"/>
  <c r="B239" i="120" s="1"/>
  <c r="F238" i="120"/>
  <c r="D209" i="120"/>
  <c r="E208" i="120"/>
  <c r="C209" i="120"/>
  <c r="B209" i="120" s="1"/>
  <c r="F208" i="120"/>
  <c r="F178" i="120"/>
  <c r="D179" i="120"/>
  <c r="E178" i="120"/>
  <c r="C179" i="120"/>
  <c r="B179" i="120" s="1"/>
  <c r="F147" i="120"/>
  <c r="D148" i="120"/>
  <c r="C148" i="120"/>
  <c r="B148" i="120" s="1"/>
  <c r="E147" i="120"/>
  <c r="F115" i="120"/>
  <c r="E115" i="120"/>
  <c r="D116" i="120"/>
  <c r="C116" i="120"/>
  <c r="B116" i="120" s="1"/>
  <c r="E56" i="112"/>
  <c r="D57" i="112"/>
  <c r="F57" i="112" s="1"/>
  <c r="C57" i="112"/>
  <c r="N45" i="112" l="1"/>
  <c r="N198" i="120"/>
  <c r="O46" i="112"/>
  <c r="G47" i="112" s="1"/>
  <c r="J46" i="112"/>
  <c r="K46" i="112" s="1"/>
  <c r="M46" i="112" s="1"/>
  <c r="K429" i="120"/>
  <c r="O430" i="120"/>
  <c r="G431" i="120" s="1"/>
  <c r="J430" i="120"/>
  <c r="K430" i="120" s="1"/>
  <c r="M430" i="120" s="1"/>
  <c r="J374" i="120"/>
  <c r="K374" i="120" s="1"/>
  <c r="M374" i="120" s="1"/>
  <c r="O374" i="120"/>
  <c r="G375" i="120" s="1"/>
  <c r="N373" i="120"/>
  <c r="K343" i="120"/>
  <c r="O344" i="120"/>
  <c r="G345" i="120" s="1"/>
  <c r="J344" i="120"/>
  <c r="K344" i="120" s="1"/>
  <c r="M344" i="120" s="1"/>
  <c r="J314" i="120"/>
  <c r="K314" i="120" s="1"/>
  <c r="M314" i="120" s="1"/>
  <c r="O314" i="120"/>
  <c r="G315" i="120" s="1"/>
  <c r="N313" i="120"/>
  <c r="M312" i="120"/>
  <c r="N284" i="120"/>
  <c r="O285" i="120"/>
  <c r="G286" i="120" s="1"/>
  <c r="J285" i="120"/>
  <c r="N285" i="120" s="1"/>
  <c r="M283" i="120"/>
  <c r="K259" i="120"/>
  <c r="O260" i="120"/>
  <c r="G261" i="120" s="1"/>
  <c r="J260" i="120"/>
  <c r="K260" i="120" s="1"/>
  <c r="M260" i="120" s="1"/>
  <c r="O226" i="120"/>
  <c r="G227" i="120" s="1"/>
  <c r="J226" i="120"/>
  <c r="K226" i="120" s="1"/>
  <c r="M226" i="120" s="1"/>
  <c r="K225" i="120"/>
  <c r="N225" i="120"/>
  <c r="J199" i="120"/>
  <c r="K199" i="120" s="1"/>
  <c r="M199" i="120" s="1"/>
  <c r="O199" i="120"/>
  <c r="G200" i="120" s="1"/>
  <c r="N166" i="120"/>
  <c r="J167" i="120"/>
  <c r="N167" i="120" s="1"/>
  <c r="O167" i="120"/>
  <c r="G168" i="120" s="1"/>
  <c r="N103" i="120"/>
  <c r="K103" i="120"/>
  <c r="O104" i="120"/>
  <c r="G105" i="120" s="1"/>
  <c r="J104" i="120"/>
  <c r="F356" i="120"/>
  <c r="E356" i="120"/>
  <c r="F327" i="120"/>
  <c r="E327" i="120"/>
  <c r="F298" i="120"/>
  <c r="E298" i="120"/>
  <c r="F269" i="120"/>
  <c r="E269" i="120"/>
  <c r="C240" i="120"/>
  <c r="B240" i="120" s="1"/>
  <c r="F239" i="120"/>
  <c r="E239" i="120"/>
  <c r="D240" i="120"/>
  <c r="C210" i="120"/>
  <c r="B210" i="120" s="1"/>
  <c r="F209" i="120"/>
  <c r="E209" i="120"/>
  <c r="D210" i="120"/>
  <c r="D180" i="120"/>
  <c r="E179" i="120"/>
  <c r="C180" i="120"/>
  <c r="B180" i="120" s="1"/>
  <c r="F179" i="120"/>
  <c r="D149" i="120"/>
  <c r="E148" i="120"/>
  <c r="C149" i="120"/>
  <c r="B149" i="120" s="1"/>
  <c r="F148" i="120"/>
  <c r="C117" i="120"/>
  <c r="B117" i="120" s="1"/>
  <c r="D117" i="120"/>
  <c r="F116" i="120"/>
  <c r="E116" i="120"/>
  <c r="D58" i="112"/>
  <c r="C58" i="112"/>
  <c r="E57" i="112"/>
  <c r="O47" i="112" l="1"/>
  <c r="G48" i="112" s="1"/>
  <c r="J47" i="112"/>
  <c r="K47" i="112" s="1"/>
  <c r="M47" i="112" s="1"/>
  <c r="N46" i="112"/>
  <c r="J431" i="120"/>
  <c r="K431" i="120" s="1"/>
  <c r="M431" i="120" s="1"/>
  <c r="O431" i="120"/>
  <c r="G432" i="120" s="1"/>
  <c r="N430" i="120"/>
  <c r="M429" i="120"/>
  <c r="N374" i="120"/>
  <c r="O375" i="120"/>
  <c r="G376" i="120" s="1"/>
  <c r="J375" i="120"/>
  <c r="K375" i="120" s="1"/>
  <c r="M375" i="120" s="1"/>
  <c r="N344" i="120"/>
  <c r="O345" i="120"/>
  <c r="G346" i="120" s="1"/>
  <c r="J345" i="120"/>
  <c r="N345" i="120" s="1"/>
  <c r="M343" i="120"/>
  <c r="N314" i="120"/>
  <c r="O315" i="120"/>
  <c r="G316" i="120" s="1"/>
  <c r="J315" i="120"/>
  <c r="N315" i="120" s="1"/>
  <c r="K285" i="120"/>
  <c r="J286" i="120"/>
  <c r="K286" i="120" s="1"/>
  <c r="M286" i="120" s="1"/>
  <c r="O286" i="120"/>
  <c r="G287" i="120" s="1"/>
  <c r="O261" i="120"/>
  <c r="G262" i="120" s="1"/>
  <c r="J261" i="120"/>
  <c r="K261" i="120" s="1"/>
  <c r="M261" i="120" s="1"/>
  <c r="N260" i="120"/>
  <c r="M259" i="120"/>
  <c r="N226" i="120"/>
  <c r="J227" i="120"/>
  <c r="O227" i="120"/>
  <c r="G228" i="120" s="1"/>
  <c r="M225" i="120"/>
  <c r="J200" i="120"/>
  <c r="K200" i="120" s="1"/>
  <c r="M200" i="120" s="1"/>
  <c r="O200" i="120"/>
  <c r="G201" i="120" s="1"/>
  <c r="N199" i="120"/>
  <c r="O168" i="120"/>
  <c r="G169" i="120" s="1"/>
  <c r="J168" i="120"/>
  <c r="K168" i="120" s="1"/>
  <c r="M168" i="120" s="1"/>
  <c r="K167" i="120"/>
  <c r="M103" i="120"/>
  <c r="N104" i="120"/>
  <c r="K104" i="120"/>
  <c r="M104" i="120" s="1"/>
  <c r="J105" i="120"/>
  <c r="N105" i="120" s="1"/>
  <c r="O105" i="120"/>
  <c r="G106" i="120" s="1"/>
  <c r="F240" i="120"/>
  <c r="E240" i="120"/>
  <c r="F210" i="120"/>
  <c r="E210" i="120"/>
  <c r="F180" i="120"/>
  <c r="E180" i="120"/>
  <c r="C150" i="120"/>
  <c r="B150" i="120" s="1"/>
  <c r="E149" i="120"/>
  <c r="F149" i="120"/>
  <c r="D150" i="120"/>
  <c r="C118" i="120"/>
  <c r="B118" i="120" s="1"/>
  <c r="D118" i="120"/>
  <c r="E117" i="120"/>
  <c r="F117" i="120"/>
  <c r="F58" i="112"/>
  <c r="D59" i="112"/>
  <c r="E58" i="112"/>
  <c r="C59" i="112"/>
  <c r="N47" i="112" l="1"/>
  <c r="O48" i="112"/>
  <c r="G49" i="112" s="1"/>
  <c r="J48" i="112"/>
  <c r="K48" i="112" s="1"/>
  <c r="M48" i="112" s="1"/>
  <c r="N200" i="120"/>
  <c r="J432" i="120"/>
  <c r="K432" i="120" s="1"/>
  <c r="M432" i="120" s="1"/>
  <c r="O432" i="120"/>
  <c r="G433" i="120" s="1"/>
  <c r="N431" i="120"/>
  <c r="N375" i="120"/>
  <c r="O376" i="120"/>
  <c r="G377" i="120" s="1"/>
  <c r="J376" i="120"/>
  <c r="K376" i="120" s="1"/>
  <c r="M376" i="120" s="1"/>
  <c r="K345" i="120"/>
  <c r="O346" i="120"/>
  <c r="G347" i="120" s="1"/>
  <c r="J346" i="120"/>
  <c r="K346" i="120" s="1"/>
  <c r="M346" i="120" s="1"/>
  <c r="K315" i="120"/>
  <c r="J316" i="120"/>
  <c r="K316" i="120" s="1"/>
  <c r="M316" i="120" s="1"/>
  <c r="O316" i="120"/>
  <c r="G317" i="120" s="1"/>
  <c r="N286" i="120"/>
  <c r="M285" i="120"/>
  <c r="J287" i="120"/>
  <c r="O287" i="120"/>
  <c r="G288" i="120" s="1"/>
  <c r="N261" i="120"/>
  <c r="O262" i="120"/>
  <c r="G263" i="120" s="1"/>
  <c r="J262" i="120"/>
  <c r="K262" i="120" s="1"/>
  <c r="M262" i="120" s="1"/>
  <c r="K227" i="120"/>
  <c r="N227" i="120"/>
  <c r="O228" i="120"/>
  <c r="G229" i="120" s="1"/>
  <c r="J228" i="120"/>
  <c r="K228" i="120" s="1"/>
  <c r="M228" i="120" s="1"/>
  <c r="J201" i="120"/>
  <c r="K201" i="120" s="1"/>
  <c r="M201" i="120" s="1"/>
  <c r="O201" i="120"/>
  <c r="G202" i="120" s="1"/>
  <c r="N168" i="120"/>
  <c r="O169" i="120"/>
  <c r="G170" i="120" s="1"/>
  <c r="J169" i="120"/>
  <c r="N169" i="120" s="1"/>
  <c r="M167" i="120"/>
  <c r="J106" i="120"/>
  <c r="K106" i="120" s="1"/>
  <c r="M106" i="120" s="1"/>
  <c r="O106" i="120"/>
  <c r="G107" i="120" s="1"/>
  <c r="K105" i="120"/>
  <c r="M105" i="120" s="1"/>
  <c r="F150" i="120"/>
  <c r="E150" i="120"/>
  <c r="E118" i="120"/>
  <c r="F118" i="120"/>
  <c r="D60" i="112"/>
  <c r="E59" i="112"/>
  <c r="C60" i="112"/>
  <c r="F59" i="112"/>
  <c r="N48" i="112" l="1"/>
  <c r="N432" i="120"/>
  <c r="O49" i="112"/>
  <c r="G50" i="112" s="1"/>
  <c r="J49" i="112"/>
  <c r="K49" i="112" s="1"/>
  <c r="M49" i="112" s="1"/>
  <c r="J433" i="120"/>
  <c r="K433" i="120" s="1"/>
  <c r="M433" i="120" s="1"/>
  <c r="O433" i="120"/>
  <c r="G434" i="120" s="1"/>
  <c r="N376" i="120"/>
  <c r="J377" i="120"/>
  <c r="K377" i="120" s="1"/>
  <c r="M377" i="120" s="1"/>
  <c r="O377" i="120"/>
  <c r="G378" i="120" s="1"/>
  <c r="J347" i="120"/>
  <c r="K347" i="120" s="1"/>
  <c r="M347" i="120" s="1"/>
  <c r="O347" i="120"/>
  <c r="G348" i="120" s="1"/>
  <c r="N346" i="120"/>
  <c r="M345" i="120"/>
  <c r="O317" i="120"/>
  <c r="G318" i="120" s="1"/>
  <c r="J317" i="120"/>
  <c r="K317" i="120" s="1"/>
  <c r="M317" i="120" s="1"/>
  <c r="N316" i="120"/>
  <c r="M315" i="120"/>
  <c r="K287" i="120"/>
  <c r="O288" i="120"/>
  <c r="G289" i="120" s="1"/>
  <c r="J288" i="120"/>
  <c r="K288" i="120" s="1"/>
  <c r="M288" i="120" s="1"/>
  <c r="N287" i="120"/>
  <c r="N262" i="120"/>
  <c r="J263" i="120"/>
  <c r="K263" i="120" s="1"/>
  <c r="M263" i="120" s="1"/>
  <c r="O263" i="120"/>
  <c r="G264" i="120" s="1"/>
  <c r="N228" i="120"/>
  <c r="O229" i="120"/>
  <c r="G230" i="120" s="1"/>
  <c r="J229" i="120"/>
  <c r="K229" i="120" s="1"/>
  <c r="M229" i="120" s="1"/>
  <c r="M227" i="120"/>
  <c r="N201" i="120"/>
  <c r="J202" i="120"/>
  <c r="K202" i="120" s="1"/>
  <c r="M202" i="120" s="1"/>
  <c r="O202" i="120"/>
  <c r="G203" i="120" s="1"/>
  <c r="J170" i="120"/>
  <c r="K170" i="120" s="1"/>
  <c r="M170" i="120" s="1"/>
  <c r="O170" i="120"/>
  <c r="G171" i="120" s="1"/>
  <c r="K169" i="120"/>
  <c r="N106" i="120"/>
  <c r="O107" i="120"/>
  <c r="G108" i="120" s="1"/>
  <c r="J107" i="120"/>
  <c r="C61" i="112"/>
  <c r="F60" i="112"/>
  <c r="D61" i="112"/>
  <c r="E60" i="112"/>
  <c r="N49" i="112" l="1"/>
  <c r="N202" i="120"/>
  <c r="O50" i="112"/>
  <c r="G51" i="112" s="1"/>
  <c r="J50" i="112"/>
  <c r="K50" i="112" s="1"/>
  <c r="M50" i="112" s="1"/>
  <c r="N433" i="120"/>
  <c r="O434" i="120"/>
  <c r="G435" i="120" s="1"/>
  <c r="J434" i="120"/>
  <c r="K434" i="120" s="1"/>
  <c r="M434" i="120" s="1"/>
  <c r="N377" i="120"/>
  <c r="O378" i="120"/>
  <c r="G379" i="120" s="1"/>
  <c r="J378" i="120"/>
  <c r="K378" i="120" s="1"/>
  <c r="M378" i="120" s="1"/>
  <c r="N347" i="120"/>
  <c r="O348" i="120"/>
  <c r="G349" i="120" s="1"/>
  <c r="J348" i="120"/>
  <c r="N348" i="120" s="1"/>
  <c r="N317" i="120"/>
  <c r="J318" i="120"/>
  <c r="N318" i="120" s="1"/>
  <c r="O318" i="120"/>
  <c r="G319" i="120" s="1"/>
  <c r="O289" i="120"/>
  <c r="G290" i="120" s="1"/>
  <c r="J289" i="120"/>
  <c r="N289" i="120" s="1"/>
  <c r="N288" i="120"/>
  <c r="M287" i="120"/>
  <c r="N263" i="120"/>
  <c r="O264" i="120"/>
  <c r="G265" i="120" s="1"/>
  <c r="J264" i="120"/>
  <c r="K264" i="120" s="1"/>
  <c r="M264" i="120" s="1"/>
  <c r="N229" i="120"/>
  <c r="O230" i="120"/>
  <c r="G231" i="120" s="1"/>
  <c r="J230" i="120"/>
  <c r="N230" i="120" s="1"/>
  <c r="O203" i="120"/>
  <c r="G204" i="120" s="1"/>
  <c r="J203" i="120"/>
  <c r="K203" i="120" s="1"/>
  <c r="M203" i="120" s="1"/>
  <c r="M169" i="120"/>
  <c r="N170" i="120"/>
  <c r="J171" i="120"/>
  <c r="K171" i="120" s="1"/>
  <c r="M171" i="120" s="1"/>
  <c r="O171" i="120"/>
  <c r="G172" i="120" s="1"/>
  <c r="K107" i="120"/>
  <c r="O108" i="120"/>
  <c r="G109" i="120" s="1"/>
  <c r="J108" i="120"/>
  <c r="K108" i="120" s="1"/>
  <c r="M108" i="120" s="1"/>
  <c r="N107" i="120"/>
  <c r="F61" i="112"/>
  <c r="E61" i="112"/>
  <c r="N50" i="112" l="1"/>
  <c r="N434" i="120"/>
  <c r="O51" i="112"/>
  <c r="G52" i="112" s="1"/>
  <c r="J51" i="112"/>
  <c r="K51" i="112" s="1"/>
  <c r="M51" i="112" s="1"/>
  <c r="N203" i="120"/>
  <c r="O435" i="120"/>
  <c r="G436" i="120" s="1"/>
  <c r="J435" i="120"/>
  <c r="K435" i="120" s="1"/>
  <c r="M435" i="120" s="1"/>
  <c r="N378" i="120"/>
  <c r="O379" i="120"/>
  <c r="G380" i="120" s="1"/>
  <c r="J379" i="120"/>
  <c r="K379" i="120" s="1"/>
  <c r="M379" i="120" s="1"/>
  <c r="K348" i="120"/>
  <c r="M348" i="120" s="1"/>
  <c r="O349" i="120"/>
  <c r="G350" i="120" s="1"/>
  <c r="J349" i="120"/>
  <c r="K349" i="120" s="1"/>
  <c r="M349" i="120" s="1"/>
  <c r="O319" i="120"/>
  <c r="G320" i="120" s="1"/>
  <c r="J319" i="120"/>
  <c r="K319" i="120" s="1"/>
  <c r="M319" i="120" s="1"/>
  <c r="K318" i="120"/>
  <c r="K289" i="120"/>
  <c r="M289" i="120" s="1"/>
  <c r="J290" i="120"/>
  <c r="K290" i="120" s="1"/>
  <c r="M290" i="120" s="1"/>
  <c r="O290" i="120"/>
  <c r="G291" i="120" s="1"/>
  <c r="N264" i="120"/>
  <c r="O265" i="120"/>
  <c r="G266" i="120" s="1"/>
  <c r="J265" i="120"/>
  <c r="K265" i="120" s="1"/>
  <c r="M265" i="120" s="1"/>
  <c r="J231" i="120"/>
  <c r="K231" i="120" s="1"/>
  <c r="M231" i="120" s="1"/>
  <c r="O231" i="120"/>
  <c r="G232" i="120" s="1"/>
  <c r="K230" i="120"/>
  <c r="O204" i="120"/>
  <c r="G205" i="120" s="1"/>
  <c r="J204" i="120"/>
  <c r="K204" i="120" s="1"/>
  <c r="M204" i="120" s="1"/>
  <c r="N171" i="120"/>
  <c r="J172" i="120"/>
  <c r="K172" i="120" s="1"/>
  <c r="M172" i="120" s="1"/>
  <c r="O172" i="120"/>
  <c r="G173" i="120" s="1"/>
  <c r="O109" i="120"/>
  <c r="G110" i="120" s="1"/>
  <c r="J109" i="120"/>
  <c r="K109" i="120" s="1"/>
  <c r="M109" i="120" s="1"/>
  <c r="N108" i="120"/>
  <c r="M107" i="120"/>
  <c r="C10" i="119"/>
  <c r="D10" i="119" s="1"/>
  <c r="F5" i="119"/>
  <c r="F4" i="119"/>
  <c r="E3" i="119"/>
  <c r="E6" i="119" s="1"/>
  <c r="D3" i="119"/>
  <c r="D6" i="119" s="1"/>
  <c r="C3" i="119"/>
  <c r="G43" i="168" s="1"/>
  <c r="F2" i="119"/>
  <c r="N435" i="120" l="1"/>
  <c r="N51" i="112"/>
  <c r="C11" i="119"/>
  <c r="D11" i="119"/>
  <c r="O52" i="112"/>
  <c r="G53" i="112" s="1"/>
  <c r="J52" i="112"/>
  <c r="K52" i="112" s="1"/>
  <c r="M52" i="112" s="1"/>
  <c r="C6" i="119"/>
  <c r="N204" i="120"/>
  <c r="J436" i="120"/>
  <c r="K436" i="120" s="1"/>
  <c r="M436" i="120" s="1"/>
  <c r="O436" i="120"/>
  <c r="G437" i="120" s="1"/>
  <c r="N379" i="120"/>
  <c r="J380" i="120"/>
  <c r="K380" i="120" s="1"/>
  <c r="M380" i="120" s="1"/>
  <c r="O380" i="120"/>
  <c r="G381" i="120" s="1"/>
  <c r="O350" i="120"/>
  <c r="G351" i="120" s="1"/>
  <c r="J350" i="120"/>
  <c r="K350" i="120" s="1"/>
  <c r="M350" i="120" s="1"/>
  <c r="N349" i="120"/>
  <c r="N319" i="120"/>
  <c r="M318" i="120"/>
  <c r="O320" i="120"/>
  <c r="G321" i="120" s="1"/>
  <c r="J320" i="120"/>
  <c r="K320" i="120" s="1"/>
  <c r="M320" i="120" s="1"/>
  <c r="O291" i="120"/>
  <c r="G292" i="120" s="1"/>
  <c r="J291" i="120"/>
  <c r="K291" i="120" s="1"/>
  <c r="M291" i="120" s="1"/>
  <c r="N290" i="120"/>
  <c r="N265" i="120"/>
  <c r="J266" i="120"/>
  <c r="K266" i="120" s="1"/>
  <c r="M266" i="120" s="1"/>
  <c r="O266" i="120"/>
  <c r="G267" i="120" s="1"/>
  <c r="M230" i="120"/>
  <c r="N231" i="120"/>
  <c r="O232" i="120"/>
  <c r="G233" i="120" s="1"/>
  <c r="J232" i="120"/>
  <c r="J205" i="120"/>
  <c r="K205" i="120" s="1"/>
  <c r="M205" i="120" s="1"/>
  <c r="O205" i="120"/>
  <c r="G206" i="120" s="1"/>
  <c r="J173" i="120"/>
  <c r="K173" i="120" s="1"/>
  <c r="M173" i="120" s="1"/>
  <c r="O173" i="120"/>
  <c r="G174" i="120" s="1"/>
  <c r="N172" i="120"/>
  <c r="N109" i="120"/>
  <c r="O110" i="120"/>
  <c r="G111" i="120" s="1"/>
  <c r="J110" i="120"/>
  <c r="L26" i="119"/>
  <c r="L12" i="119"/>
  <c r="L11" i="119"/>
  <c r="L15" i="119"/>
  <c r="L14" i="119"/>
  <c r="L13" i="119"/>
  <c r="F10" i="119"/>
  <c r="E10" i="119"/>
  <c r="L16" i="119"/>
  <c r="L17" i="119"/>
  <c r="L20" i="119"/>
  <c r="L25" i="119"/>
  <c r="L29" i="119"/>
  <c r="F3" i="119"/>
  <c r="F6" i="119" s="1"/>
  <c r="L23" i="119"/>
  <c r="L30" i="119"/>
  <c r="L22" i="119"/>
  <c r="L27" i="119"/>
  <c r="L19" i="119"/>
  <c r="G10" i="119"/>
  <c r="L18" i="119"/>
  <c r="L28" i="119"/>
  <c r="L21" i="119"/>
  <c r="L24" i="119"/>
  <c r="G59" i="115"/>
  <c r="C59" i="115"/>
  <c r="D59" i="115" s="1"/>
  <c r="F59" i="115" s="1"/>
  <c r="C28" i="115"/>
  <c r="D28" i="115" s="1"/>
  <c r="F28" i="115" s="1"/>
  <c r="F23" i="115"/>
  <c r="F22" i="115"/>
  <c r="E21" i="115"/>
  <c r="E24" i="115" s="1"/>
  <c r="D21" i="115"/>
  <c r="D24" i="115" s="1"/>
  <c r="C21" i="115"/>
  <c r="G63" i="168" s="1"/>
  <c r="F20" i="115"/>
  <c r="F19" i="115"/>
  <c r="F18" i="115"/>
  <c r="F17" i="115"/>
  <c r="F16" i="115"/>
  <c r="F15" i="115"/>
  <c r="F14" i="115"/>
  <c r="F13" i="115"/>
  <c r="F12" i="115"/>
  <c r="F11" i="115"/>
  <c r="F10" i="115"/>
  <c r="F9" i="115"/>
  <c r="F8" i="115"/>
  <c r="F7" i="115"/>
  <c r="F6" i="115"/>
  <c r="F5" i="115"/>
  <c r="F4" i="115"/>
  <c r="F3" i="115"/>
  <c r="F2" i="115"/>
  <c r="E11" i="119" l="1"/>
  <c r="N52" i="112"/>
  <c r="B11" i="119"/>
  <c r="D12" i="119"/>
  <c r="C13" i="119" s="1"/>
  <c r="B13" i="119" s="1"/>
  <c r="F11" i="119"/>
  <c r="C12" i="119"/>
  <c r="B12" i="119" s="1"/>
  <c r="O53" i="112"/>
  <c r="G54" i="112" s="1"/>
  <c r="J53" i="112"/>
  <c r="K53" i="112" s="1"/>
  <c r="M53" i="112" s="1"/>
  <c r="C24" i="115"/>
  <c r="N205" i="120"/>
  <c r="N436" i="120"/>
  <c r="O437" i="120"/>
  <c r="G438" i="120" s="1"/>
  <c r="J437" i="120"/>
  <c r="K437" i="120" s="1"/>
  <c r="M437" i="120" s="1"/>
  <c r="N380" i="120"/>
  <c r="O381" i="120"/>
  <c r="G382" i="120" s="1"/>
  <c r="J381" i="120"/>
  <c r="K381" i="120" s="1"/>
  <c r="M381" i="120" s="1"/>
  <c r="N350" i="120"/>
  <c r="O351" i="120"/>
  <c r="G352" i="120" s="1"/>
  <c r="J351" i="120"/>
  <c r="K351" i="120" s="1"/>
  <c r="M351" i="120" s="1"/>
  <c r="J321" i="120"/>
  <c r="K321" i="120" s="1"/>
  <c r="M321" i="120" s="1"/>
  <c r="O321" i="120"/>
  <c r="G322" i="120" s="1"/>
  <c r="N320" i="120"/>
  <c r="O292" i="120"/>
  <c r="G293" i="120" s="1"/>
  <c r="J292" i="120"/>
  <c r="K292" i="120" s="1"/>
  <c r="M292" i="120" s="1"/>
  <c r="N291" i="120"/>
  <c r="N266" i="120"/>
  <c r="O267" i="120"/>
  <c r="G268" i="120" s="1"/>
  <c r="J267" i="120"/>
  <c r="K267" i="120" s="1"/>
  <c r="M267" i="120" s="1"/>
  <c r="K232" i="120"/>
  <c r="O233" i="120"/>
  <c r="G234" i="120" s="1"/>
  <c r="J233" i="120"/>
  <c r="K233" i="120" s="1"/>
  <c r="M233" i="120" s="1"/>
  <c r="N232" i="120"/>
  <c r="O206" i="120"/>
  <c r="G207" i="120" s="1"/>
  <c r="J206" i="120"/>
  <c r="K206" i="120" s="1"/>
  <c r="M206" i="120" s="1"/>
  <c r="N173" i="120"/>
  <c r="O174" i="120"/>
  <c r="G175" i="120" s="1"/>
  <c r="J174" i="120"/>
  <c r="K174" i="120" s="1"/>
  <c r="M174" i="120" s="1"/>
  <c r="K110" i="120"/>
  <c r="M110" i="120" s="1"/>
  <c r="J111" i="120"/>
  <c r="K111" i="120" s="1"/>
  <c r="M111" i="120" s="1"/>
  <c r="O111" i="120"/>
  <c r="G112" i="120" s="1"/>
  <c r="N110" i="120"/>
  <c r="L86" i="115"/>
  <c r="L32" i="119"/>
  <c r="L37" i="115"/>
  <c r="L51" i="115"/>
  <c r="L35" i="115"/>
  <c r="L54" i="115"/>
  <c r="L53" i="115"/>
  <c r="H10" i="119"/>
  <c r="L40" i="115"/>
  <c r="L43" i="115"/>
  <c r="L52" i="115"/>
  <c r="L46" i="115"/>
  <c r="L39" i="115"/>
  <c r="L42" i="115"/>
  <c r="L38" i="115"/>
  <c r="L47" i="115"/>
  <c r="L45" i="115"/>
  <c r="L36" i="115"/>
  <c r="L44" i="115"/>
  <c r="L49" i="115"/>
  <c r="L41" i="115"/>
  <c r="L50" i="115"/>
  <c r="L48" i="115"/>
  <c r="L72" i="115"/>
  <c r="L76" i="115"/>
  <c r="L79" i="115"/>
  <c r="L68" i="115"/>
  <c r="L69" i="115"/>
  <c r="L71" i="115"/>
  <c r="L80" i="115"/>
  <c r="L84" i="115"/>
  <c r="L73" i="115"/>
  <c r="L81" i="115"/>
  <c r="L74" i="115"/>
  <c r="L82" i="115"/>
  <c r="L67" i="115"/>
  <c r="L75" i="115"/>
  <c r="L83" i="115"/>
  <c r="F21" i="115"/>
  <c r="F24" i="115" s="1"/>
  <c r="L77" i="115"/>
  <c r="L85" i="115"/>
  <c r="L70" i="115"/>
  <c r="L78" i="115"/>
  <c r="D60" i="115"/>
  <c r="F60" i="115" s="1"/>
  <c r="C60" i="115"/>
  <c r="E59" i="115"/>
  <c r="H59" i="115" s="1"/>
  <c r="D29" i="115"/>
  <c r="F29" i="115" s="1"/>
  <c r="C29" i="115"/>
  <c r="E28" i="115"/>
  <c r="G28" i="115"/>
  <c r="N206" i="120" l="1"/>
  <c r="N53" i="112"/>
  <c r="N174" i="120"/>
  <c r="D13" i="119"/>
  <c r="E12" i="119"/>
  <c r="F12" i="119"/>
  <c r="O54" i="112"/>
  <c r="G55" i="112" s="1"/>
  <c r="J54" i="112"/>
  <c r="K54" i="112" s="1"/>
  <c r="M54" i="112" s="1"/>
  <c r="N437" i="120"/>
  <c r="J438" i="120"/>
  <c r="K438" i="120" s="1"/>
  <c r="M438" i="120" s="1"/>
  <c r="O438" i="120"/>
  <c r="G439" i="120" s="1"/>
  <c r="N381" i="120"/>
  <c r="O382" i="120"/>
  <c r="G383" i="120" s="1"/>
  <c r="J382" i="120"/>
  <c r="K382" i="120" s="1"/>
  <c r="M382" i="120" s="1"/>
  <c r="N351" i="120"/>
  <c r="O352" i="120"/>
  <c r="G353" i="120" s="1"/>
  <c r="J352" i="120"/>
  <c r="K352" i="120" s="1"/>
  <c r="M352" i="120" s="1"/>
  <c r="N321" i="120"/>
  <c r="O322" i="120"/>
  <c r="G323" i="120" s="1"/>
  <c r="J322" i="120"/>
  <c r="K322" i="120" s="1"/>
  <c r="M322" i="120" s="1"/>
  <c r="N292" i="120"/>
  <c r="J293" i="120"/>
  <c r="K293" i="120" s="1"/>
  <c r="M293" i="120" s="1"/>
  <c r="O293" i="120"/>
  <c r="G294" i="120" s="1"/>
  <c r="N267" i="120"/>
  <c r="O268" i="120"/>
  <c r="G269" i="120" s="1"/>
  <c r="J268" i="120"/>
  <c r="K268" i="120" s="1"/>
  <c r="M268" i="120" s="1"/>
  <c r="N233" i="120"/>
  <c r="M232" i="120"/>
  <c r="O234" i="120"/>
  <c r="G235" i="120" s="1"/>
  <c r="J234" i="120"/>
  <c r="K234" i="120" s="1"/>
  <c r="M234" i="120" s="1"/>
  <c r="O207" i="120"/>
  <c r="G208" i="120" s="1"/>
  <c r="J207" i="120"/>
  <c r="K207" i="120" s="1"/>
  <c r="M207" i="120" s="1"/>
  <c r="O175" i="120"/>
  <c r="G176" i="120" s="1"/>
  <c r="J175" i="120"/>
  <c r="K175" i="120" s="1"/>
  <c r="M175" i="120" s="1"/>
  <c r="J112" i="120"/>
  <c r="K112" i="120" s="1"/>
  <c r="M112" i="120" s="1"/>
  <c r="O112" i="120"/>
  <c r="G113" i="120" s="1"/>
  <c r="N111" i="120"/>
  <c r="L88" i="115"/>
  <c r="L56" i="115"/>
  <c r="N59" i="115"/>
  <c r="N10" i="119"/>
  <c r="H28" i="115"/>
  <c r="O10" i="119"/>
  <c r="D30" i="115"/>
  <c r="F30" i="115" s="1"/>
  <c r="C30" i="115"/>
  <c r="E29" i="115"/>
  <c r="O59" i="115"/>
  <c r="C61" i="115"/>
  <c r="D61" i="115"/>
  <c r="F61" i="115" s="1"/>
  <c r="E60" i="115"/>
  <c r="E13" i="119" l="1"/>
  <c r="C14" i="119"/>
  <c r="B14" i="119" s="1"/>
  <c r="D14" i="119"/>
  <c r="C15" i="119" s="1"/>
  <c r="B15" i="119" s="1"/>
  <c r="F13" i="119"/>
  <c r="N54" i="112"/>
  <c r="O55" i="112"/>
  <c r="G56" i="112" s="1"/>
  <c r="J55" i="112"/>
  <c r="K55" i="112" s="1"/>
  <c r="M55" i="112" s="1"/>
  <c r="N207" i="120"/>
  <c r="N438" i="120"/>
  <c r="O439" i="120"/>
  <c r="G440" i="120" s="1"/>
  <c r="J439" i="120"/>
  <c r="K439" i="120" s="1"/>
  <c r="M439" i="120" s="1"/>
  <c r="N112" i="120"/>
  <c r="N234" i="120"/>
  <c r="N382" i="120"/>
  <c r="O383" i="120"/>
  <c r="G384" i="120" s="1"/>
  <c r="J383" i="120"/>
  <c r="K383" i="120" s="1"/>
  <c r="M383" i="120" s="1"/>
  <c r="N352" i="120"/>
  <c r="J353" i="120"/>
  <c r="K353" i="120" s="1"/>
  <c r="M353" i="120" s="1"/>
  <c r="O353" i="120"/>
  <c r="G354" i="120" s="1"/>
  <c r="N322" i="120"/>
  <c r="O323" i="120"/>
  <c r="G324" i="120" s="1"/>
  <c r="J323" i="120"/>
  <c r="K323" i="120" s="1"/>
  <c r="M323" i="120" s="1"/>
  <c r="N293" i="120"/>
  <c r="O294" i="120"/>
  <c r="G295" i="120" s="1"/>
  <c r="J294" i="120"/>
  <c r="K294" i="120" s="1"/>
  <c r="M294" i="120" s="1"/>
  <c r="N268" i="120"/>
  <c r="G271" i="120"/>
  <c r="O269" i="120"/>
  <c r="O271" i="120" s="1"/>
  <c r="J269" i="120"/>
  <c r="N269" i="120" s="1"/>
  <c r="J235" i="120"/>
  <c r="K235" i="120" s="1"/>
  <c r="M235" i="120" s="1"/>
  <c r="O235" i="120"/>
  <c r="G236" i="120" s="1"/>
  <c r="J208" i="120"/>
  <c r="K208" i="120" s="1"/>
  <c r="M208" i="120" s="1"/>
  <c r="O208" i="120"/>
  <c r="G209" i="120" s="1"/>
  <c r="N175" i="120"/>
  <c r="O176" i="120"/>
  <c r="G177" i="120" s="1"/>
  <c r="J176" i="120"/>
  <c r="K176" i="120" s="1"/>
  <c r="M176" i="120" s="1"/>
  <c r="J113" i="120"/>
  <c r="K113" i="120" s="1"/>
  <c r="M113" i="120" s="1"/>
  <c r="O113" i="120"/>
  <c r="G114" i="120" s="1"/>
  <c r="N28" i="115"/>
  <c r="G60" i="115"/>
  <c r="G11" i="119"/>
  <c r="H11" i="119" s="1"/>
  <c r="O28" i="115"/>
  <c r="E61" i="115"/>
  <c r="D62" i="115"/>
  <c r="F62" i="115" s="1"/>
  <c r="C62" i="115"/>
  <c r="E30" i="115"/>
  <c r="C31" i="115"/>
  <c r="D31" i="115"/>
  <c r="F31" i="115" l="1"/>
  <c r="E14" i="119"/>
  <c r="N353" i="120"/>
  <c r="D15" i="119"/>
  <c r="E15" i="119" s="1"/>
  <c r="F14" i="119"/>
  <c r="O56" i="112"/>
  <c r="G57" i="112" s="1"/>
  <c r="J56" i="112"/>
  <c r="K56" i="112" s="1"/>
  <c r="M56" i="112" s="1"/>
  <c r="N55" i="112"/>
  <c r="N439" i="120"/>
  <c r="N208" i="120"/>
  <c r="G442" i="120"/>
  <c r="O440" i="120"/>
  <c r="O442" i="120" s="1"/>
  <c r="J440" i="120"/>
  <c r="N294" i="120"/>
  <c r="N383" i="120"/>
  <c r="G386" i="120"/>
  <c r="O384" i="120"/>
  <c r="O386" i="120" s="1"/>
  <c r="J384" i="120"/>
  <c r="N384" i="120" s="1"/>
  <c r="J354" i="120"/>
  <c r="K354" i="120" s="1"/>
  <c r="M354" i="120" s="1"/>
  <c r="O354" i="120"/>
  <c r="G355" i="120" s="1"/>
  <c r="N323" i="120"/>
  <c r="O324" i="120"/>
  <c r="G325" i="120" s="1"/>
  <c r="J324" i="120"/>
  <c r="K324" i="120" s="1"/>
  <c r="M324" i="120" s="1"/>
  <c r="J295" i="120"/>
  <c r="K295" i="120" s="1"/>
  <c r="M295" i="120" s="1"/>
  <c r="O295" i="120"/>
  <c r="G296" i="120" s="1"/>
  <c r="N271" i="120"/>
  <c r="K269" i="120"/>
  <c r="J271" i="120"/>
  <c r="N235" i="120"/>
  <c r="J236" i="120"/>
  <c r="K236" i="120" s="1"/>
  <c r="M236" i="120" s="1"/>
  <c r="O236" i="120"/>
  <c r="G237" i="120" s="1"/>
  <c r="O209" i="120"/>
  <c r="G210" i="120" s="1"/>
  <c r="J209" i="120"/>
  <c r="K209" i="120" s="1"/>
  <c r="M209" i="120" s="1"/>
  <c r="N176" i="120"/>
  <c r="O177" i="120"/>
  <c r="G178" i="120" s="1"/>
  <c r="J177" i="120"/>
  <c r="K177" i="120" s="1"/>
  <c r="M177" i="120" s="1"/>
  <c r="N113" i="120"/>
  <c r="O114" i="120"/>
  <c r="G115" i="120" s="1"/>
  <c r="J114" i="120"/>
  <c r="K114" i="120" s="1"/>
  <c r="M114" i="120" s="1"/>
  <c r="G29" i="115"/>
  <c r="H29" i="115" s="1"/>
  <c r="H60" i="115"/>
  <c r="O60" i="115" s="1"/>
  <c r="N11" i="119"/>
  <c r="I17" i="119"/>
  <c r="I26" i="119"/>
  <c r="I19" i="119"/>
  <c r="I29" i="119"/>
  <c r="I25" i="119"/>
  <c r="I22" i="119"/>
  <c r="H32" i="119"/>
  <c r="I12" i="119"/>
  <c r="I21" i="119"/>
  <c r="I14" i="119"/>
  <c r="I30" i="119"/>
  <c r="I18" i="119"/>
  <c r="I23" i="119"/>
  <c r="I15" i="119"/>
  <c r="I16" i="119"/>
  <c r="I28" i="119"/>
  <c r="I13" i="119"/>
  <c r="I20" i="119"/>
  <c r="I11" i="119"/>
  <c r="I24" i="119"/>
  <c r="I27" i="119"/>
  <c r="E31" i="115"/>
  <c r="D32" i="115"/>
  <c r="C32" i="115"/>
  <c r="E62" i="115"/>
  <c r="D63" i="115"/>
  <c r="F63" i="115" s="1"/>
  <c r="C63" i="115"/>
  <c r="C16" i="119" l="1"/>
  <c r="B16" i="119" s="1"/>
  <c r="D16" i="119"/>
  <c r="F15" i="119"/>
  <c r="N56" i="112"/>
  <c r="O57" i="112"/>
  <c r="G58" i="112" s="1"/>
  <c r="J57" i="112"/>
  <c r="K57" i="112" s="1"/>
  <c r="M57" i="112" s="1"/>
  <c r="N386" i="120"/>
  <c r="N114" i="120"/>
  <c r="N236" i="120"/>
  <c r="N209" i="120"/>
  <c r="K440" i="120"/>
  <c r="J442" i="120"/>
  <c r="N440" i="120"/>
  <c r="N442" i="120" s="1"/>
  <c r="K384" i="120"/>
  <c r="J386" i="120"/>
  <c r="N354" i="120"/>
  <c r="J355" i="120"/>
  <c r="K355" i="120" s="1"/>
  <c r="M355" i="120" s="1"/>
  <c r="O355" i="120"/>
  <c r="G356" i="120" s="1"/>
  <c r="N324" i="120"/>
  <c r="O325" i="120"/>
  <c r="G326" i="120" s="1"/>
  <c r="J325" i="120"/>
  <c r="K325" i="120" s="1"/>
  <c r="M325" i="120" s="1"/>
  <c r="N295" i="120"/>
  <c r="J296" i="120"/>
  <c r="K296" i="120" s="1"/>
  <c r="M296" i="120" s="1"/>
  <c r="O296" i="120"/>
  <c r="G297" i="120" s="1"/>
  <c r="M269" i="120"/>
  <c r="M271" i="120" s="1"/>
  <c r="K271" i="120"/>
  <c r="O237" i="120"/>
  <c r="G238" i="120" s="1"/>
  <c r="J237" i="120"/>
  <c r="K237" i="120" s="1"/>
  <c r="M237" i="120" s="1"/>
  <c r="G212" i="120"/>
  <c r="O210" i="120"/>
  <c r="O212" i="120" s="1"/>
  <c r="J210" i="120"/>
  <c r="N177" i="120"/>
  <c r="O178" i="120"/>
  <c r="G179" i="120" s="1"/>
  <c r="J178" i="120"/>
  <c r="K178" i="120" s="1"/>
  <c r="M178" i="120" s="1"/>
  <c r="J115" i="120"/>
  <c r="K115" i="120" s="1"/>
  <c r="M115" i="120" s="1"/>
  <c r="O115" i="120"/>
  <c r="G116" i="120" s="1"/>
  <c r="N29" i="115"/>
  <c r="G61" i="115"/>
  <c r="N60" i="115"/>
  <c r="O29" i="115"/>
  <c r="K11" i="119"/>
  <c r="I32" i="119"/>
  <c r="O11" i="119"/>
  <c r="D33" i="115"/>
  <c r="C33" i="115"/>
  <c r="F32" i="115"/>
  <c r="D64" i="115"/>
  <c r="F64" i="115" s="1"/>
  <c r="C64" i="115"/>
  <c r="E63" i="115"/>
  <c r="E32" i="115"/>
  <c r="E16" i="119" l="1"/>
  <c r="C17" i="119"/>
  <c r="B17" i="119" s="1"/>
  <c r="D17" i="119"/>
  <c r="F16" i="119"/>
  <c r="N57" i="112"/>
  <c r="O58" i="112"/>
  <c r="G59" i="112" s="1"/>
  <c r="J58" i="112"/>
  <c r="K58" i="112" s="1"/>
  <c r="M58" i="112" s="1"/>
  <c r="M440" i="120"/>
  <c r="M442" i="120" s="1"/>
  <c r="K442" i="120"/>
  <c r="M384" i="120"/>
  <c r="M386" i="120" s="1"/>
  <c r="K386" i="120"/>
  <c r="N355" i="120"/>
  <c r="G358" i="120"/>
  <c r="O356" i="120"/>
  <c r="O358" i="120" s="1"/>
  <c r="J356" i="120"/>
  <c r="N325" i="120"/>
  <c r="J326" i="120"/>
  <c r="K326" i="120" s="1"/>
  <c r="M326" i="120" s="1"/>
  <c r="O326" i="120"/>
  <c r="G327" i="120" s="1"/>
  <c r="N296" i="120"/>
  <c r="O297" i="120"/>
  <c r="G298" i="120" s="1"/>
  <c r="J297" i="120"/>
  <c r="K297" i="120" s="1"/>
  <c r="M297" i="120" s="1"/>
  <c r="N237" i="120"/>
  <c r="O238" i="120"/>
  <c r="G239" i="120" s="1"/>
  <c r="J238" i="120"/>
  <c r="K238" i="120" s="1"/>
  <c r="M238" i="120" s="1"/>
  <c r="K210" i="120"/>
  <c r="J212" i="120"/>
  <c r="N210" i="120"/>
  <c r="N212" i="120" s="1"/>
  <c r="N178" i="120"/>
  <c r="J179" i="120"/>
  <c r="K179" i="120" s="1"/>
  <c r="M179" i="120" s="1"/>
  <c r="O179" i="120"/>
  <c r="G180" i="120" s="1"/>
  <c r="N115" i="120"/>
  <c r="J116" i="120"/>
  <c r="K116" i="120" s="1"/>
  <c r="M116" i="120" s="1"/>
  <c r="O116" i="120"/>
  <c r="G117" i="120" s="1"/>
  <c r="H61" i="115"/>
  <c r="O61" i="115" s="1"/>
  <c r="G30" i="115"/>
  <c r="H30" i="115" s="1"/>
  <c r="G12" i="119"/>
  <c r="M11" i="119"/>
  <c r="E33" i="115"/>
  <c r="F33" i="115"/>
  <c r="C65" i="115"/>
  <c r="D65" i="115"/>
  <c r="F65" i="115" s="1"/>
  <c r="E64" i="115"/>
  <c r="D34" i="115"/>
  <c r="C34" i="115"/>
  <c r="F34" i="115" l="1"/>
  <c r="E17" i="119"/>
  <c r="C18" i="119"/>
  <c r="B18" i="119" s="1"/>
  <c r="D18" i="119"/>
  <c r="E18" i="119" s="1"/>
  <c r="F17" i="119"/>
  <c r="N58" i="112"/>
  <c r="O59" i="112"/>
  <c r="G60" i="112" s="1"/>
  <c r="J59" i="112"/>
  <c r="K59" i="112" s="1"/>
  <c r="M59" i="112" s="1"/>
  <c r="K356" i="120"/>
  <c r="J358" i="120"/>
  <c r="N356" i="120"/>
  <c r="N358" i="120" s="1"/>
  <c r="N326" i="120"/>
  <c r="G329" i="120"/>
  <c r="O327" i="120"/>
  <c r="O329" i="120" s="1"/>
  <c r="J327" i="120"/>
  <c r="N327" i="120" s="1"/>
  <c r="N297" i="120"/>
  <c r="G300" i="120"/>
  <c r="J298" i="120"/>
  <c r="O298" i="120"/>
  <c r="O300" i="120" s="1"/>
  <c r="N238" i="120"/>
  <c r="O239" i="120"/>
  <c r="G240" i="120" s="1"/>
  <c r="J239" i="120"/>
  <c r="K239" i="120" s="1"/>
  <c r="M239" i="120" s="1"/>
  <c r="M210" i="120"/>
  <c r="M212" i="120" s="1"/>
  <c r="K212" i="120"/>
  <c r="N179" i="120"/>
  <c r="G182" i="120"/>
  <c r="O180" i="120"/>
  <c r="O182" i="120" s="1"/>
  <c r="J180" i="120"/>
  <c r="N180" i="120" s="1"/>
  <c r="N116" i="120"/>
  <c r="O117" i="120"/>
  <c r="G118" i="120" s="1"/>
  <c r="J117" i="120"/>
  <c r="K117" i="120" s="1"/>
  <c r="M117" i="120" s="1"/>
  <c r="N30" i="115"/>
  <c r="G62" i="115"/>
  <c r="H62" i="115" s="1"/>
  <c r="N61" i="115"/>
  <c r="O30" i="115"/>
  <c r="J12" i="119"/>
  <c r="N12" i="119" s="1"/>
  <c r="O12" i="119"/>
  <c r="E65" i="115"/>
  <c r="D66" i="115"/>
  <c r="F66" i="115" s="1"/>
  <c r="C66" i="115"/>
  <c r="D35" i="115"/>
  <c r="F35" i="115" s="1"/>
  <c r="C35" i="115"/>
  <c r="B35" i="115" s="1"/>
  <c r="E34" i="115"/>
  <c r="C19" i="119" l="1"/>
  <c r="B19" i="119" s="1"/>
  <c r="N182" i="120"/>
  <c r="D19" i="119"/>
  <c r="C20" i="119" s="1"/>
  <c r="B20" i="119" s="1"/>
  <c r="F18" i="119"/>
  <c r="N59" i="112"/>
  <c r="O60" i="112"/>
  <c r="G61" i="112" s="1"/>
  <c r="J60" i="112"/>
  <c r="K60" i="112" s="1"/>
  <c r="M60" i="112" s="1"/>
  <c r="N329" i="120"/>
  <c r="M356" i="120"/>
  <c r="M358" i="120" s="1"/>
  <c r="K358" i="120"/>
  <c r="K327" i="120"/>
  <c r="J329" i="120"/>
  <c r="K298" i="120"/>
  <c r="J300" i="120"/>
  <c r="N298" i="120"/>
  <c r="N300" i="120" s="1"/>
  <c r="N239" i="120"/>
  <c r="G242" i="120"/>
  <c r="O240" i="120"/>
  <c r="O242" i="120" s="1"/>
  <c r="J240" i="120"/>
  <c r="N240" i="120" s="1"/>
  <c r="K180" i="120"/>
  <c r="J182" i="120"/>
  <c r="N117" i="120"/>
  <c r="G120" i="120"/>
  <c r="J118" i="120"/>
  <c r="O118" i="120"/>
  <c r="O120" i="120" s="1"/>
  <c r="O62" i="115"/>
  <c r="G31" i="115"/>
  <c r="H31" i="115" s="1"/>
  <c r="N62" i="115"/>
  <c r="G13" i="119"/>
  <c r="K12" i="119"/>
  <c r="E66" i="115"/>
  <c r="D67" i="115"/>
  <c r="F67" i="115" s="1"/>
  <c r="C67" i="115"/>
  <c r="E35" i="115"/>
  <c r="C36" i="115"/>
  <c r="B36" i="115" s="1"/>
  <c r="F36" i="115"/>
  <c r="E19" i="119" l="1"/>
  <c r="D20" i="119"/>
  <c r="F20" i="119" s="1"/>
  <c r="F19" i="119"/>
  <c r="N60" i="112"/>
  <c r="G63" i="112"/>
  <c r="O61" i="112"/>
  <c r="O63" i="112" s="1"/>
  <c r="J61" i="112"/>
  <c r="M327" i="120"/>
  <c r="M329" i="120" s="1"/>
  <c r="K329" i="120"/>
  <c r="M298" i="120"/>
  <c r="M300" i="120" s="1"/>
  <c r="K300" i="120"/>
  <c r="N242" i="120"/>
  <c r="K240" i="120"/>
  <c r="J242" i="120"/>
  <c r="M180" i="120"/>
  <c r="M182" i="120" s="1"/>
  <c r="K182" i="120"/>
  <c r="J120" i="120"/>
  <c r="K118" i="120"/>
  <c r="N118" i="120"/>
  <c r="N120" i="120" s="1"/>
  <c r="N31" i="115"/>
  <c r="G63" i="115"/>
  <c r="O31" i="115"/>
  <c r="M12" i="119"/>
  <c r="J13" i="119"/>
  <c r="N13" i="119" s="1"/>
  <c r="O13" i="119"/>
  <c r="D21" i="119"/>
  <c r="F21" i="119" s="1"/>
  <c r="E67" i="115"/>
  <c r="D68" i="115"/>
  <c r="F68" i="115" s="1"/>
  <c r="C68" i="115"/>
  <c r="E36" i="115"/>
  <c r="F38" i="115"/>
  <c r="E20" i="119" l="1"/>
  <c r="C21" i="119"/>
  <c r="B21" i="119" s="1"/>
  <c r="J63" i="112"/>
  <c r="K61" i="112"/>
  <c r="N61" i="112"/>
  <c r="N63" i="112" s="1"/>
  <c r="M240" i="120"/>
  <c r="M242" i="120" s="1"/>
  <c r="K242" i="120"/>
  <c r="M118" i="120"/>
  <c r="M120" i="120" s="1"/>
  <c r="K120" i="120"/>
  <c r="G32" i="115"/>
  <c r="H32" i="115" s="1"/>
  <c r="H63" i="115"/>
  <c r="N63" i="115" s="1"/>
  <c r="G14" i="119"/>
  <c r="K13" i="119"/>
  <c r="E21" i="119"/>
  <c r="D22" i="119"/>
  <c r="F22" i="119" s="1"/>
  <c r="C22" i="119"/>
  <c r="B22" i="119" s="1"/>
  <c r="D39" i="115"/>
  <c r="F39" i="115" s="1"/>
  <c r="C39" i="115"/>
  <c r="B39" i="115" s="1"/>
  <c r="E38" i="115"/>
  <c r="D69" i="115"/>
  <c r="F69" i="115" s="1"/>
  <c r="E68" i="115"/>
  <c r="C69" i="115"/>
  <c r="M61" i="112" l="1"/>
  <c r="M63" i="112" s="1"/>
  <c r="K63" i="112"/>
  <c r="O63" i="115"/>
  <c r="G64" i="115" s="1"/>
  <c r="N32" i="115"/>
  <c r="O32" i="115"/>
  <c r="J14" i="119"/>
  <c r="N14" i="119" s="1"/>
  <c r="O14" i="119"/>
  <c r="M13" i="119"/>
  <c r="D23" i="119"/>
  <c r="F23" i="119" s="1"/>
  <c r="E22" i="119"/>
  <c r="C23" i="119"/>
  <c r="B23" i="119" s="1"/>
  <c r="D70" i="115"/>
  <c r="F70" i="115" s="1"/>
  <c r="E69" i="115"/>
  <c r="C70" i="115"/>
  <c r="E39" i="115"/>
  <c r="C40" i="115"/>
  <c r="B40" i="115" s="1"/>
  <c r="D40" i="115"/>
  <c r="F40" i="115" s="1"/>
  <c r="H64" i="115" l="1"/>
  <c r="N64" i="115" s="1"/>
  <c r="G33" i="115"/>
  <c r="H33" i="115" s="1"/>
  <c r="N33" i="115" s="1"/>
  <c r="G15" i="119"/>
  <c r="K14" i="119"/>
  <c r="D24" i="119"/>
  <c r="F24" i="119" s="1"/>
  <c r="E23" i="119"/>
  <c r="C24" i="119"/>
  <c r="B24" i="119" s="1"/>
  <c r="E40" i="115"/>
  <c r="D41" i="115"/>
  <c r="F41" i="115" s="1"/>
  <c r="C41" i="115"/>
  <c r="B41" i="115" s="1"/>
  <c r="E70" i="115"/>
  <c r="D71" i="115"/>
  <c r="F71" i="115" s="1"/>
  <c r="C71" i="115"/>
  <c r="O64" i="115" l="1"/>
  <c r="G65" i="115" s="1"/>
  <c r="O33" i="115"/>
  <c r="G34" i="115" s="1"/>
  <c r="J15" i="119"/>
  <c r="N15" i="119" s="1"/>
  <c r="O15" i="119"/>
  <c r="G16" i="119" s="1"/>
  <c r="M14" i="119"/>
  <c r="C25" i="119"/>
  <c r="B25" i="119" s="1"/>
  <c r="E24" i="119"/>
  <c r="D25" i="119"/>
  <c r="F25" i="119" s="1"/>
  <c r="I83" i="115"/>
  <c r="I74" i="115"/>
  <c r="I69" i="115"/>
  <c r="I82" i="115"/>
  <c r="I68" i="115"/>
  <c r="I67" i="115"/>
  <c r="I72" i="115"/>
  <c r="I79" i="115"/>
  <c r="I86" i="115"/>
  <c r="I73" i="115"/>
  <c r="I84" i="115"/>
  <c r="I77" i="115"/>
  <c r="I75" i="115"/>
  <c r="I81" i="115"/>
  <c r="I70" i="115"/>
  <c r="I78" i="115"/>
  <c r="I80" i="115"/>
  <c r="I85" i="115"/>
  <c r="I71" i="115"/>
  <c r="I76" i="115"/>
  <c r="C42" i="115"/>
  <c r="B42" i="115" s="1"/>
  <c r="E41" i="115"/>
  <c r="D42" i="115"/>
  <c r="F42" i="115" s="1"/>
  <c r="D72" i="115"/>
  <c r="F72" i="115" s="1"/>
  <c r="E71" i="115"/>
  <c r="C72" i="115"/>
  <c r="I88" i="115" l="1"/>
  <c r="H65" i="115"/>
  <c r="O65" i="115" s="1"/>
  <c r="G66" i="115" s="1"/>
  <c r="H34" i="115"/>
  <c r="J16" i="119"/>
  <c r="N16" i="119" s="1"/>
  <c r="O16" i="119"/>
  <c r="G17" i="119" s="1"/>
  <c r="K15" i="119"/>
  <c r="C26" i="119"/>
  <c r="B26" i="119" s="1"/>
  <c r="E25" i="119"/>
  <c r="D26" i="119"/>
  <c r="F26" i="119" s="1"/>
  <c r="D73" i="115"/>
  <c r="F73" i="115" s="1"/>
  <c r="E72" i="115"/>
  <c r="C73" i="115"/>
  <c r="D43" i="115"/>
  <c r="F43" i="115" s="1"/>
  <c r="C43" i="115"/>
  <c r="B43" i="115" s="1"/>
  <c r="E42" i="115"/>
  <c r="N65" i="115" l="1"/>
  <c r="I37" i="115"/>
  <c r="H56" i="115"/>
  <c r="H66" i="115"/>
  <c r="H88" i="115" s="1"/>
  <c r="N34" i="115"/>
  <c r="M15" i="119"/>
  <c r="J17" i="119"/>
  <c r="O17" i="119"/>
  <c r="G18" i="119" s="1"/>
  <c r="K16" i="119"/>
  <c r="M16" i="119" s="1"/>
  <c r="E26" i="119"/>
  <c r="D27" i="119"/>
  <c r="F27" i="119" s="1"/>
  <c r="C27" i="119"/>
  <c r="B27" i="119" s="1"/>
  <c r="D44" i="115"/>
  <c r="F44" i="115" s="1"/>
  <c r="E43" i="115"/>
  <c r="C44" i="115"/>
  <c r="B44" i="115" s="1"/>
  <c r="C74" i="115"/>
  <c r="D74" i="115"/>
  <c r="F74" i="115" s="1"/>
  <c r="E73" i="115"/>
  <c r="N66" i="115" l="1"/>
  <c r="O66" i="115"/>
  <c r="G67" i="115" s="1"/>
  <c r="O18" i="119"/>
  <c r="G19" i="119" s="1"/>
  <c r="J18" i="119"/>
  <c r="N17" i="119"/>
  <c r="K17" i="119"/>
  <c r="M17" i="119" s="1"/>
  <c r="D28" i="119"/>
  <c r="F28" i="119" s="1"/>
  <c r="E27" i="119"/>
  <c r="C28" i="119"/>
  <c r="B28" i="119" s="1"/>
  <c r="C75" i="115"/>
  <c r="E74" i="115"/>
  <c r="D75" i="115"/>
  <c r="F75" i="115" s="1"/>
  <c r="E44" i="115"/>
  <c r="C45" i="115"/>
  <c r="B45" i="115" s="1"/>
  <c r="D45" i="115"/>
  <c r="F45" i="115" s="1"/>
  <c r="O67" i="115" l="1"/>
  <c r="G68" i="115" s="1"/>
  <c r="J67" i="115"/>
  <c r="K18" i="119"/>
  <c r="M18" i="119" s="1"/>
  <c r="J19" i="119"/>
  <c r="O19" i="119"/>
  <c r="G20" i="119" s="1"/>
  <c r="N18" i="119"/>
  <c r="C29" i="119"/>
  <c r="B29" i="119" s="1"/>
  <c r="E28" i="119"/>
  <c r="D29" i="119"/>
  <c r="F29" i="119" s="1"/>
  <c r="D76" i="115"/>
  <c r="F76" i="115" s="1"/>
  <c r="E75" i="115"/>
  <c r="C76" i="115"/>
  <c r="E45" i="115"/>
  <c r="D46" i="115"/>
  <c r="F46" i="115" s="1"/>
  <c r="C46" i="115"/>
  <c r="B46" i="115" s="1"/>
  <c r="N19" i="119" l="1"/>
  <c r="K67" i="115"/>
  <c r="J68" i="115"/>
  <c r="K68" i="115" s="1"/>
  <c r="M68" i="115" s="1"/>
  <c r="O68" i="115"/>
  <c r="G69" i="115" s="1"/>
  <c r="N67" i="115"/>
  <c r="J20" i="119"/>
  <c r="O20" i="119"/>
  <c r="G21" i="119" s="1"/>
  <c r="K19" i="119"/>
  <c r="M19" i="119" s="1"/>
  <c r="E29" i="119"/>
  <c r="D30" i="119"/>
  <c r="C30" i="119"/>
  <c r="B30" i="119" s="1"/>
  <c r="D47" i="115"/>
  <c r="F47" i="115" s="1"/>
  <c r="C47" i="115"/>
  <c r="B47" i="115" s="1"/>
  <c r="E46" i="115"/>
  <c r="C77" i="115"/>
  <c r="D77" i="115"/>
  <c r="F77" i="115" s="1"/>
  <c r="E76" i="115"/>
  <c r="F30" i="119" l="1"/>
  <c r="H43" i="168"/>
  <c r="I43" i="168" s="1"/>
  <c r="N68" i="115"/>
  <c r="N20" i="119"/>
  <c r="J69" i="115"/>
  <c r="K69" i="115" s="1"/>
  <c r="M69" i="115" s="1"/>
  <c r="O69" i="115"/>
  <c r="G70" i="115" s="1"/>
  <c r="M67" i="115"/>
  <c r="K20" i="119"/>
  <c r="M20" i="119" s="1"/>
  <c r="J21" i="119"/>
  <c r="O21" i="119"/>
  <c r="G22" i="119" s="1"/>
  <c r="E30" i="119"/>
  <c r="C48" i="115"/>
  <c r="B48" i="115" s="1"/>
  <c r="D48" i="115"/>
  <c r="F48" i="115" s="1"/>
  <c r="C78" i="115"/>
  <c r="E77" i="115"/>
  <c r="D78" i="115"/>
  <c r="F78" i="115" s="1"/>
  <c r="E47" i="115"/>
  <c r="N21" i="119" l="1"/>
  <c r="N69" i="115"/>
  <c r="O70" i="115"/>
  <c r="G71" i="115" s="1"/>
  <c r="J70" i="115"/>
  <c r="K70" i="115" s="1"/>
  <c r="K21" i="119"/>
  <c r="M21" i="119" s="1"/>
  <c r="J22" i="119"/>
  <c r="O22" i="119"/>
  <c r="G23" i="119" s="1"/>
  <c r="C49" i="115"/>
  <c r="B49" i="115" s="1"/>
  <c r="D49" i="115"/>
  <c r="F49" i="115" s="1"/>
  <c r="E48" i="115"/>
  <c r="D79" i="115"/>
  <c r="F79" i="115" s="1"/>
  <c r="E78" i="115"/>
  <c r="C79" i="115"/>
  <c r="N70" i="115" l="1"/>
  <c r="M70" i="115"/>
  <c r="O71" i="115"/>
  <c r="G72" i="115" s="1"/>
  <c r="J71" i="115"/>
  <c r="K71" i="115" s="1"/>
  <c r="M71" i="115" s="1"/>
  <c r="K22" i="119"/>
  <c r="M22" i="119" s="1"/>
  <c r="N22" i="119"/>
  <c r="J23" i="119"/>
  <c r="O23" i="119"/>
  <c r="G24" i="119" s="1"/>
  <c r="E49" i="115"/>
  <c r="C50" i="115"/>
  <c r="B50" i="115" s="1"/>
  <c r="D50" i="115"/>
  <c r="F50" i="115" s="1"/>
  <c r="C80" i="115"/>
  <c r="D80" i="115"/>
  <c r="F80" i="115" s="1"/>
  <c r="E79" i="115"/>
  <c r="O72" i="115" l="1"/>
  <c r="G73" i="115" s="1"/>
  <c r="J72" i="115"/>
  <c r="N72" i="115" s="1"/>
  <c r="N71" i="115"/>
  <c r="K23" i="119"/>
  <c r="N23" i="119"/>
  <c r="O24" i="119"/>
  <c r="G25" i="119" s="1"/>
  <c r="J24" i="119"/>
  <c r="C51" i="115"/>
  <c r="B51" i="115" s="1"/>
  <c r="D51" i="115"/>
  <c r="F51" i="115" s="1"/>
  <c r="E50" i="115"/>
  <c r="C81" i="115"/>
  <c r="E80" i="115"/>
  <c r="D81" i="115"/>
  <c r="F81" i="115" s="1"/>
  <c r="M23" i="119" l="1"/>
  <c r="K72" i="115"/>
  <c r="J73" i="115"/>
  <c r="K73" i="115" s="1"/>
  <c r="M73" i="115" s="1"/>
  <c r="O73" i="115"/>
  <c r="G74" i="115" s="1"/>
  <c r="K24" i="119"/>
  <c r="N24" i="119"/>
  <c r="O25" i="119"/>
  <c r="G26" i="119" s="1"/>
  <c r="J25" i="119"/>
  <c r="E51" i="115"/>
  <c r="D52" i="115"/>
  <c r="C52" i="115"/>
  <c r="B52" i="115" s="1"/>
  <c r="D82" i="115"/>
  <c r="F82" i="115" s="1"/>
  <c r="E81" i="115"/>
  <c r="C82" i="115"/>
  <c r="M24" i="119" l="1"/>
  <c r="O74" i="115"/>
  <c r="G75" i="115" s="1"/>
  <c r="J74" i="115"/>
  <c r="K74" i="115" s="1"/>
  <c r="M74" i="115" s="1"/>
  <c r="N73" i="115"/>
  <c r="M72" i="115"/>
  <c r="K25" i="119"/>
  <c r="O26" i="119"/>
  <c r="G27" i="119" s="1"/>
  <c r="J26" i="119"/>
  <c r="N26" i="119" s="1"/>
  <c r="N25" i="119"/>
  <c r="C53" i="115"/>
  <c r="B53" i="115" s="1"/>
  <c r="D53" i="115"/>
  <c r="F52" i="115"/>
  <c r="E52" i="115"/>
  <c r="C83" i="115"/>
  <c r="D83" i="115"/>
  <c r="F83" i="115" s="1"/>
  <c r="E82" i="115"/>
  <c r="N74" i="115" l="1"/>
  <c r="M25" i="119"/>
  <c r="J75" i="115"/>
  <c r="K75" i="115" s="1"/>
  <c r="M75" i="115" s="1"/>
  <c r="O75" i="115"/>
  <c r="G76" i="115" s="1"/>
  <c r="K26" i="119"/>
  <c r="J27" i="119"/>
  <c r="K27" i="119" s="1"/>
  <c r="O27" i="119"/>
  <c r="G28" i="119" s="1"/>
  <c r="E53" i="115"/>
  <c r="F53" i="115"/>
  <c r="C54" i="115"/>
  <c r="B54" i="115" s="1"/>
  <c r="D54" i="115"/>
  <c r="H63" i="168" s="1"/>
  <c r="I63" i="168" s="1"/>
  <c r="D84" i="115"/>
  <c r="F84" i="115" s="1"/>
  <c r="C84" i="115"/>
  <c r="E83" i="115"/>
  <c r="M27" i="119" l="1"/>
  <c r="B44" i="168"/>
  <c r="M26" i="119"/>
  <c r="N75" i="115"/>
  <c r="J76" i="115"/>
  <c r="K76" i="115" s="1"/>
  <c r="M76" i="115" s="1"/>
  <c r="O76" i="115"/>
  <c r="G77" i="115" s="1"/>
  <c r="N27" i="119"/>
  <c r="O28" i="119"/>
  <c r="G29" i="119" s="1"/>
  <c r="J28" i="119"/>
  <c r="K28" i="119" s="1"/>
  <c r="F54" i="115"/>
  <c r="E54" i="115"/>
  <c r="D85" i="115"/>
  <c r="F85" i="115" s="1"/>
  <c r="E84" i="115"/>
  <c r="C85" i="115"/>
  <c r="M28" i="119" l="1"/>
  <c r="C44" i="168"/>
  <c r="O77" i="115"/>
  <c r="G78" i="115" s="1"/>
  <c r="J77" i="115"/>
  <c r="K77" i="115" s="1"/>
  <c r="M77" i="115" s="1"/>
  <c r="N76" i="115"/>
  <c r="N28" i="119"/>
  <c r="O29" i="119"/>
  <c r="G30" i="119" s="1"/>
  <c r="J29" i="119"/>
  <c r="K29" i="119" s="1"/>
  <c r="C86" i="115"/>
  <c r="E85" i="115"/>
  <c r="D86" i="115"/>
  <c r="F86" i="115" s="1"/>
  <c r="M29" i="119" l="1"/>
  <c r="D44" i="168"/>
  <c r="N77" i="115"/>
  <c r="O78" i="115"/>
  <c r="G79" i="115" s="1"/>
  <c r="J78" i="115"/>
  <c r="K78" i="115" s="1"/>
  <c r="M78" i="115" s="1"/>
  <c r="G32" i="119"/>
  <c r="O30" i="119"/>
  <c r="O32" i="119" s="1"/>
  <c r="J30" i="119"/>
  <c r="N29" i="119"/>
  <c r="E86" i="115"/>
  <c r="N78" i="115" l="1"/>
  <c r="O79" i="115"/>
  <c r="G80" i="115" s="1"/>
  <c r="J79" i="115"/>
  <c r="K79" i="115" s="1"/>
  <c r="M79" i="115" s="1"/>
  <c r="K30" i="119"/>
  <c r="J32" i="119"/>
  <c r="N30" i="119"/>
  <c r="N32" i="119" s="1"/>
  <c r="E44" i="168" l="1"/>
  <c r="F44" i="168" s="1"/>
  <c r="E43" i="168"/>
  <c r="B43" i="168"/>
  <c r="D43" i="168"/>
  <c r="C43" i="168"/>
  <c r="N79" i="115"/>
  <c r="O80" i="115"/>
  <c r="G81" i="115" s="1"/>
  <c r="J80" i="115"/>
  <c r="K80" i="115" s="1"/>
  <c r="M80" i="115" s="1"/>
  <c r="M30" i="119"/>
  <c r="M32" i="119" s="1"/>
  <c r="K32" i="119"/>
  <c r="F43" i="168" l="1"/>
  <c r="O81" i="115"/>
  <c r="G82" i="115" s="1"/>
  <c r="J81" i="115"/>
  <c r="K81" i="115" s="1"/>
  <c r="M81" i="115" s="1"/>
  <c r="N80" i="115"/>
  <c r="N81" i="115" l="1"/>
  <c r="J82" i="115"/>
  <c r="K82" i="115" s="1"/>
  <c r="M82" i="115" s="1"/>
  <c r="O82" i="115"/>
  <c r="G83" i="115" s="1"/>
  <c r="C10" i="112"/>
  <c r="B10" i="112" s="1"/>
  <c r="C3" i="112"/>
  <c r="G73" i="168" s="1"/>
  <c r="G133" i="168" s="1"/>
  <c r="F2" i="112"/>
  <c r="D3" i="112"/>
  <c r="D6" i="112" s="1"/>
  <c r="E3" i="112"/>
  <c r="E6" i="112" s="1"/>
  <c r="N82" i="115" l="1"/>
  <c r="C6" i="112"/>
  <c r="L16" i="112"/>
  <c r="L29" i="112"/>
  <c r="J83" i="115"/>
  <c r="K83" i="115" s="1"/>
  <c r="M83" i="115" s="1"/>
  <c r="O83" i="115"/>
  <c r="G84" i="115" s="1"/>
  <c r="G10" i="112"/>
  <c r="L28" i="112"/>
  <c r="L17" i="112"/>
  <c r="L18" i="112"/>
  <c r="L20" i="112"/>
  <c r="L21" i="112"/>
  <c r="L10" i="112"/>
  <c r="L24" i="112"/>
  <c r="L12" i="112"/>
  <c r="L25" i="112"/>
  <c r="L13" i="112"/>
  <c r="L26" i="112"/>
  <c r="D10" i="112"/>
  <c r="L11" i="112"/>
  <c r="L19" i="112"/>
  <c r="L27" i="112"/>
  <c r="L14" i="112"/>
  <c r="L22" i="112"/>
  <c r="L15" i="112"/>
  <c r="L23" i="112"/>
  <c r="F3" i="112"/>
  <c r="F6" i="112" s="1"/>
  <c r="F10" i="112" l="1"/>
  <c r="L31" i="112"/>
  <c r="N83" i="115"/>
  <c r="J84" i="115"/>
  <c r="K84" i="115" s="1"/>
  <c r="M84" i="115" s="1"/>
  <c r="O84" i="115"/>
  <c r="G85" i="115" s="1"/>
  <c r="D11" i="112"/>
  <c r="F11" i="112" s="1"/>
  <c r="C11" i="112"/>
  <c r="B11" i="112" s="1"/>
  <c r="E10" i="112"/>
  <c r="H10" i="112" s="1"/>
  <c r="N10" i="112" l="1"/>
  <c r="H31" i="112"/>
  <c r="N84" i="115"/>
  <c r="J85" i="115"/>
  <c r="K85" i="115" s="1"/>
  <c r="M85" i="115" s="1"/>
  <c r="O85" i="115"/>
  <c r="G86" i="115" s="1"/>
  <c r="I22" i="112"/>
  <c r="I14" i="112"/>
  <c r="I19" i="112"/>
  <c r="I12" i="112"/>
  <c r="I29" i="112"/>
  <c r="I18" i="112"/>
  <c r="I23" i="112"/>
  <c r="I16" i="112"/>
  <c r="I10" i="112"/>
  <c r="I25" i="112"/>
  <c r="I17" i="112"/>
  <c r="I27" i="112"/>
  <c r="I15" i="112"/>
  <c r="I26" i="112"/>
  <c r="I20" i="112"/>
  <c r="I13" i="112"/>
  <c r="I28" i="112"/>
  <c r="I24" i="112"/>
  <c r="I11" i="112"/>
  <c r="I21" i="112"/>
  <c r="E11" i="112"/>
  <c r="D12" i="112"/>
  <c r="F12" i="112" s="1"/>
  <c r="C12" i="112"/>
  <c r="B12" i="112" s="1"/>
  <c r="I31" i="112" l="1"/>
  <c r="K10" i="112"/>
  <c r="E12" i="112"/>
  <c r="N85" i="115"/>
  <c r="G88" i="115"/>
  <c r="O86" i="115"/>
  <c r="O88" i="115" s="1"/>
  <c r="J86" i="115"/>
  <c r="O10" i="112"/>
  <c r="D13" i="112"/>
  <c r="F13" i="112" s="1"/>
  <c r="C13" i="112"/>
  <c r="B13" i="112" s="1"/>
  <c r="M10" i="112" l="1"/>
  <c r="G11" i="112"/>
  <c r="J11" i="112" s="1"/>
  <c r="K86" i="115"/>
  <c r="J88" i="115"/>
  <c r="N86" i="115"/>
  <c r="N88" i="115" s="1"/>
  <c r="E13" i="112"/>
  <c r="D14" i="112"/>
  <c r="F14" i="112" s="1"/>
  <c r="C14" i="112"/>
  <c r="B14" i="112" s="1"/>
  <c r="O11" i="112" l="1"/>
  <c r="G12" i="112" s="1"/>
  <c r="J12" i="112" s="1"/>
  <c r="N12" i="112" s="1"/>
  <c r="K11" i="112"/>
  <c r="N11" i="112"/>
  <c r="M86" i="115"/>
  <c r="M88" i="115" s="1"/>
  <c r="K88" i="115"/>
  <c r="E14" i="112"/>
  <c r="D15" i="112"/>
  <c r="F15" i="112" s="1"/>
  <c r="C15" i="112"/>
  <c r="B15" i="112" s="1"/>
  <c r="O12" i="112" l="1"/>
  <c r="G13" i="112" s="1"/>
  <c r="O13" i="112" s="1"/>
  <c r="G14" i="112" s="1"/>
  <c r="K12" i="112"/>
  <c r="M12" i="112" s="1"/>
  <c r="M11" i="112"/>
  <c r="E15" i="112"/>
  <c r="D16" i="112"/>
  <c r="F16" i="112" s="1"/>
  <c r="C16" i="112"/>
  <c r="B16" i="112" s="1"/>
  <c r="J13" i="112" l="1"/>
  <c r="N13" i="112" s="1"/>
  <c r="O14" i="112"/>
  <c r="G15" i="112" s="1"/>
  <c r="J15" i="112" s="1"/>
  <c r="K15" i="112" s="1"/>
  <c r="J14" i="112"/>
  <c r="E16" i="112"/>
  <c r="D17" i="112"/>
  <c r="F17" i="112" s="1"/>
  <c r="C17" i="112"/>
  <c r="B17" i="112" s="1"/>
  <c r="K13" i="112" l="1"/>
  <c r="M13" i="112" s="1"/>
  <c r="M15" i="112"/>
  <c r="N14" i="112"/>
  <c r="K14" i="112"/>
  <c r="M14" i="112" s="1"/>
  <c r="O15" i="112"/>
  <c r="G16" i="112" s="1"/>
  <c r="N15" i="112"/>
  <c r="D18" i="112"/>
  <c r="F18" i="112" s="1"/>
  <c r="C18" i="112"/>
  <c r="B18" i="112" s="1"/>
  <c r="E17" i="112"/>
  <c r="O16" i="112" l="1"/>
  <c r="G17" i="112" s="1"/>
  <c r="J17" i="112" s="1"/>
  <c r="K17" i="112" s="1"/>
  <c r="J16" i="112"/>
  <c r="D19" i="112"/>
  <c r="F19" i="112" s="1"/>
  <c r="C19" i="112"/>
  <c r="B19" i="112" s="1"/>
  <c r="E18" i="112"/>
  <c r="M17" i="112" l="1"/>
  <c r="K16" i="112"/>
  <c r="N16" i="112"/>
  <c r="O17" i="112"/>
  <c r="G18" i="112" s="1"/>
  <c r="J18" i="112" s="1"/>
  <c r="K18" i="112" s="1"/>
  <c r="N17" i="112"/>
  <c r="E19" i="112"/>
  <c r="D20" i="112"/>
  <c r="F20" i="112" s="1"/>
  <c r="C20" i="112"/>
  <c r="B20" i="112" s="1"/>
  <c r="M18" i="112" l="1"/>
  <c r="M16" i="112"/>
  <c r="O18" i="112"/>
  <c r="G19" i="112" s="1"/>
  <c r="N18" i="112"/>
  <c r="E20" i="112"/>
  <c r="D21" i="112"/>
  <c r="F21" i="112" s="1"/>
  <c r="C21" i="112"/>
  <c r="B21" i="112" s="1"/>
  <c r="O19" i="112" l="1"/>
  <c r="G20" i="112" s="1"/>
  <c r="J19" i="112"/>
  <c r="K19" i="112" s="1"/>
  <c r="D22" i="112"/>
  <c r="F22" i="112" s="1"/>
  <c r="E21" i="112"/>
  <c r="C22" i="112"/>
  <c r="B22" i="112" s="1"/>
  <c r="M19" i="112" l="1"/>
  <c r="B74" i="168"/>
  <c r="N19" i="112"/>
  <c r="O20" i="112"/>
  <c r="G21" i="112" s="1"/>
  <c r="J20" i="112"/>
  <c r="K20" i="112" s="1"/>
  <c r="D23" i="112"/>
  <c r="F23" i="112" s="1"/>
  <c r="C23" i="112"/>
  <c r="B23" i="112" s="1"/>
  <c r="E22" i="112"/>
  <c r="M20" i="112" l="1"/>
  <c r="C74" i="168"/>
  <c r="N20" i="112"/>
  <c r="E23" i="112"/>
  <c r="O21" i="112"/>
  <c r="G22" i="112" s="1"/>
  <c r="J21" i="112"/>
  <c r="K21" i="112" s="1"/>
  <c r="D24" i="112"/>
  <c r="F24" i="112" s="1"/>
  <c r="C24" i="112"/>
  <c r="B24" i="112" s="1"/>
  <c r="M21" i="112" l="1"/>
  <c r="D74" i="168"/>
  <c r="O22" i="112"/>
  <c r="G23" i="112" s="1"/>
  <c r="N21" i="112"/>
  <c r="J22" i="112"/>
  <c r="K22" i="112" s="1"/>
  <c r="E24" i="112"/>
  <c r="D25" i="112"/>
  <c r="F25" i="112" s="1"/>
  <c r="C25" i="112"/>
  <c r="B25" i="112" s="1"/>
  <c r="M22" i="112" l="1"/>
  <c r="E74" i="168"/>
  <c r="F74" i="168" s="1"/>
  <c r="N22" i="112"/>
  <c r="O23" i="112"/>
  <c r="G24" i="112" s="1"/>
  <c r="J24" i="112" s="1"/>
  <c r="K24" i="112" s="1"/>
  <c r="J23" i="112"/>
  <c r="K23" i="112" s="1"/>
  <c r="E25" i="112"/>
  <c r="D26" i="112"/>
  <c r="F26" i="112" s="1"/>
  <c r="C26" i="112"/>
  <c r="B26" i="112" s="1"/>
  <c r="M24" i="112" l="1"/>
  <c r="M23" i="112"/>
  <c r="O24" i="112"/>
  <c r="G25" i="112" s="1"/>
  <c r="J25" i="112" s="1"/>
  <c r="K25" i="112" s="1"/>
  <c r="N24" i="112"/>
  <c r="N23" i="112"/>
  <c r="E26" i="112"/>
  <c r="D27" i="112"/>
  <c r="F27" i="112" s="1"/>
  <c r="C27" i="112"/>
  <c r="B27" i="112" s="1"/>
  <c r="M25" i="112" l="1"/>
  <c r="O25" i="112"/>
  <c r="G26" i="112" s="1"/>
  <c r="J26" i="112" s="1"/>
  <c r="K26" i="112" s="1"/>
  <c r="N25" i="112"/>
  <c r="E27" i="112"/>
  <c r="D28" i="112"/>
  <c r="F28" i="112" s="1"/>
  <c r="C28" i="112"/>
  <c r="B28" i="112" s="1"/>
  <c r="M26" i="112" l="1"/>
  <c r="O26" i="112"/>
  <c r="G27" i="112" s="1"/>
  <c r="N26" i="112"/>
  <c r="E28" i="112"/>
  <c r="D29" i="112"/>
  <c r="C29" i="112"/>
  <c r="B29" i="112" s="1"/>
  <c r="F29" i="112" l="1"/>
  <c r="H73" i="168"/>
  <c r="I73" i="168" s="1"/>
  <c r="O27" i="112"/>
  <c r="G28" i="112" s="1"/>
  <c r="J28" i="112" s="1"/>
  <c r="K28" i="112" s="1"/>
  <c r="M28" i="112" s="1"/>
  <c r="J27" i="112"/>
  <c r="K27" i="112" s="1"/>
  <c r="M27" i="112" s="1"/>
  <c r="E29" i="112"/>
  <c r="N27" i="112" l="1"/>
  <c r="O28" i="112"/>
  <c r="G29" i="112" s="1"/>
  <c r="G31" i="112" s="1"/>
  <c r="N28" i="112"/>
  <c r="O29" i="112" l="1"/>
  <c r="O31" i="112" s="1"/>
  <c r="J29" i="112"/>
  <c r="K29" i="112" l="1"/>
  <c r="J31" i="112"/>
  <c r="N29" i="112"/>
  <c r="N31" i="112" s="1"/>
  <c r="B73" i="168" l="1"/>
  <c r="D73" i="168"/>
  <c r="C73" i="168"/>
  <c r="E73" i="168"/>
  <c r="M29" i="112"/>
  <c r="M31" i="112" s="1"/>
  <c r="K31" i="112"/>
  <c r="F73" i="168" l="1"/>
  <c r="F24" i="168"/>
  <c r="H41" i="133" l="1"/>
  <c r="N41" i="133" l="1"/>
  <c r="O41" i="133" s="1"/>
  <c r="G42" i="133" s="1"/>
  <c r="H42" i="133" l="1"/>
  <c r="I45" i="133" s="1"/>
  <c r="N42" i="133" l="1"/>
  <c r="G43" i="133" s="1"/>
  <c r="O11" i="124" l="1"/>
  <c r="G12" i="124" l="1"/>
  <c r="J12" i="124" s="1"/>
  <c r="O12" i="124" l="1"/>
  <c r="G13" i="124" s="1"/>
  <c r="O13" i="124" s="1"/>
  <c r="G14" i="124" s="1"/>
  <c r="J14" i="124" s="1"/>
  <c r="K12" i="124"/>
  <c r="N12" i="124"/>
  <c r="J13" i="124" l="1"/>
  <c r="N13" i="124" s="1"/>
  <c r="M12" i="124"/>
  <c r="K14" i="124"/>
  <c r="M14" i="124" s="1"/>
  <c r="O14" i="124"/>
  <c r="G15" i="124" s="1"/>
  <c r="N14" i="124"/>
  <c r="K13" i="124" l="1"/>
  <c r="M13" i="124" s="1"/>
  <c r="J15" i="124"/>
  <c r="O15" i="124"/>
  <c r="G16" i="124" s="1"/>
  <c r="N15" i="124" l="1"/>
  <c r="J16" i="124"/>
  <c r="O16" i="124"/>
  <c r="G17" i="124" s="1"/>
  <c r="K15" i="124"/>
  <c r="M15" i="124" l="1"/>
  <c r="J17" i="124"/>
  <c r="O17" i="124"/>
  <c r="G18" i="124" s="1"/>
  <c r="K16" i="124"/>
  <c r="M16" i="124" s="1"/>
  <c r="N16" i="124"/>
  <c r="N17" i="124" l="1"/>
  <c r="J18" i="124"/>
  <c r="O18" i="124"/>
  <c r="G19" i="124" s="1"/>
  <c r="K17" i="124"/>
  <c r="M17" i="124" s="1"/>
  <c r="J19" i="124" l="1"/>
  <c r="O19" i="124"/>
  <c r="G20" i="124" s="1"/>
  <c r="K18" i="124"/>
  <c r="M18" i="124" s="1"/>
  <c r="N18" i="124"/>
  <c r="O20" i="124" l="1"/>
  <c r="G21" i="124" s="1"/>
  <c r="J20" i="124"/>
  <c r="K19" i="124"/>
  <c r="M19" i="124" s="1"/>
  <c r="N19" i="124"/>
  <c r="K20" i="124" l="1"/>
  <c r="M20" i="124" s="1"/>
  <c r="J21" i="124"/>
  <c r="O21" i="124"/>
  <c r="G22" i="124" s="1"/>
  <c r="N20" i="124"/>
  <c r="O22" i="124" l="1"/>
  <c r="G23" i="124" s="1"/>
  <c r="J22" i="124"/>
  <c r="K21" i="124"/>
  <c r="N21" i="124"/>
  <c r="M21" i="124" l="1"/>
  <c r="O23" i="124"/>
  <c r="G24" i="124" s="1"/>
  <c r="J23" i="124"/>
  <c r="K22" i="124"/>
  <c r="N22" i="124"/>
  <c r="M22" i="124" l="1"/>
  <c r="K23" i="124"/>
  <c r="O24" i="124"/>
  <c r="G25" i="124" s="1"/>
  <c r="J24" i="124"/>
  <c r="N24" i="124" s="1"/>
  <c r="N23" i="124"/>
  <c r="M23" i="124" l="1"/>
  <c r="O25" i="124"/>
  <c r="G26" i="124" s="1"/>
  <c r="J25" i="124"/>
  <c r="K25" i="124" s="1"/>
  <c r="K24" i="124"/>
  <c r="M25" i="124" l="1"/>
  <c r="B14" i="168"/>
  <c r="M24" i="124"/>
  <c r="J26" i="124"/>
  <c r="K26" i="124" s="1"/>
  <c r="O26" i="124"/>
  <c r="G27" i="124" s="1"/>
  <c r="N25" i="124"/>
  <c r="M26" i="124" l="1"/>
  <c r="C14" i="168"/>
  <c r="O27" i="124"/>
  <c r="G28" i="124" s="1"/>
  <c r="J27" i="124"/>
  <c r="K27" i="124" s="1"/>
  <c r="N26" i="124"/>
  <c r="M27" i="124" l="1"/>
  <c r="D14" i="168"/>
  <c r="J28" i="124"/>
  <c r="K28" i="124" s="1"/>
  <c r="O28" i="124"/>
  <c r="G29" i="124" s="1"/>
  <c r="N27" i="124"/>
  <c r="M28" i="124" l="1"/>
  <c r="E14" i="168"/>
  <c r="F14" i="168" s="1"/>
  <c r="J29" i="124"/>
  <c r="K29" i="124" s="1"/>
  <c r="O29" i="124"/>
  <c r="G30" i="124" s="1"/>
  <c r="G32" i="124" s="1"/>
  <c r="N28" i="124"/>
  <c r="O39" i="120"/>
  <c r="M29" i="124" l="1"/>
  <c r="G40" i="120"/>
  <c r="H40" i="120" s="1"/>
  <c r="J30" i="124"/>
  <c r="O30" i="124"/>
  <c r="O32" i="124" s="1"/>
  <c r="N29" i="124"/>
  <c r="K30" i="124" l="1"/>
  <c r="J32" i="124"/>
  <c r="O40" i="120"/>
  <c r="N40" i="120"/>
  <c r="N30" i="124"/>
  <c r="N32" i="124" s="1"/>
  <c r="D13" i="168" l="1"/>
  <c r="E13" i="168"/>
  <c r="B13" i="168"/>
  <c r="C13" i="168"/>
  <c r="M30" i="124"/>
  <c r="M32" i="124" s="1"/>
  <c r="K32" i="124"/>
  <c r="G41" i="120"/>
  <c r="H41" i="120" s="1"/>
  <c r="N41" i="120" s="1"/>
  <c r="F13" i="168" l="1"/>
  <c r="O41" i="120"/>
  <c r="G42" i="120" l="1"/>
  <c r="H42" i="120" l="1"/>
  <c r="N42" i="120" s="1"/>
  <c r="I58" i="120" l="1"/>
  <c r="I50" i="120"/>
  <c r="I55" i="120"/>
  <c r="I53" i="120"/>
  <c r="H60" i="120"/>
  <c r="I46" i="120"/>
  <c r="I42" i="120"/>
  <c r="I52" i="120"/>
  <c r="I44" i="120"/>
  <c r="I56" i="120"/>
  <c r="I57" i="120"/>
  <c r="I51" i="120"/>
  <c r="I43" i="120"/>
  <c r="I49" i="120"/>
  <c r="I47" i="120"/>
  <c r="I48" i="120"/>
  <c r="I54" i="120"/>
  <c r="I45" i="120"/>
  <c r="O42" i="120"/>
  <c r="G43" i="120" s="1"/>
  <c r="I60" i="120" l="1"/>
  <c r="K42" i="120"/>
  <c r="O43" i="120"/>
  <c r="G44" i="120" s="1"/>
  <c r="J43" i="120"/>
  <c r="N43" i="120" s="1"/>
  <c r="J44" i="120" l="1"/>
  <c r="O44" i="120"/>
  <c r="G45" i="120" s="1"/>
  <c r="M42" i="120"/>
  <c r="K43" i="120"/>
  <c r="M43" i="120" s="1"/>
  <c r="J45" i="120" l="1"/>
  <c r="O45" i="120"/>
  <c r="G46" i="120" s="1"/>
  <c r="N44" i="120"/>
  <c r="K44" i="120"/>
  <c r="K45" i="120" l="1"/>
  <c r="M45" i="120" s="1"/>
  <c r="M44" i="120"/>
  <c r="N45" i="120"/>
  <c r="J46" i="120"/>
  <c r="O46" i="120"/>
  <c r="G47" i="120" s="1"/>
  <c r="N46" i="120" l="1"/>
  <c r="J47" i="120"/>
  <c r="O47" i="120"/>
  <c r="G48" i="120" s="1"/>
  <c r="K46" i="120"/>
  <c r="N47" i="120" l="1"/>
  <c r="M46" i="120"/>
  <c r="J48" i="120"/>
  <c r="O48" i="120"/>
  <c r="G49" i="120" s="1"/>
  <c r="K47" i="120"/>
  <c r="M47" i="120" s="1"/>
  <c r="O49" i="120" l="1"/>
  <c r="G50" i="120" s="1"/>
  <c r="J49" i="120"/>
  <c r="K48" i="120"/>
  <c r="M48" i="120" s="1"/>
  <c r="N48" i="120"/>
  <c r="N49" i="120" l="1"/>
  <c r="K49" i="120"/>
  <c r="M49" i="120" s="1"/>
  <c r="O50" i="120"/>
  <c r="G51" i="120" s="1"/>
  <c r="J50" i="120"/>
  <c r="N50" i="120" l="1"/>
  <c r="K50" i="120"/>
  <c r="O51" i="120"/>
  <c r="G52" i="120" s="1"/>
  <c r="J51" i="120"/>
  <c r="M50" i="120" l="1"/>
  <c r="K51" i="120"/>
  <c r="J52" i="120"/>
  <c r="O52" i="120"/>
  <c r="G53" i="120" s="1"/>
  <c r="N51" i="120"/>
  <c r="M51" i="120" l="1"/>
  <c r="K52" i="120"/>
  <c r="O53" i="120"/>
  <c r="G54" i="120" s="1"/>
  <c r="J53" i="120"/>
  <c r="N52" i="120"/>
  <c r="I43" i="115"/>
  <c r="I52" i="115"/>
  <c r="I38" i="115"/>
  <c r="I40" i="115"/>
  <c r="I41" i="115"/>
  <c r="I45" i="115"/>
  <c r="I48" i="115"/>
  <c r="I46" i="115"/>
  <c r="I42" i="115"/>
  <c r="I50" i="115"/>
  <c r="I53" i="115"/>
  <c r="I35" i="115"/>
  <c r="I49" i="115"/>
  <c r="I39" i="115"/>
  <c r="I51" i="115"/>
  <c r="I54" i="115"/>
  <c r="I47" i="115"/>
  <c r="I44" i="115"/>
  <c r="I36" i="115"/>
  <c r="M52" i="120" l="1"/>
  <c r="I56" i="115"/>
  <c r="K53" i="120"/>
  <c r="O54" i="120"/>
  <c r="G55" i="120" s="1"/>
  <c r="J54" i="120"/>
  <c r="K54" i="120" s="1"/>
  <c r="N53" i="120"/>
  <c r="O34" i="115"/>
  <c r="G35" i="115" s="1"/>
  <c r="M54" i="120" l="1"/>
  <c r="B19" i="168"/>
  <c r="M53" i="120"/>
  <c r="J55" i="120"/>
  <c r="K55" i="120" s="1"/>
  <c r="O55" i="120"/>
  <c r="G56" i="120" s="1"/>
  <c r="N54" i="120"/>
  <c r="O35" i="115"/>
  <c r="G36" i="115" s="1"/>
  <c r="J35" i="115"/>
  <c r="M55" i="120" l="1"/>
  <c r="C19" i="168"/>
  <c r="N35" i="115"/>
  <c r="K35" i="115"/>
  <c r="J36" i="115"/>
  <c r="K36" i="115" s="1"/>
  <c r="M36" i="115" s="1"/>
  <c r="N55" i="120"/>
  <c r="J56" i="120"/>
  <c r="K56" i="120" s="1"/>
  <c r="O56" i="120"/>
  <c r="G57" i="120" s="1"/>
  <c r="O36" i="115"/>
  <c r="M56" i="120" l="1"/>
  <c r="D19" i="168"/>
  <c r="N36" i="115"/>
  <c r="M35" i="115"/>
  <c r="N56" i="120"/>
  <c r="J57" i="120"/>
  <c r="K57" i="120" s="1"/>
  <c r="O57" i="120"/>
  <c r="G58" i="120" s="1"/>
  <c r="G38" i="115"/>
  <c r="G37" i="115"/>
  <c r="M57" i="120" l="1"/>
  <c r="E19" i="168"/>
  <c r="F19" i="168" s="1"/>
  <c r="J38" i="115"/>
  <c r="N38" i="115" s="1"/>
  <c r="N57" i="120"/>
  <c r="G60" i="120"/>
  <c r="J58" i="120"/>
  <c r="O58" i="120"/>
  <c r="O60" i="120" s="1"/>
  <c r="O38" i="115"/>
  <c r="G39" i="115" s="1"/>
  <c r="O37" i="115"/>
  <c r="J37" i="115"/>
  <c r="N37" i="115" l="1"/>
  <c r="J39" i="115"/>
  <c r="N39" i="115" s="1"/>
  <c r="K37" i="115"/>
  <c r="K38" i="115"/>
  <c r="M38" i="115" s="1"/>
  <c r="O39" i="115"/>
  <c r="G40" i="115" s="1"/>
  <c r="K58" i="120"/>
  <c r="J60" i="120"/>
  <c r="N58" i="120"/>
  <c r="N60" i="120" s="1"/>
  <c r="D18" i="168" l="1"/>
  <c r="E18" i="168"/>
  <c r="B18" i="168"/>
  <c r="C18" i="168"/>
  <c r="M37" i="115"/>
  <c r="J40" i="115"/>
  <c r="K39" i="115"/>
  <c r="M39" i="115" s="1"/>
  <c r="O40" i="115"/>
  <c r="G41" i="115" s="1"/>
  <c r="M58" i="120"/>
  <c r="M60" i="120" s="1"/>
  <c r="K60" i="120"/>
  <c r="F18" i="168" l="1"/>
  <c r="K40" i="115"/>
  <c r="M40" i="115" s="1"/>
  <c r="N40" i="115"/>
  <c r="J41" i="115"/>
  <c r="O41" i="115"/>
  <c r="G42" i="115" s="1"/>
  <c r="K41" i="115" l="1"/>
  <c r="M41" i="115" s="1"/>
  <c r="N41" i="115"/>
  <c r="O42" i="115"/>
  <c r="G43" i="115" s="1"/>
  <c r="J43" i="115" s="1"/>
  <c r="J42" i="115"/>
  <c r="K43" i="115" l="1"/>
  <c r="M43" i="115" s="1"/>
  <c r="O43" i="115"/>
  <c r="G44" i="115" s="1"/>
  <c r="J44" i="115" s="1"/>
  <c r="K44" i="115" s="1"/>
  <c r="K42" i="115"/>
  <c r="M42" i="115" s="1"/>
  <c r="N42" i="115"/>
  <c r="N43" i="115"/>
  <c r="M44" i="115" l="1"/>
  <c r="O44" i="115"/>
  <c r="G45" i="115" s="1"/>
  <c r="J45" i="115" s="1"/>
  <c r="K45" i="115" s="1"/>
  <c r="N44" i="115"/>
  <c r="M45" i="115" l="1"/>
  <c r="O45" i="115"/>
  <c r="G46" i="115" s="1"/>
  <c r="O46" i="115" s="1"/>
  <c r="G47" i="115" s="1"/>
  <c r="N45" i="115"/>
  <c r="J46" i="115" l="1"/>
  <c r="K46" i="115" s="1"/>
  <c r="O47" i="115"/>
  <c r="G48" i="115" s="1"/>
  <c r="J47" i="115"/>
  <c r="K47" i="115" s="1"/>
  <c r="M47" i="115" l="1"/>
  <c r="M46" i="115"/>
  <c r="N46" i="115"/>
  <c r="N47" i="115"/>
  <c r="O48" i="115"/>
  <c r="G49" i="115" s="1"/>
  <c r="J48" i="115"/>
  <c r="K48" i="115" s="1"/>
  <c r="M48" i="115" l="1"/>
  <c r="B64" i="168"/>
  <c r="N48" i="115"/>
  <c r="J49" i="115"/>
  <c r="K49" i="115" s="1"/>
  <c r="O49" i="115"/>
  <c r="G50" i="115" s="1"/>
  <c r="M49" i="115" l="1"/>
  <c r="C64" i="168"/>
  <c r="N49" i="115"/>
  <c r="O50" i="115"/>
  <c r="G51" i="115" s="1"/>
  <c r="J50" i="115"/>
  <c r="K50" i="115" s="1"/>
  <c r="M50" i="115" l="1"/>
  <c r="D64" i="168"/>
  <c r="N50" i="115"/>
  <c r="O51" i="115"/>
  <c r="G52" i="115" s="1"/>
  <c r="J51" i="115"/>
  <c r="K51" i="115" s="1"/>
  <c r="M51" i="115" l="1"/>
  <c r="E64" i="168"/>
  <c r="F64" i="168" s="1"/>
  <c r="N51" i="115"/>
  <c r="J52" i="115"/>
  <c r="K52" i="115" s="1"/>
  <c r="O52" i="115"/>
  <c r="G53" i="115" s="1"/>
  <c r="M52" i="115" l="1"/>
  <c r="N52" i="115"/>
  <c r="J53" i="115"/>
  <c r="K53" i="115" s="1"/>
  <c r="O53" i="115"/>
  <c r="G54" i="115" s="1"/>
  <c r="G56" i="115" s="1"/>
  <c r="M53" i="115" l="1"/>
  <c r="N53" i="115"/>
  <c r="O54" i="115"/>
  <c r="O56" i="115" s="1"/>
  <c r="J54" i="115"/>
  <c r="O131" i="120"/>
  <c r="G132" i="120" s="1"/>
  <c r="H132" i="120" l="1"/>
  <c r="N132" i="120" s="1"/>
  <c r="K54" i="115"/>
  <c r="J56" i="115"/>
  <c r="N54" i="115"/>
  <c r="N56" i="115" s="1"/>
  <c r="D67" i="120"/>
  <c r="D63" i="168" l="1"/>
  <c r="E63" i="168"/>
  <c r="C63" i="168"/>
  <c r="B63" i="168"/>
  <c r="O132" i="120"/>
  <c r="G133" i="120" s="1"/>
  <c r="M54" i="115"/>
  <c r="M56" i="115" s="1"/>
  <c r="K56" i="115"/>
  <c r="D68" i="120"/>
  <c r="F63" i="168" l="1"/>
  <c r="H133" i="120"/>
  <c r="O133" i="120" s="1"/>
  <c r="G134" i="120" s="1"/>
  <c r="N133" i="120" l="1"/>
  <c r="H134" i="120"/>
  <c r="N134" i="120" l="1"/>
  <c r="H152" i="120"/>
  <c r="I146" i="120"/>
  <c r="I143" i="120"/>
  <c r="I136" i="120"/>
  <c r="I138" i="120"/>
  <c r="I135" i="120"/>
  <c r="I147" i="120"/>
  <c r="I141" i="120"/>
  <c r="I144" i="120"/>
  <c r="I150" i="120"/>
  <c r="I148" i="120"/>
  <c r="I139" i="120"/>
  <c r="I142" i="120"/>
  <c r="I134" i="120"/>
  <c r="I137" i="120"/>
  <c r="I140" i="120"/>
  <c r="I145" i="120"/>
  <c r="I149" i="120"/>
  <c r="I152" i="120" l="1"/>
  <c r="O134" i="120"/>
  <c r="G135" i="120" s="1"/>
  <c r="K134" i="120"/>
  <c r="M134" i="120" l="1"/>
  <c r="O135" i="120"/>
  <c r="G136" i="120" s="1"/>
  <c r="J135" i="120"/>
  <c r="K135" i="120" l="1"/>
  <c r="O136" i="120"/>
  <c r="G137" i="120" s="1"/>
  <c r="J136" i="120"/>
  <c r="K136" i="120" s="1"/>
  <c r="M136" i="120" s="1"/>
  <c r="N135" i="120"/>
  <c r="M135" i="120" l="1"/>
  <c r="J137" i="120"/>
  <c r="K137" i="120" s="1"/>
  <c r="M137" i="120" s="1"/>
  <c r="O137" i="120"/>
  <c r="G138" i="120" s="1"/>
  <c r="N136" i="120"/>
  <c r="O138" i="120" l="1"/>
  <c r="G139" i="120" s="1"/>
  <c r="J138" i="120"/>
  <c r="K138" i="120" s="1"/>
  <c r="M138" i="120" s="1"/>
  <c r="N137" i="120"/>
  <c r="O139" i="120" l="1"/>
  <c r="G140" i="120" s="1"/>
  <c r="J139" i="120"/>
  <c r="N138" i="120"/>
  <c r="K139" i="120" l="1"/>
  <c r="J140" i="120"/>
  <c r="K140" i="120" s="1"/>
  <c r="M140" i="120" s="1"/>
  <c r="O140" i="120"/>
  <c r="G141" i="120" s="1"/>
  <c r="N139" i="120"/>
  <c r="M139" i="120" l="1"/>
  <c r="O141" i="120"/>
  <c r="G142" i="120" s="1"/>
  <c r="J141" i="120"/>
  <c r="K141" i="120" s="1"/>
  <c r="M141" i="120" s="1"/>
  <c r="N140" i="120"/>
  <c r="O142" i="120" l="1"/>
  <c r="G143" i="120" s="1"/>
  <c r="J142" i="120"/>
  <c r="K142" i="120" s="1"/>
  <c r="M142" i="120" s="1"/>
  <c r="N141" i="120"/>
  <c r="J143" i="120" l="1"/>
  <c r="K143" i="120" s="1"/>
  <c r="M143" i="120" s="1"/>
  <c r="O143" i="120"/>
  <c r="G144" i="120" s="1"/>
  <c r="N142" i="120"/>
  <c r="J144" i="120" l="1"/>
  <c r="K144" i="120" s="1"/>
  <c r="M144" i="120" s="1"/>
  <c r="O144" i="120"/>
  <c r="G145" i="120" s="1"/>
  <c r="N143" i="120"/>
  <c r="J145" i="120" l="1"/>
  <c r="K145" i="120" s="1"/>
  <c r="M145" i="120" s="1"/>
  <c r="O145" i="120"/>
  <c r="G146" i="120" s="1"/>
  <c r="N144" i="120"/>
  <c r="O146" i="120" l="1"/>
  <c r="G147" i="120" s="1"/>
  <c r="J146" i="120"/>
  <c r="K146" i="120" s="1"/>
  <c r="M146" i="120" s="1"/>
  <c r="N145" i="120"/>
  <c r="J147" i="120" l="1"/>
  <c r="K147" i="120" s="1"/>
  <c r="M147" i="120" s="1"/>
  <c r="O147" i="120"/>
  <c r="G148" i="120" s="1"/>
  <c r="N146" i="120"/>
  <c r="C67" i="120"/>
  <c r="E67" i="120" s="1"/>
  <c r="C68" i="120"/>
  <c r="E68" i="120" s="1"/>
  <c r="C66" i="120"/>
  <c r="E66" i="120" s="1"/>
  <c r="O393" i="120"/>
  <c r="G394" i="120" l="1"/>
  <c r="H394" i="120" s="1"/>
  <c r="J148" i="120"/>
  <c r="K148" i="120" s="1"/>
  <c r="M148" i="120" s="1"/>
  <c r="O148" i="120"/>
  <c r="G149" i="120" s="1"/>
  <c r="N147" i="120"/>
  <c r="N394" i="120" l="1"/>
  <c r="J149" i="120"/>
  <c r="K149" i="120" s="1"/>
  <c r="M149" i="120" s="1"/>
  <c r="O149" i="120"/>
  <c r="G150" i="120" s="1"/>
  <c r="G152" i="120" s="1"/>
  <c r="N148" i="120"/>
  <c r="O394" i="120"/>
  <c r="G395" i="120" s="1"/>
  <c r="O150" i="120" l="1"/>
  <c r="O152" i="120" s="1"/>
  <c r="J150" i="120"/>
  <c r="H395" i="120"/>
  <c r="N395" i="120" s="1"/>
  <c r="N149" i="120"/>
  <c r="K150" i="120" l="1"/>
  <c r="J152" i="120"/>
  <c r="O395" i="120"/>
  <c r="G396" i="120" s="1"/>
  <c r="N150" i="120"/>
  <c r="N152" i="120" s="1"/>
  <c r="M150" i="120" l="1"/>
  <c r="M152" i="120" s="1"/>
  <c r="K152" i="120"/>
  <c r="H396" i="120"/>
  <c r="N396" i="120" l="1"/>
  <c r="H414" i="120"/>
  <c r="I408" i="120"/>
  <c r="I406" i="120"/>
  <c r="I410" i="120"/>
  <c r="I400" i="120"/>
  <c r="I407" i="120"/>
  <c r="I411" i="120"/>
  <c r="I412" i="120"/>
  <c r="I396" i="120"/>
  <c r="I403" i="120"/>
  <c r="I404" i="120"/>
  <c r="I399" i="120"/>
  <c r="I402" i="120"/>
  <c r="I405" i="120"/>
  <c r="I401" i="120"/>
  <c r="I397" i="120"/>
  <c r="I409" i="120"/>
  <c r="I398" i="120"/>
  <c r="I414" i="120" l="1"/>
  <c r="C70" i="120"/>
  <c r="C72" i="120"/>
  <c r="K396" i="120"/>
  <c r="O396" i="120"/>
  <c r="G397" i="120" s="1"/>
  <c r="C69" i="120"/>
  <c r="C73" i="120"/>
  <c r="C74" i="120"/>
  <c r="C85" i="120"/>
  <c r="C83" i="120"/>
  <c r="C71" i="120"/>
  <c r="C78" i="120"/>
  <c r="C77" i="120"/>
  <c r="C84" i="120"/>
  <c r="C79" i="120"/>
  <c r="C82" i="120"/>
  <c r="C75" i="120"/>
  <c r="C76" i="120"/>
  <c r="C80" i="120"/>
  <c r="C81" i="120"/>
  <c r="M396" i="120" l="1"/>
  <c r="E69" i="120"/>
  <c r="J397" i="120"/>
  <c r="O397" i="120"/>
  <c r="G398" i="120" s="1"/>
  <c r="N397" i="120" l="1"/>
  <c r="J398" i="120"/>
  <c r="N398" i="120" s="1"/>
  <c r="O398" i="120"/>
  <c r="G399" i="120" s="1"/>
  <c r="D70" i="120"/>
  <c r="K397" i="120"/>
  <c r="M397" i="120" l="1"/>
  <c r="E70" i="120"/>
  <c r="J399" i="120"/>
  <c r="O399" i="120"/>
  <c r="G400" i="120" s="1"/>
  <c r="D71" i="120"/>
  <c r="E71" i="120" s="1"/>
  <c r="K398" i="120"/>
  <c r="M398" i="120" s="1"/>
  <c r="N399" i="120" l="1"/>
  <c r="O400" i="120"/>
  <c r="G401" i="120" s="1"/>
  <c r="J400" i="120"/>
  <c r="N400" i="120" s="1"/>
  <c r="D72" i="120"/>
  <c r="E72" i="120" s="1"/>
  <c r="K399" i="120"/>
  <c r="M399" i="120" s="1"/>
  <c r="D73" i="120" l="1"/>
  <c r="E73" i="120" s="1"/>
  <c r="K400" i="120"/>
  <c r="J401" i="120"/>
  <c r="N401" i="120" s="1"/>
  <c r="O401" i="120"/>
  <c r="G402" i="120" s="1"/>
  <c r="M400" i="120" l="1"/>
  <c r="O402" i="120"/>
  <c r="G403" i="120" s="1"/>
  <c r="J402" i="120"/>
  <c r="D74" i="120"/>
  <c r="E74" i="120" s="1"/>
  <c r="K401" i="120"/>
  <c r="M401" i="120" s="1"/>
  <c r="D75" i="120" l="1"/>
  <c r="K402" i="120"/>
  <c r="J403" i="120"/>
  <c r="O403" i="120"/>
  <c r="G404" i="120" s="1"/>
  <c r="N402" i="120"/>
  <c r="N403" i="120" l="1"/>
  <c r="M402" i="120"/>
  <c r="E75" i="120"/>
  <c r="D76" i="120"/>
  <c r="E76" i="120" s="1"/>
  <c r="K403" i="120"/>
  <c r="M403" i="120" s="1"/>
  <c r="J404" i="120"/>
  <c r="O404" i="120"/>
  <c r="G405" i="120" s="1"/>
  <c r="J405" i="120" l="1"/>
  <c r="O405" i="120"/>
  <c r="G406" i="120" s="1"/>
  <c r="D77" i="120"/>
  <c r="E77" i="120" s="1"/>
  <c r="K404" i="120"/>
  <c r="M404" i="120" s="1"/>
  <c r="N404" i="120"/>
  <c r="O406" i="120" l="1"/>
  <c r="G407" i="120" s="1"/>
  <c r="J406" i="120"/>
  <c r="D78" i="120"/>
  <c r="E78" i="120" s="1"/>
  <c r="K405" i="120"/>
  <c r="M405" i="120" s="1"/>
  <c r="N405" i="120"/>
  <c r="J407" i="120" l="1"/>
  <c r="O407" i="120"/>
  <c r="G408" i="120" s="1"/>
  <c r="D79" i="120"/>
  <c r="E79" i="120" s="1"/>
  <c r="K406" i="120"/>
  <c r="M406" i="120" s="1"/>
  <c r="N406" i="120"/>
  <c r="O408" i="120" l="1"/>
  <c r="G409" i="120" s="1"/>
  <c r="J408" i="120"/>
  <c r="D80" i="120"/>
  <c r="E80" i="120" s="1"/>
  <c r="K407" i="120"/>
  <c r="M407" i="120" s="1"/>
  <c r="N407" i="120"/>
  <c r="D81" i="120" l="1"/>
  <c r="E81" i="120" s="1"/>
  <c r="K408" i="120"/>
  <c r="M408" i="120" s="1"/>
  <c r="J409" i="120"/>
  <c r="O409" i="120"/>
  <c r="G410" i="120" s="1"/>
  <c r="N408" i="120"/>
  <c r="O101" i="139"/>
  <c r="G102" i="139" l="1"/>
  <c r="J102" i="139" s="1"/>
  <c r="D43" i="139" s="1"/>
  <c r="E43" i="139" s="1"/>
  <c r="D82" i="120"/>
  <c r="E82" i="120" s="1"/>
  <c r="K409" i="120"/>
  <c r="M409" i="120" s="1"/>
  <c r="N409" i="120"/>
  <c r="J410" i="120"/>
  <c r="N410" i="120" s="1"/>
  <c r="O410" i="120"/>
  <c r="G411" i="120" s="1"/>
  <c r="J411" i="120" l="1"/>
  <c r="O411" i="120"/>
  <c r="G412" i="120" s="1"/>
  <c r="G414" i="120" s="1"/>
  <c r="D83" i="120"/>
  <c r="E83" i="120" s="1"/>
  <c r="K410" i="120"/>
  <c r="M410" i="120" s="1"/>
  <c r="N102" i="139" l="1"/>
  <c r="O102" i="139" s="1"/>
  <c r="J412" i="120"/>
  <c r="J414" i="120" s="1"/>
  <c r="O412" i="120"/>
  <c r="O414" i="120" s="1"/>
  <c r="D84" i="120"/>
  <c r="E84" i="120" s="1"/>
  <c r="K411" i="120"/>
  <c r="M411" i="120" s="1"/>
  <c r="N411" i="120"/>
  <c r="K185" i="139" l="1"/>
  <c r="G186" i="139"/>
  <c r="K158" i="139"/>
  <c r="G159" i="139"/>
  <c r="K130" i="139"/>
  <c r="G131" i="139"/>
  <c r="J131" i="139" s="1"/>
  <c r="K131" i="139" s="1"/>
  <c r="G103" i="139"/>
  <c r="J103" i="139" s="1"/>
  <c r="K102" i="139"/>
  <c r="D85" i="120"/>
  <c r="D87" i="120" s="1"/>
  <c r="K412" i="120"/>
  <c r="N412" i="120"/>
  <c r="N414" i="120" s="1"/>
  <c r="D44" i="139" l="1"/>
  <c r="E44" i="139" s="1"/>
  <c r="J159" i="139"/>
  <c r="N159" i="139" s="1"/>
  <c r="J186" i="139"/>
  <c r="M412" i="120"/>
  <c r="M414" i="120" s="1"/>
  <c r="K414" i="120"/>
  <c r="E85" i="120"/>
  <c r="E87" i="120" s="1"/>
  <c r="C87" i="120"/>
  <c r="F87" i="120" l="1"/>
  <c r="N186" i="139"/>
  <c r="I187" i="139"/>
  <c r="I186" i="139"/>
  <c r="K186" i="139" s="1"/>
  <c r="I132" i="139"/>
  <c r="I160" i="139"/>
  <c r="I159" i="139"/>
  <c r="H204" i="139"/>
  <c r="I198" i="139"/>
  <c r="I192" i="139"/>
  <c r="I194" i="139"/>
  <c r="I163" i="139"/>
  <c r="I161" i="139"/>
  <c r="I175" i="139"/>
  <c r="I168" i="139"/>
  <c r="I173" i="139"/>
  <c r="I162" i="139"/>
  <c r="I172" i="139"/>
  <c r="H177" i="139"/>
  <c r="I169" i="139"/>
  <c r="I171" i="139"/>
  <c r="I170" i="139"/>
  <c r="I166" i="139"/>
  <c r="I165" i="139"/>
  <c r="I167" i="139"/>
  <c r="I164" i="139"/>
  <c r="I174" i="139"/>
  <c r="I197" i="139"/>
  <c r="I201" i="139"/>
  <c r="I195" i="139"/>
  <c r="I191" i="139"/>
  <c r="I196" i="139"/>
  <c r="I188" i="139"/>
  <c r="I193" i="139"/>
  <c r="I202" i="139"/>
  <c r="I189" i="139"/>
  <c r="I199" i="139"/>
  <c r="I190" i="139"/>
  <c r="I200" i="139"/>
  <c r="N131" i="139"/>
  <c r="O131" i="139" s="1"/>
  <c r="G132" i="139" s="1"/>
  <c r="J132" i="139" s="1"/>
  <c r="N103" i="139"/>
  <c r="O103" i="139" s="1"/>
  <c r="G104" i="139" s="1"/>
  <c r="J104" i="139" s="1"/>
  <c r="K103" i="139"/>
  <c r="G187" i="139" l="1"/>
  <c r="J187" i="139" s="1"/>
  <c r="K187" i="139" s="1"/>
  <c r="M187" i="139" s="1"/>
  <c r="G133" i="139"/>
  <c r="J133" i="139" s="1"/>
  <c r="K159" i="139"/>
  <c r="G160" i="139"/>
  <c r="I104" i="139"/>
  <c r="I105" i="139"/>
  <c r="I133" i="139"/>
  <c r="N104" i="139"/>
  <c r="H150" i="139"/>
  <c r="K132" i="139"/>
  <c r="I134" i="139"/>
  <c r="I140" i="139"/>
  <c r="I177" i="139"/>
  <c r="I142" i="139"/>
  <c r="I146" i="139"/>
  <c r="I204" i="139"/>
  <c r="I148" i="139"/>
  <c r="I113" i="139"/>
  <c r="I119" i="139"/>
  <c r="I114" i="139"/>
  <c r="I108" i="139"/>
  <c r="I107" i="139"/>
  <c r="I106" i="139"/>
  <c r="I120" i="139"/>
  <c r="I115" i="139"/>
  <c r="I110" i="139"/>
  <c r="I118" i="139"/>
  <c r="I111" i="139"/>
  <c r="H122" i="139"/>
  <c r="I109" i="139"/>
  <c r="I117" i="139"/>
  <c r="I112" i="139"/>
  <c r="I116" i="139"/>
  <c r="I147" i="139"/>
  <c r="I137" i="139"/>
  <c r="I138" i="139"/>
  <c r="I145" i="139"/>
  <c r="I144" i="139"/>
  <c r="I135" i="139"/>
  <c r="I143" i="139"/>
  <c r="I136" i="139"/>
  <c r="I141" i="139"/>
  <c r="I139" i="139"/>
  <c r="N132" i="139"/>
  <c r="O187" i="139" l="1"/>
  <c r="G188" i="139" s="1"/>
  <c r="O188" i="139" s="1"/>
  <c r="G189" i="139" s="1"/>
  <c r="J189" i="139" s="1"/>
  <c r="K189" i="139" s="1"/>
  <c r="M189" i="139" s="1"/>
  <c r="N187" i="139"/>
  <c r="K104" i="139"/>
  <c r="G105" i="139"/>
  <c r="G76" i="139"/>
  <c r="J160" i="139"/>
  <c r="O160" i="139"/>
  <c r="G161" i="139" s="1"/>
  <c r="J161" i="139" s="1"/>
  <c r="K161" i="139" s="1"/>
  <c r="O133" i="139"/>
  <c r="G134" i="139" s="1"/>
  <c r="J134" i="139" s="1"/>
  <c r="K133" i="139"/>
  <c r="M133" i="139" s="1"/>
  <c r="I150" i="139"/>
  <c r="I122" i="139"/>
  <c r="N133" i="139"/>
  <c r="O189" i="139" l="1"/>
  <c r="G190" i="139" s="1"/>
  <c r="J190" i="139" s="1"/>
  <c r="J188" i="139"/>
  <c r="K188" i="139" s="1"/>
  <c r="M188" i="139" s="1"/>
  <c r="N161" i="139"/>
  <c r="O161" i="139"/>
  <c r="G162" i="139" s="1"/>
  <c r="I77" i="139"/>
  <c r="C46" i="139" s="1"/>
  <c r="I86" i="139"/>
  <c r="C55" i="139" s="1"/>
  <c r="I90" i="139"/>
  <c r="C59" i="139" s="1"/>
  <c r="I81" i="139"/>
  <c r="C50" i="139" s="1"/>
  <c r="I85" i="139"/>
  <c r="C54" i="139" s="1"/>
  <c r="I83" i="139"/>
  <c r="C52" i="139" s="1"/>
  <c r="I78" i="139"/>
  <c r="C47" i="139" s="1"/>
  <c r="I88" i="139"/>
  <c r="C57" i="139" s="1"/>
  <c r="I92" i="139"/>
  <c r="I87" i="139"/>
  <c r="C56" i="139" s="1"/>
  <c r="I91" i="139"/>
  <c r="C60" i="139" s="1"/>
  <c r="I82" i="139"/>
  <c r="C51" i="139" s="1"/>
  <c r="I89" i="139"/>
  <c r="C58" i="139" s="1"/>
  <c r="I84" i="139"/>
  <c r="C53" i="139" s="1"/>
  <c r="I80" i="139"/>
  <c r="C49" i="139" s="1"/>
  <c r="I76" i="139"/>
  <c r="I79" i="139"/>
  <c r="C48" i="139" s="1"/>
  <c r="H94" i="139"/>
  <c r="O134" i="139"/>
  <c r="G135" i="139" s="1"/>
  <c r="J135" i="139" s="1"/>
  <c r="K135" i="139" s="1"/>
  <c r="M135" i="139" s="1"/>
  <c r="J76" i="139"/>
  <c r="J105" i="139"/>
  <c r="N105" i="139" s="1"/>
  <c r="O105" i="139"/>
  <c r="G106" i="139" s="1"/>
  <c r="K160" i="139"/>
  <c r="M160" i="139" s="1"/>
  <c r="N160" i="139"/>
  <c r="N189" i="139"/>
  <c r="M161" i="139"/>
  <c r="K134" i="139"/>
  <c r="N134" i="139"/>
  <c r="K76" i="139" l="1"/>
  <c r="M76" i="139" s="1"/>
  <c r="N188" i="139"/>
  <c r="O190" i="139"/>
  <c r="G191" i="139" s="1"/>
  <c r="O191" i="139" s="1"/>
  <c r="G192" i="139" s="1"/>
  <c r="O135" i="139"/>
  <c r="G136" i="139" s="1"/>
  <c r="O136" i="139" s="1"/>
  <c r="G137" i="139" s="1"/>
  <c r="C45" i="139"/>
  <c r="I94" i="139"/>
  <c r="C64" i="139" s="1"/>
  <c r="N76" i="139"/>
  <c r="O76" i="139" s="1"/>
  <c r="G77" i="139" s="1"/>
  <c r="D45" i="139"/>
  <c r="C61" i="139"/>
  <c r="K105" i="139"/>
  <c r="M105" i="139" s="1"/>
  <c r="O162" i="139"/>
  <c r="J162" i="139"/>
  <c r="J106" i="139"/>
  <c r="O106" i="139"/>
  <c r="K190" i="139"/>
  <c r="M190" i="139" s="1"/>
  <c r="N190" i="139"/>
  <c r="N135" i="139"/>
  <c r="M134" i="139"/>
  <c r="O77" i="139" l="1"/>
  <c r="G78" i="139" s="1"/>
  <c r="J77" i="139"/>
  <c r="K77" i="139" s="1"/>
  <c r="M77" i="139" s="1"/>
  <c r="J136" i="139"/>
  <c r="K136" i="139" s="1"/>
  <c r="M136" i="139" s="1"/>
  <c r="J191" i="139"/>
  <c r="K191" i="139" s="1"/>
  <c r="M191" i="139" s="1"/>
  <c r="E45" i="139"/>
  <c r="D46" i="139"/>
  <c r="E46" i="139" s="1"/>
  <c r="N77" i="139"/>
  <c r="O78" i="139"/>
  <c r="G79" i="139" s="1"/>
  <c r="J78" i="139"/>
  <c r="N106" i="139"/>
  <c r="K162" i="139"/>
  <c r="N162" i="139"/>
  <c r="G163" i="139"/>
  <c r="K106" i="139"/>
  <c r="G107" i="139"/>
  <c r="O192" i="139"/>
  <c r="G193" i="139" s="1"/>
  <c r="J192" i="139"/>
  <c r="K192" i="139" s="1"/>
  <c r="M192" i="139" s="1"/>
  <c r="J137" i="139"/>
  <c r="K137" i="139" s="1"/>
  <c r="M137" i="139" s="1"/>
  <c r="O137" i="139"/>
  <c r="G138" i="139" s="1"/>
  <c r="N136" i="139" l="1"/>
  <c r="N191" i="139"/>
  <c r="C105" i="168"/>
  <c r="K78" i="139"/>
  <c r="M78" i="139" s="1"/>
  <c r="D47" i="139"/>
  <c r="E47" i="139" s="1"/>
  <c r="N78" i="139"/>
  <c r="J79" i="139"/>
  <c r="O79" i="139"/>
  <c r="G80" i="139" s="1"/>
  <c r="O163" i="139"/>
  <c r="J163" i="139"/>
  <c r="M162" i="139"/>
  <c r="M106" i="139"/>
  <c r="J107" i="139"/>
  <c r="O107" i="139"/>
  <c r="N192" i="139"/>
  <c r="O193" i="139"/>
  <c r="G194" i="139" s="1"/>
  <c r="J193" i="139"/>
  <c r="K193" i="139" s="1"/>
  <c r="M193" i="139" s="1"/>
  <c r="O138" i="139"/>
  <c r="G139" i="139" s="1"/>
  <c r="J138" i="139"/>
  <c r="K138" i="139" s="1"/>
  <c r="M138" i="139" s="1"/>
  <c r="N137" i="139"/>
  <c r="K79" i="139" l="1"/>
  <c r="M79" i="139" s="1"/>
  <c r="D48" i="139"/>
  <c r="E48" i="139" s="1"/>
  <c r="N79" i="139"/>
  <c r="O80" i="139"/>
  <c r="G81" i="139" s="1"/>
  <c r="J80" i="139"/>
  <c r="N163" i="139"/>
  <c r="K163" i="139"/>
  <c r="G164" i="139"/>
  <c r="K107" i="139"/>
  <c r="N107" i="139"/>
  <c r="G108" i="139"/>
  <c r="N193" i="139"/>
  <c r="J194" i="139"/>
  <c r="K194" i="139" s="1"/>
  <c r="M194" i="139" s="1"/>
  <c r="O194" i="139"/>
  <c r="G195" i="139" s="1"/>
  <c r="N138" i="139"/>
  <c r="J139" i="139"/>
  <c r="K139" i="139" s="1"/>
  <c r="M139" i="139" s="1"/>
  <c r="O139" i="139"/>
  <c r="G140" i="139" s="1"/>
  <c r="K80" i="139" l="1"/>
  <c r="M80" i="139" s="1"/>
  <c r="N80" i="139"/>
  <c r="J81" i="139"/>
  <c r="O81" i="139"/>
  <c r="G82" i="139" s="1"/>
  <c r="M163" i="139"/>
  <c r="O164" i="139"/>
  <c r="J164" i="139"/>
  <c r="O108" i="139"/>
  <c r="J108" i="139"/>
  <c r="D49" i="139" s="1"/>
  <c r="E49" i="139" s="1"/>
  <c r="M107" i="139"/>
  <c r="N194" i="139"/>
  <c r="O195" i="139"/>
  <c r="G196" i="139" s="1"/>
  <c r="J195" i="139"/>
  <c r="K195" i="139" s="1"/>
  <c r="M195" i="139" s="1"/>
  <c r="N139" i="139"/>
  <c r="O140" i="139"/>
  <c r="G141" i="139" s="1"/>
  <c r="J140" i="139"/>
  <c r="K140" i="139" s="1"/>
  <c r="M140" i="139" s="1"/>
  <c r="K81" i="139" l="1"/>
  <c r="M81" i="139" s="1"/>
  <c r="N81" i="139"/>
  <c r="O82" i="139"/>
  <c r="G83" i="139" s="1"/>
  <c r="J82" i="139"/>
  <c r="N108" i="139"/>
  <c r="K164" i="139"/>
  <c r="M164" i="139" s="1"/>
  <c r="G165" i="139"/>
  <c r="N164" i="139"/>
  <c r="G109" i="139"/>
  <c r="K108" i="139"/>
  <c r="O196" i="139"/>
  <c r="G197" i="139" s="1"/>
  <c r="J196" i="139"/>
  <c r="K196" i="139" s="1"/>
  <c r="M196" i="139" s="1"/>
  <c r="N140" i="139"/>
  <c r="N195" i="139"/>
  <c r="J141" i="139"/>
  <c r="K141" i="139" s="1"/>
  <c r="M141" i="139" s="1"/>
  <c r="O141" i="139"/>
  <c r="G142" i="139" s="1"/>
  <c r="K82" i="139" l="1"/>
  <c r="M82" i="139" s="1"/>
  <c r="N82" i="139"/>
  <c r="J83" i="139"/>
  <c r="O83" i="139"/>
  <c r="G84" i="139" s="1"/>
  <c r="J165" i="139"/>
  <c r="K165" i="139" s="1"/>
  <c r="M165" i="139" s="1"/>
  <c r="O165" i="139"/>
  <c r="G166" i="139" s="1"/>
  <c r="M108" i="139"/>
  <c r="O109" i="139"/>
  <c r="J109" i="139"/>
  <c r="D50" i="139" s="1"/>
  <c r="E50" i="139" s="1"/>
  <c r="N196" i="139"/>
  <c r="O197" i="139"/>
  <c r="G198" i="139" s="1"/>
  <c r="J197" i="139"/>
  <c r="K197" i="139" s="1"/>
  <c r="M197" i="139" s="1"/>
  <c r="O142" i="139"/>
  <c r="G143" i="139" s="1"/>
  <c r="J142" i="139"/>
  <c r="K142" i="139" s="1"/>
  <c r="M142" i="139" s="1"/>
  <c r="N141" i="139"/>
  <c r="K83" i="139" l="1"/>
  <c r="M83" i="139" s="1"/>
  <c r="N83" i="139"/>
  <c r="O84" i="139"/>
  <c r="G85" i="139" s="1"/>
  <c r="J84" i="139"/>
  <c r="N109" i="139"/>
  <c r="J166" i="139"/>
  <c r="O166" i="139"/>
  <c r="G167" i="139" s="1"/>
  <c r="N165" i="139"/>
  <c r="K109" i="139"/>
  <c r="G110" i="139"/>
  <c r="N197" i="139"/>
  <c r="J198" i="139"/>
  <c r="K198" i="139" s="1"/>
  <c r="M198" i="139" s="1"/>
  <c r="O198" i="139"/>
  <c r="G199" i="139" s="1"/>
  <c r="N142" i="139"/>
  <c r="J143" i="139"/>
  <c r="K143" i="139" s="1"/>
  <c r="M143" i="139" s="1"/>
  <c r="O143" i="139"/>
  <c r="G144" i="139" s="1"/>
  <c r="K84" i="139" l="1"/>
  <c r="M84" i="139" s="1"/>
  <c r="N84" i="139"/>
  <c r="J85" i="139"/>
  <c r="O85" i="139"/>
  <c r="G86" i="139" s="1"/>
  <c r="M109" i="139"/>
  <c r="O167" i="139"/>
  <c r="G168" i="139" s="1"/>
  <c r="J167" i="139"/>
  <c r="K167" i="139" s="1"/>
  <c r="M167" i="139" s="1"/>
  <c r="N166" i="139"/>
  <c r="K166" i="139"/>
  <c r="M166" i="139" s="1"/>
  <c r="J110" i="139"/>
  <c r="D51" i="139" s="1"/>
  <c r="E51" i="139" s="1"/>
  <c r="O110" i="139"/>
  <c r="G111" i="139" s="1"/>
  <c r="N198" i="139"/>
  <c r="O199" i="139"/>
  <c r="G200" i="139" s="1"/>
  <c r="J199" i="139"/>
  <c r="K199" i="139" s="1"/>
  <c r="M199" i="139" s="1"/>
  <c r="N143" i="139"/>
  <c r="O144" i="139"/>
  <c r="G145" i="139" s="1"/>
  <c r="J144" i="139"/>
  <c r="K144" i="139" s="1"/>
  <c r="M144" i="139" s="1"/>
  <c r="K85" i="139" l="1"/>
  <c r="M85" i="139" s="1"/>
  <c r="O86" i="139"/>
  <c r="G87" i="139" s="1"/>
  <c r="J86" i="139"/>
  <c r="N85" i="139"/>
  <c r="N167" i="139"/>
  <c r="J168" i="139"/>
  <c r="K168" i="139" s="1"/>
  <c r="M168" i="139" s="1"/>
  <c r="O168" i="139"/>
  <c r="G169" i="139" s="1"/>
  <c r="K110" i="139"/>
  <c r="N110" i="139"/>
  <c r="O111" i="139"/>
  <c r="G112" i="139" s="1"/>
  <c r="J111" i="139"/>
  <c r="D52" i="139" s="1"/>
  <c r="E52" i="139" s="1"/>
  <c r="N199" i="139"/>
  <c r="N144" i="139"/>
  <c r="O200" i="139"/>
  <c r="G201" i="139" s="1"/>
  <c r="J200" i="139"/>
  <c r="K200" i="139" s="1"/>
  <c r="M200" i="139" s="1"/>
  <c r="J145" i="139"/>
  <c r="K145" i="139" s="1"/>
  <c r="M145" i="139" s="1"/>
  <c r="O145" i="139"/>
  <c r="G146" i="139" s="1"/>
  <c r="K86" i="139" l="1"/>
  <c r="M86" i="139" s="1"/>
  <c r="N86" i="139"/>
  <c r="J87" i="139"/>
  <c r="O87" i="139"/>
  <c r="G88" i="139" s="1"/>
  <c r="M110" i="139"/>
  <c r="K111" i="139"/>
  <c r="N168" i="139"/>
  <c r="J169" i="139"/>
  <c r="K169" i="139" s="1"/>
  <c r="M169" i="139" s="1"/>
  <c r="O169" i="139"/>
  <c r="G170" i="139" s="1"/>
  <c r="O112" i="139"/>
  <c r="G113" i="139" s="1"/>
  <c r="J112" i="139"/>
  <c r="D53" i="139" s="1"/>
  <c r="E53" i="139" s="1"/>
  <c r="N111" i="139"/>
  <c r="O201" i="139"/>
  <c r="G202" i="139" s="1"/>
  <c r="J201" i="139"/>
  <c r="K201" i="139" s="1"/>
  <c r="M201" i="139" s="1"/>
  <c r="N200" i="139"/>
  <c r="O146" i="139"/>
  <c r="G147" i="139" s="1"/>
  <c r="J146" i="139"/>
  <c r="K146" i="139" s="1"/>
  <c r="M146" i="139" s="1"/>
  <c r="N145" i="139"/>
  <c r="K87" i="139" l="1"/>
  <c r="M87" i="139" s="1"/>
  <c r="O88" i="139"/>
  <c r="G89" i="139" s="1"/>
  <c r="J88" i="139"/>
  <c r="N87" i="139"/>
  <c r="K112" i="139"/>
  <c r="M111" i="139"/>
  <c r="N169" i="139"/>
  <c r="J170" i="139"/>
  <c r="K170" i="139" s="1"/>
  <c r="M170" i="139" s="1"/>
  <c r="O170" i="139"/>
  <c r="G171" i="139" s="1"/>
  <c r="N112" i="139"/>
  <c r="O113" i="139"/>
  <c r="G114" i="139" s="1"/>
  <c r="J113" i="139"/>
  <c r="D54" i="139" s="1"/>
  <c r="E54" i="139" s="1"/>
  <c r="N201" i="139"/>
  <c r="J202" i="139"/>
  <c r="K202" i="139" s="1"/>
  <c r="M202" i="139" s="1"/>
  <c r="O202" i="139"/>
  <c r="N146" i="139"/>
  <c r="J147" i="139"/>
  <c r="K147" i="139" s="1"/>
  <c r="M147" i="139" s="1"/>
  <c r="O147" i="139"/>
  <c r="G148" i="139" s="1"/>
  <c r="K88" i="139" l="1"/>
  <c r="M88" i="139" s="1"/>
  <c r="N88" i="139"/>
  <c r="J89" i="139"/>
  <c r="O89" i="139"/>
  <c r="G90" i="139" s="1"/>
  <c r="K113" i="139"/>
  <c r="M112" i="139"/>
  <c r="N170" i="139"/>
  <c r="J171" i="139"/>
  <c r="K171" i="139" s="1"/>
  <c r="M171" i="139" s="1"/>
  <c r="O171" i="139"/>
  <c r="G172" i="139" s="1"/>
  <c r="N113" i="139"/>
  <c r="O114" i="139"/>
  <c r="G115" i="139" s="1"/>
  <c r="J114" i="139"/>
  <c r="D55" i="139" s="1"/>
  <c r="E55" i="139" s="1"/>
  <c r="N202" i="139"/>
  <c r="O148" i="139"/>
  <c r="J148" i="139"/>
  <c r="K148" i="139" s="1"/>
  <c r="M148" i="139" s="1"/>
  <c r="N147" i="139"/>
  <c r="K89" i="139" l="1"/>
  <c r="M89" i="139" s="1"/>
  <c r="O90" i="139"/>
  <c r="G91" i="139" s="1"/>
  <c r="J90" i="139"/>
  <c r="N89" i="139"/>
  <c r="N171" i="139"/>
  <c r="K114" i="139"/>
  <c r="M113" i="139"/>
  <c r="J172" i="139"/>
  <c r="K172" i="139" s="1"/>
  <c r="M172" i="139" s="1"/>
  <c r="O172" i="139"/>
  <c r="G173" i="139" s="1"/>
  <c r="N114" i="139"/>
  <c r="J115" i="139"/>
  <c r="D56" i="139" s="1"/>
  <c r="E56" i="139" s="1"/>
  <c r="O115" i="139"/>
  <c r="G116" i="139" s="1"/>
  <c r="N148" i="139"/>
  <c r="K90" i="139" l="1"/>
  <c r="M90" i="139" s="1"/>
  <c r="N90" i="139"/>
  <c r="J91" i="139"/>
  <c r="O91" i="139"/>
  <c r="G92" i="139" s="1"/>
  <c r="J92" i="139" s="1"/>
  <c r="K115" i="139"/>
  <c r="M114" i="139"/>
  <c r="N172" i="139"/>
  <c r="O173" i="139"/>
  <c r="G174" i="139" s="1"/>
  <c r="J173" i="139"/>
  <c r="K173" i="139" s="1"/>
  <c r="M173" i="139" s="1"/>
  <c r="N115" i="139"/>
  <c r="J116" i="139"/>
  <c r="D57" i="139" s="1"/>
  <c r="E57" i="139" s="1"/>
  <c r="O116" i="139"/>
  <c r="G117" i="139" s="1"/>
  <c r="G204" i="139"/>
  <c r="K92" i="139" l="1"/>
  <c r="M92" i="139" s="1"/>
  <c r="N92" i="139"/>
  <c r="O92" i="139"/>
  <c r="K91" i="139"/>
  <c r="J94" i="139"/>
  <c r="N91" i="139"/>
  <c r="K116" i="139"/>
  <c r="M115" i="139"/>
  <c r="N173" i="139"/>
  <c r="J174" i="139"/>
  <c r="K174" i="139" s="1"/>
  <c r="M174" i="139" s="1"/>
  <c r="O174" i="139"/>
  <c r="G175" i="139" s="1"/>
  <c r="J117" i="139"/>
  <c r="D58" i="139" s="1"/>
  <c r="E58" i="139" s="1"/>
  <c r="O117" i="139"/>
  <c r="G118" i="139" s="1"/>
  <c r="N116" i="139"/>
  <c r="O204" i="139"/>
  <c r="M91" i="139" l="1"/>
  <c r="M94" i="139" s="1"/>
  <c r="K94" i="139"/>
  <c r="K117" i="139"/>
  <c r="M116" i="139"/>
  <c r="J204" i="139"/>
  <c r="N204" i="139"/>
  <c r="N174" i="139"/>
  <c r="J175" i="139"/>
  <c r="K175" i="139" s="1"/>
  <c r="M175" i="139" s="1"/>
  <c r="O175" i="139"/>
  <c r="N117" i="139"/>
  <c r="J118" i="139"/>
  <c r="D59" i="139" s="1"/>
  <c r="E59" i="139" s="1"/>
  <c r="O118" i="139"/>
  <c r="G119" i="139" s="1"/>
  <c r="G150" i="139"/>
  <c r="K118" i="139" l="1"/>
  <c r="M117" i="139"/>
  <c r="N175" i="139"/>
  <c r="M204" i="139"/>
  <c r="K204" i="139"/>
  <c r="O119" i="139"/>
  <c r="G120" i="139" s="1"/>
  <c r="J119" i="139"/>
  <c r="D60" i="139" s="1"/>
  <c r="E60" i="139" s="1"/>
  <c r="N118" i="139"/>
  <c r="O150" i="139"/>
  <c r="N94" i="139" l="1"/>
  <c r="O94" i="139"/>
  <c r="G94" i="139"/>
  <c r="K119" i="139"/>
  <c r="M118" i="139"/>
  <c r="J150" i="139"/>
  <c r="N119" i="139"/>
  <c r="O120" i="139"/>
  <c r="J120" i="139"/>
  <c r="D61" i="139" s="1"/>
  <c r="E61" i="139" s="1"/>
  <c r="N150" i="139"/>
  <c r="K120" i="139" l="1"/>
  <c r="M119" i="139"/>
  <c r="M150" i="139"/>
  <c r="K150" i="139"/>
  <c r="N120" i="139"/>
  <c r="M120" i="139" l="1"/>
  <c r="G177" i="139"/>
  <c r="O177" i="139"/>
  <c r="J177" i="139" l="1"/>
  <c r="N177" i="139"/>
  <c r="M177" i="139" l="1"/>
  <c r="K177" i="139"/>
  <c r="G122" i="139"/>
  <c r="O122" i="139"/>
  <c r="N122" i="139" l="1"/>
  <c r="J122" i="139"/>
  <c r="D64" i="139" s="1"/>
  <c r="M122" i="139" l="1"/>
  <c r="K122" i="139"/>
  <c r="E64" i="139" s="1"/>
  <c r="O43" i="124" l="1"/>
  <c r="G44" i="124" s="1"/>
  <c r="O44" i="124" l="1"/>
  <c r="G45" i="124" s="1"/>
  <c r="J45" i="124" s="1"/>
  <c r="K45" i="124" s="1"/>
  <c r="M45" i="124" s="1"/>
  <c r="J44" i="124"/>
  <c r="N44" i="124" s="1"/>
  <c r="O45" i="124" l="1"/>
  <c r="G46" i="124" s="1"/>
  <c r="O46" i="124" s="1"/>
  <c r="G47" i="124" s="1"/>
  <c r="K44" i="124"/>
  <c r="N45" i="124"/>
  <c r="J46" i="124" l="1"/>
  <c r="K46" i="124" s="1"/>
  <c r="M46" i="124" s="1"/>
  <c r="M44" i="124"/>
  <c r="J47" i="124"/>
  <c r="N47" i="124" s="1"/>
  <c r="O47" i="124"/>
  <c r="G48" i="124" s="1"/>
  <c r="N46" i="124" l="1"/>
  <c r="K47" i="124"/>
  <c r="J48" i="124"/>
  <c r="K48" i="124" s="1"/>
  <c r="M48" i="124" s="1"/>
  <c r="O48" i="124"/>
  <c r="G49" i="124" s="1"/>
  <c r="M47" i="124" l="1"/>
  <c r="N48" i="124"/>
  <c r="O49" i="124"/>
  <c r="G50" i="124" s="1"/>
  <c r="J49" i="124"/>
  <c r="K49" i="124" s="1"/>
  <c r="M49" i="124" s="1"/>
  <c r="N49" i="124" l="1"/>
  <c r="J50" i="124"/>
  <c r="K50" i="124" s="1"/>
  <c r="M50" i="124" s="1"/>
  <c r="O50" i="124"/>
  <c r="G51" i="124" s="1"/>
  <c r="N50" i="124" l="1"/>
  <c r="O51" i="124"/>
  <c r="G52" i="124" s="1"/>
  <c r="J51" i="124"/>
  <c r="K51" i="124" s="1"/>
  <c r="M51" i="124" s="1"/>
  <c r="N51" i="124" l="1"/>
  <c r="O52" i="124"/>
  <c r="G53" i="124" s="1"/>
  <c r="J52" i="124"/>
  <c r="K52" i="124" s="1"/>
  <c r="M52" i="124" s="1"/>
  <c r="N52" i="124" l="1"/>
  <c r="J53" i="124"/>
  <c r="K53" i="124" s="1"/>
  <c r="M53" i="124" s="1"/>
  <c r="O53" i="124"/>
  <c r="G54" i="124" s="1"/>
  <c r="N53" i="124" l="1"/>
  <c r="O54" i="124"/>
  <c r="G55" i="124" s="1"/>
  <c r="J54" i="124"/>
  <c r="K54" i="124" s="1"/>
  <c r="M54" i="124" s="1"/>
  <c r="N54" i="124" l="1"/>
  <c r="J55" i="124"/>
  <c r="K55" i="124" s="1"/>
  <c r="M55" i="124" s="1"/>
  <c r="O55" i="124"/>
  <c r="G56" i="124" s="1"/>
  <c r="N55" i="124" l="1"/>
  <c r="O56" i="124"/>
  <c r="G57" i="124" s="1"/>
  <c r="J56" i="124"/>
  <c r="K56" i="124" s="1"/>
  <c r="M56" i="124" s="1"/>
  <c r="N56" i="124" l="1"/>
  <c r="J57" i="124"/>
  <c r="K57" i="124" s="1"/>
  <c r="M57" i="124" s="1"/>
  <c r="O57" i="124"/>
  <c r="G58" i="124" s="1"/>
  <c r="N57" i="124" l="1"/>
  <c r="O58" i="124"/>
  <c r="G59" i="124" s="1"/>
  <c r="J58" i="124"/>
  <c r="K58" i="124" s="1"/>
  <c r="M58" i="124" s="1"/>
  <c r="N58" i="124" l="1"/>
  <c r="O59" i="124"/>
  <c r="G60" i="124" s="1"/>
  <c r="J59" i="124"/>
  <c r="K59" i="124" s="1"/>
  <c r="M59" i="124" s="1"/>
  <c r="N59" i="124" l="1"/>
  <c r="J60" i="124"/>
  <c r="K60" i="124" s="1"/>
  <c r="M60" i="124" s="1"/>
  <c r="O60" i="124"/>
  <c r="G61" i="124" s="1"/>
  <c r="N60" i="124" l="1"/>
  <c r="J61" i="124"/>
  <c r="K61" i="124" s="1"/>
  <c r="M61" i="124" s="1"/>
  <c r="O61" i="124"/>
  <c r="G62" i="124" s="1"/>
  <c r="G64" i="124" l="1"/>
  <c r="N61" i="124"/>
  <c r="O62" i="124"/>
  <c r="O64" i="124" s="1"/>
  <c r="J62" i="124"/>
  <c r="K62" i="124" l="1"/>
  <c r="J64" i="124"/>
  <c r="N62" i="124"/>
  <c r="N64" i="124" s="1"/>
  <c r="M62" i="124" l="1"/>
  <c r="M64" i="124" s="1"/>
  <c r="K64" i="124"/>
  <c r="O42" i="126" l="1"/>
  <c r="G43" i="126" s="1"/>
  <c r="O43" i="126" l="1"/>
  <c r="G44" i="126" s="1"/>
  <c r="N43" i="126"/>
  <c r="O44" i="126" l="1"/>
  <c r="G45" i="126" s="1"/>
  <c r="N44" i="126"/>
  <c r="O45" i="126" l="1"/>
  <c r="G46" i="126" s="1"/>
  <c r="N45" i="126"/>
  <c r="O46" i="126" l="1"/>
  <c r="G47" i="126" s="1"/>
  <c r="N46" i="126"/>
  <c r="O47" i="126" l="1"/>
  <c r="G48" i="126" s="1"/>
  <c r="N47" i="126"/>
  <c r="O48" i="126" l="1"/>
  <c r="G49" i="126" s="1"/>
  <c r="N48" i="126"/>
  <c r="O49" i="126" l="1"/>
  <c r="G50" i="126" s="1"/>
  <c r="N49" i="126"/>
  <c r="O50" i="126" l="1"/>
  <c r="G51" i="126" s="1"/>
  <c r="N50" i="126"/>
  <c r="O51" i="126" l="1"/>
  <c r="G52" i="126" s="1"/>
  <c r="N51" i="126"/>
  <c r="O52" i="126" l="1"/>
  <c r="G53" i="126" s="1"/>
  <c r="N52" i="126"/>
  <c r="O53" i="126" l="1"/>
  <c r="G54" i="126" s="1"/>
  <c r="N53" i="126"/>
  <c r="O54" i="126" l="1"/>
  <c r="G55" i="126" s="1"/>
  <c r="N54" i="126"/>
  <c r="O55" i="126" l="1"/>
  <c r="G56" i="126" s="1"/>
  <c r="N55" i="126"/>
  <c r="O56" i="126" l="1"/>
  <c r="G57" i="126" s="1"/>
  <c r="N56" i="126"/>
  <c r="O57" i="126" l="1"/>
  <c r="G58" i="126" s="1"/>
  <c r="N57" i="126"/>
  <c r="O58" i="126" l="1"/>
  <c r="G59" i="126" s="1"/>
  <c r="N58" i="126"/>
  <c r="O59" i="126" l="1"/>
  <c r="G60" i="126" s="1"/>
  <c r="N59" i="126"/>
  <c r="O60" i="126" l="1"/>
  <c r="G61" i="126" s="1"/>
  <c r="N60" i="126"/>
  <c r="O61" i="126" l="1"/>
  <c r="O63" i="126" s="1"/>
  <c r="N61" i="126"/>
  <c r="N63" i="126" s="1"/>
  <c r="G63" i="126"/>
  <c r="O43" i="129"/>
  <c r="G44" i="129" s="1"/>
  <c r="O44" i="129" l="1"/>
  <c r="G45" i="129" s="1"/>
  <c r="N44" i="129"/>
  <c r="O45" i="129" l="1"/>
  <c r="G46" i="129" s="1"/>
  <c r="N45" i="129"/>
  <c r="O46" i="129" l="1"/>
  <c r="G47" i="129" s="1"/>
  <c r="N46" i="129"/>
  <c r="O47" i="129" l="1"/>
  <c r="G48" i="129" s="1"/>
  <c r="N47" i="129"/>
  <c r="O48" i="129" l="1"/>
  <c r="G49" i="129" s="1"/>
  <c r="N48" i="129"/>
  <c r="O49" i="129" l="1"/>
  <c r="G50" i="129" s="1"/>
  <c r="N49" i="129"/>
  <c r="O50" i="129" l="1"/>
  <c r="G51" i="129" s="1"/>
  <c r="N50" i="129"/>
  <c r="O51" i="129" l="1"/>
  <c r="G52" i="129" s="1"/>
  <c r="N51" i="129"/>
  <c r="O52" i="129" l="1"/>
  <c r="G53" i="129" s="1"/>
  <c r="N52" i="129"/>
  <c r="O53" i="129" l="1"/>
  <c r="G54" i="129" s="1"/>
  <c r="N53" i="129"/>
  <c r="O54" i="129" l="1"/>
  <c r="G55" i="129" s="1"/>
  <c r="N54" i="129"/>
  <c r="O55" i="129" l="1"/>
  <c r="G56" i="129" s="1"/>
  <c r="N55" i="129"/>
  <c r="O56" i="129" l="1"/>
  <c r="G57" i="129" s="1"/>
  <c r="N56" i="129"/>
  <c r="O57" i="129" l="1"/>
  <c r="G58" i="129" s="1"/>
  <c r="N57" i="129"/>
  <c r="O58" i="129" l="1"/>
  <c r="G59" i="129" s="1"/>
  <c r="N58" i="129"/>
  <c r="O59" i="129" l="1"/>
  <c r="G60" i="129" s="1"/>
  <c r="N59" i="129"/>
  <c r="O60" i="129" l="1"/>
  <c r="G61" i="129" s="1"/>
  <c r="N60" i="129"/>
  <c r="O61" i="129" l="1"/>
  <c r="G62" i="129" s="1"/>
  <c r="G64" i="129" s="1"/>
  <c r="N61" i="129"/>
  <c r="O62" i="129" l="1"/>
  <c r="O64" i="129" s="1"/>
  <c r="N62" i="129"/>
  <c r="N64" i="129" s="1"/>
  <c r="C10" i="139" l="1"/>
  <c r="L30" i="139"/>
  <c r="L24" i="139"/>
  <c r="L32" i="139"/>
  <c r="L25" i="139"/>
  <c r="L28" i="139"/>
  <c r="L26" i="139"/>
  <c r="L33" i="139"/>
  <c r="L20" i="139"/>
  <c r="L31" i="139"/>
  <c r="L29" i="139"/>
  <c r="L23" i="139"/>
  <c r="L34" i="139"/>
  <c r="L27" i="139"/>
  <c r="L22" i="139"/>
  <c r="L21" i="139"/>
  <c r="E103" i="168" s="1"/>
  <c r="B103" i="168"/>
  <c r="G15" i="139"/>
  <c r="D103" i="168" l="1"/>
  <c r="C103" i="168"/>
  <c r="L37" i="139"/>
  <c r="H103" i="168"/>
  <c r="H15" i="139"/>
  <c r="F103" i="168" l="1"/>
  <c r="I103" i="168"/>
  <c r="H133" i="168"/>
  <c r="K15" i="139"/>
  <c r="N15" i="139"/>
  <c r="I133" i="168" l="1"/>
  <c r="M15" i="139"/>
  <c r="O15" i="139"/>
  <c r="G16" i="139" s="1"/>
  <c r="H16" i="139" l="1"/>
  <c r="O16" i="139" l="1"/>
  <c r="G17" i="139" s="1"/>
  <c r="J17" i="139" s="1"/>
  <c r="K17" i="139" s="1"/>
  <c r="K16" i="139"/>
  <c r="N16" i="139"/>
  <c r="M16" i="139" l="1"/>
  <c r="N17" i="139"/>
  <c r="O17" i="139" s="1"/>
  <c r="G18" i="139" l="1"/>
  <c r="J18" i="139" s="1"/>
  <c r="K18" i="139" s="1"/>
  <c r="N18" i="139" l="1"/>
  <c r="O18" i="139" s="1"/>
  <c r="G19" i="139" s="1"/>
  <c r="J19" i="139" l="1"/>
  <c r="N19" i="139" s="1"/>
  <c r="C104" i="168" l="1"/>
  <c r="I19" i="139"/>
  <c r="K19" i="139" s="1"/>
  <c r="M19" i="139" s="1"/>
  <c r="O19" i="139" s="1"/>
  <c r="I28" i="139"/>
  <c r="I32" i="139"/>
  <c r="I24" i="139"/>
  <c r="I22" i="139"/>
  <c r="H37" i="139"/>
  <c r="I26" i="139"/>
  <c r="I21" i="139"/>
  <c r="I30" i="139"/>
  <c r="I31" i="139"/>
  <c r="I23" i="139"/>
  <c r="I27" i="139"/>
  <c r="I33" i="139"/>
  <c r="I20" i="139"/>
  <c r="I35" i="139"/>
  <c r="I34" i="139"/>
  <c r="I29" i="139"/>
  <c r="I25" i="139"/>
  <c r="I37" i="139" l="1"/>
  <c r="G20" i="139"/>
  <c r="O20" i="139" s="1"/>
  <c r="J20" i="139" l="1"/>
  <c r="K20" i="139" s="1"/>
  <c r="G21" i="139"/>
  <c r="O21" i="139" s="1"/>
  <c r="G22" i="139" s="1"/>
  <c r="N20" i="139" l="1"/>
  <c r="D104" i="168"/>
  <c r="J21" i="139"/>
  <c r="K21" i="139" s="1"/>
  <c r="M20" i="139"/>
  <c r="J22" i="139"/>
  <c r="K22" i="139" s="1"/>
  <c r="M22" i="139" s="1"/>
  <c r="O22" i="139"/>
  <c r="G23" i="139" s="1"/>
  <c r="N21" i="139" l="1"/>
  <c r="N22" i="139"/>
  <c r="J23" i="139"/>
  <c r="K23" i="139" s="1"/>
  <c r="O23" i="139"/>
  <c r="G24" i="139" s="1"/>
  <c r="M21" i="139" l="1"/>
  <c r="E104" i="168"/>
  <c r="F104" i="168" s="1"/>
  <c r="O24" i="139"/>
  <c r="G25" i="139" s="1"/>
  <c r="J24" i="139"/>
  <c r="M23" i="139"/>
  <c r="N23" i="139"/>
  <c r="K24" i="139" l="1"/>
  <c r="J25" i="139"/>
  <c r="K25" i="139" s="1"/>
  <c r="O25" i="139"/>
  <c r="G26" i="139" s="1"/>
  <c r="N24" i="139"/>
  <c r="M25" i="139" l="1"/>
  <c r="M24" i="139"/>
  <c r="O26" i="139"/>
  <c r="G27" i="139" s="1"/>
  <c r="J26" i="139"/>
  <c r="K26" i="139" s="1"/>
  <c r="M26" i="139" s="1"/>
  <c r="N25" i="139"/>
  <c r="J27" i="139" l="1"/>
  <c r="K27" i="139" s="1"/>
  <c r="M27" i="139" s="1"/>
  <c r="O27" i="139"/>
  <c r="G28" i="139" s="1"/>
  <c r="N26" i="139"/>
  <c r="F10" i="139"/>
  <c r="D10" i="139"/>
  <c r="E10" i="139"/>
  <c r="O28" i="139" l="1"/>
  <c r="G29" i="139" s="1"/>
  <c r="J28" i="139"/>
  <c r="K28" i="139" s="1"/>
  <c r="M28" i="139" s="1"/>
  <c r="N27" i="139"/>
  <c r="O29" i="139" l="1"/>
  <c r="G30" i="139" s="1"/>
  <c r="J29" i="139"/>
  <c r="K29" i="139" s="1"/>
  <c r="M29" i="139" s="1"/>
  <c r="N28" i="139"/>
  <c r="O30" i="139" l="1"/>
  <c r="G31" i="139" s="1"/>
  <c r="J30" i="139"/>
  <c r="K30" i="139" s="1"/>
  <c r="M30" i="139" s="1"/>
  <c r="N29" i="139"/>
  <c r="J31" i="139" l="1"/>
  <c r="K31" i="139" s="1"/>
  <c r="M31" i="139" s="1"/>
  <c r="O31" i="139"/>
  <c r="G32" i="139" s="1"/>
  <c r="N30" i="139"/>
  <c r="O32" i="139" l="1"/>
  <c r="G33" i="139" s="1"/>
  <c r="J32" i="139"/>
  <c r="K32" i="139" s="1"/>
  <c r="M32" i="139" s="1"/>
  <c r="N31" i="139"/>
  <c r="J33" i="139" l="1"/>
  <c r="K33" i="139" s="1"/>
  <c r="M33" i="139" s="1"/>
  <c r="O33" i="139"/>
  <c r="G34" i="139" s="1"/>
  <c r="N32" i="139"/>
  <c r="O34" i="139" l="1"/>
  <c r="G35" i="139" s="1"/>
  <c r="J34" i="139"/>
  <c r="K34" i="139" s="1"/>
  <c r="M34" i="139" s="1"/>
  <c r="N33" i="139"/>
  <c r="O35" i="139" l="1"/>
  <c r="J35" i="139"/>
  <c r="K35" i="139" s="1"/>
  <c r="M35" i="139" s="1"/>
  <c r="N34" i="139"/>
  <c r="N35" i="139" l="1"/>
  <c r="O37" i="139" l="1"/>
  <c r="G37" i="139"/>
  <c r="N37" i="139" l="1"/>
  <c r="J37" i="139"/>
  <c r="M37" i="139" l="1"/>
  <c r="K37" i="139"/>
  <c r="K42" i="133" l="1"/>
  <c r="M42" i="133" s="1"/>
  <c r="O42" i="133" s="1"/>
  <c r="I53" i="133" l="1"/>
  <c r="I56" i="133"/>
  <c r="I57" i="133"/>
  <c r="I51" i="133"/>
  <c r="I62" i="133"/>
  <c r="I61" i="133"/>
  <c r="I48" i="133"/>
  <c r="I46" i="133"/>
  <c r="I60" i="133"/>
  <c r="I59" i="133"/>
  <c r="I47" i="133"/>
  <c r="I58" i="133"/>
  <c r="I55" i="133"/>
  <c r="H64" i="133"/>
  <c r="I52" i="133"/>
  <c r="I54" i="133"/>
  <c r="I49" i="133"/>
  <c r="I50" i="133"/>
  <c r="I64" i="133" l="1"/>
  <c r="J43" i="133" l="1"/>
  <c r="K43" i="133" l="1"/>
  <c r="N43" i="133"/>
  <c r="G44" i="133" s="1"/>
  <c r="O43" i="133" l="1"/>
  <c r="J44" i="133" l="1"/>
  <c r="K44" i="133" l="1"/>
  <c r="N44" i="133"/>
  <c r="O44" i="133" l="1"/>
  <c r="G45" i="133"/>
  <c r="J45" i="133" s="1"/>
  <c r="K45" i="133" s="1"/>
  <c r="M45" i="133" l="1"/>
  <c r="N45" i="133"/>
  <c r="O45" i="133" l="1"/>
  <c r="G46" i="133" s="1"/>
  <c r="J46" i="133" s="1"/>
  <c r="K46" i="133" l="1"/>
  <c r="N46" i="133"/>
  <c r="M46" i="133" l="1"/>
  <c r="O46" i="133" s="1"/>
  <c r="G47" i="133" s="1"/>
  <c r="J47" i="133" s="1"/>
  <c r="K47" i="133" s="1"/>
  <c r="M47" i="133" l="1"/>
  <c r="N47" i="133"/>
  <c r="O47" i="133" l="1"/>
  <c r="G48" i="133" s="1"/>
  <c r="J48" i="133" l="1"/>
  <c r="K48" i="133" s="1"/>
  <c r="M48" i="133" l="1"/>
  <c r="N48" i="133"/>
  <c r="O48" i="133" l="1"/>
  <c r="G49" i="133" s="1"/>
  <c r="J49" i="133" l="1"/>
  <c r="K49" i="133" s="1"/>
  <c r="M49" i="133" l="1"/>
  <c r="N49" i="133"/>
  <c r="O49" i="133" l="1"/>
  <c r="G50" i="133" s="1"/>
  <c r="J50" i="133" l="1"/>
  <c r="K50" i="133" s="1"/>
  <c r="M50" i="133" l="1"/>
  <c r="B34" i="168"/>
  <c r="N50" i="133"/>
  <c r="O50" i="133" l="1"/>
  <c r="G51" i="133" s="1"/>
  <c r="J51" i="133" l="1"/>
  <c r="K51" i="133" s="1"/>
  <c r="M51" i="133" l="1"/>
  <c r="C34" i="168"/>
  <c r="N51" i="133"/>
  <c r="O51" i="133" l="1"/>
  <c r="G52" i="133" s="1"/>
  <c r="J52" i="133" l="1"/>
  <c r="K52" i="133" s="1"/>
  <c r="M52" i="133" l="1"/>
  <c r="D34" i="168"/>
  <c r="N52" i="133"/>
  <c r="O52" i="133" l="1"/>
  <c r="G53" i="133" s="1"/>
  <c r="J53" i="133" l="1"/>
  <c r="K53" i="133" s="1"/>
  <c r="M53" i="133" l="1"/>
  <c r="E34" i="168"/>
  <c r="F34" i="168" s="1"/>
  <c r="N53" i="133"/>
  <c r="O53" i="133" l="1"/>
  <c r="G54" i="133" s="1"/>
  <c r="J54" i="133" l="1"/>
  <c r="K54" i="133" s="1"/>
  <c r="M54" i="133" l="1"/>
  <c r="N54" i="133"/>
  <c r="O54" i="133" l="1"/>
  <c r="G55" i="133" s="1"/>
  <c r="J55" i="133" s="1"/>
  <c r="N55" i="133" l="1"/>
  <c r="K55" i="133"/>
  <c r="M55" i="133" l="1"/>
  <c r="O55" i="133" s="1"/>
  <c r="G56" i="133" s="1"/>
  <c r="J56" i="133" s="1"/>
  <c r="N56" i="133" l="1"/>
  <c r="K56" i="133"/>
  <c r="M56" i="133" l="1"/>
  <c r="O56" i="133" s="1"/>
  <c r="G57" i="133" s="1"/>
  <c r="J57" i="133" s="1"/>
  <c r="N57" i="133" l="1"/>
  <c r="K57" i="133"/>
  <c r="M57" i="133" l="1"/>
  <c r="O57" i="133" s="1"/>
  <c r="G58" i="133" s="1"/>
  <c r="F35" i="168"/>
  <c r="J58" i="133" l="1"/>
  <c r="N58" i="133" s="1"/>
  <c r="K58" i="133" l="1"/>
  <c r="M58" i="133" l="1"/>
  <c r="O58" i="133" s="1"/>
  <c r="G59" i="133" l="1"/>
  <c r="J59" i="133" l="1"/>
  <c r="N59" i="133" s="1"/>
  <c r="K59" i="133" l="1"/>
  <c r="M59" i="133" l="1"/>
  <c r="O59" i="133" s="1"/>
  <c r="G60" i="133" l="1"/>
  <c r="J60" i="133" l="1"/>
  <c r="K60" i="133" s="1"/>
  <c r="M60" i="133" s="1"/>
  <c r="N60" i="133" l="1"/>
  <c r="O60" i="133" l="1"/>
  <c r="G61" i="133" s="1"/>
  <c r="J61" i="133" s="1"/>
  <c r="K61" i="133" s="1"/>
  <c r="M61" i="133" s="1"/>
  <c r="N61" i="133" l="1"/>
  <c r="O61" i="133" l="1"/>
  <c r="G62" i="133" s="1"/>
  <c r="J62" i="133" s="1"/>
  <c r="N62" i="133" s="1"/>
  <c r="G64" i="133" l="1"/>
  <c r="N64" i="133"/>
  <c r="K62" i="133"/>
  <c r="J64" i="133"/>
  <c r="C33" i="168" l="1"/>
  <c r="E33" i="168"/>
  <c r="D33" i="168"/>
  <c r="M62" i="133"/>
  <c r="O62" i="133" s="1"/>
  <c r="K64" i="133"/>
  <c r="F33" i="168" l="1"/>
  <c r="M64" i="133"/>
  <c r="O64" i="133"/>
  <c r="M79" i="150" l="1"/>
  <c r="M76" i="150"/>
  <c r="M78" i="150"/>
  <c r="M75" i="150"/>
  <c r="M74" i="150"/>
  <c r="M77" i="150"/>
  <c r="M73" i="150"/>
  <c r="O73" i="150"/>
  <c r="G74" i="150" s="1"/>
  <c r="H74" i="150" l="1"/>
  <c r="O74" i="150" l="1"/>
  <c r="G75" i="150" s="1"/>
  <c r="N74" i="150"/>
  <c r="H75" i="150" l="1"/>
  <c r="O75" i="150" l="1"/>
  <c r="G76" i="150" s="1"/>
  <c r="N75" i="150"/>
  <c r="H76" i="150" l="1"/>
  <c r="O76" i="150" l="1"/>
  <c r="N76" i="150"/>
  <c r="G77" i="150" l="1"/>
  <c r="H77" i="150" l="1"/>
  <c r="O77" i="150" l="1"/>
  <c r="N77" i="150"/>
  <c r="G78" i="150" l="1"/>
  <c r="H78" i="150" l="1"/>
  <c r="N78" i="150" l="1"/>
  <c r="O78" i="150"/>
  <c r="G79" i="150" l="1"/>
  <c r="H79" i="150" l="1"/>
  <c r="N79" i="150" s="1"/>
  <c r="O79" i="150" l="1"/>
  <c r="G80" i="150" s="1"/>
  <c r="L101" i="150"/>
  <c r="H80" i="150" l="1"/>
  <c r="C48" i="150" l="1"/>
  <c r="N80" i="150"/>
  <c r="K80" i="150" l="1"/>
  <c r="O80" i="150"/>
  <c r="G81" i="150" s="1"/>
  <c r="H81" i="150" l="1"/>
  <c r="M80" i="150"/>
  <c r="N81" i="150" l="1"/>
  <c r="M202" i="150" l="1"/>
  <c r="O202" i="150"/>
  <c r="G203" i="150" l="1"/>
  <c r="H203" i="150" l="1"/>
  <c r="N203" i="150" s="1"/>
  <c r="L223" i="150"/>
  <c r="O203" i="150" l="1"/>
  <c r="G204" i="150" s="1"/>
  <c r="K203" i="150"/>
  <c r="M203" i="150" s="1"/>
  <c r="H204" i="150" l="1"/>
  <c r="N204" i="150" l="1"/>
  <c r="O204" i="150"/>
  <c r="G205" i="150" s="1"/>
  <c r="J205" i="150" l="1"/>
  <c r="H205" i="150"/>
  <c r="K204" i="150"/>
  <c r="M204" i="150" s="1"/>
  <c r="N205" i="150" l="1"/>
  <c r="I205" i="150"/>
  <c r="I221" i="150"/>
  <c r="I213" i="150"/>
  <c r="I206" i="150"/>
  <c r="H223" i="150"/>
  <c r="I211" i="150"/>
  <c r="I208" i="150"/>
  <c r="I216" i="150"/>
  <c r="I212" i="150"/>
  <c r="I218" i="150"/>
  <c r="I215" i="150"/>
  <c r="I209" i="150"/>
  <c r="I220" i="150"/>
  <c r="I210" i="150"/>
  <c r="I214" i="150"/>
  <c r="I217" i="150"/>
  <c r="I219" i="150"/>
  <c r="I207" i="150"/>
  <c r="I223" i="150" l="1"/>
  <c r="K205" i="150"/>
  <c r="M205" i="150" s="1"/>
  <c r="O205" i="150"/>
  <c r="G206" i="150" s="1"/>
  <c r="J206" i="150" l="1"/>
  <c r="O206" i="150"/>
  <c r="G207" i="150" s="1"/>
  <c r="O207" i="150" s="1"/>
  <c r="G208" i="150" s="1"/>
  <c r="J207" i="150" l="1"/>
  <c r="N207" i="150" s="1"/>
  <c r="N206" i="150"/>
  <c r="K206" i="150"/>
  <c r="M206" i="150" s="1"/>
  <c r="J208" i="150"/>
  <c r="O208" i="150"/>
  <c r="G209" i="150" s="1"/>
  <c r="K207" i="150" l="1"/>
  <c r="M207" i="150" s="1"/>
  <c r="K208" i="150"/>
  <c r="M208" i="150" s="1"/>
  <c r="J209" i="150"/>
  <c r="O209" i="150"/>
  <c r="G210" i="150" s="1"/>
  <c r="N208" i="150"/>
  <c r="N209" i="150" l="1"/>
  <c r="O210" i="150"/>
  <c r="G211" i="150" s="1"/>
  <c r="J210" i="150"/>
  <c r="K209" i="150"/>
  <c r="M209" i="150" s="1"/>
  <c r="J211" i="150" l="1"/>
  <c r="O211" i="150"/>
  <c r="G212" i="150" s="1"/>
  <c r="K210" i="150"/>
  <c r="M210" i="150" s="1"/>
  <c r="N210" i="150"/>
  <c r="K211" i="150" l="1"/>
  <c r="M211" i="150" s="1"/>
  <c r="N211" i="150"/>
  <c r="J212" i="150"/>
  <c r="O212" i="150"/>
  <c r="G213" i="150" s="1"/>
  <c r="K212" i="150" l="1"/>
  <c r="M212" i="150" s="1"/>
  <c r="N212" i="150"/>
  <c r="O213" i="150"/>
  <c r="G214" i="150" s="1"/>
  <c r="J213" i="150"/>
  <c r="N213" i="150" l="1"/>
  <c r="O214" i="150"/>
  <c r="G215" i="150" s="1"/>
  <c r="J214" i="150"/>
  <c r="K213" i="150"/>
  <c r="M213" i="150" s="1"/>
  <c r="N214" i="150" l="1"/>
  <c r="K214" i="150"/>
  <c r="M214" i="150" s="1"/>
  <c r="J215" i="150"/>
  <c r="O215" i="150"/>
  <c r="G216" i="150" s="1"/>
  <c r="N215" i="150" l="1"/>
  <c r="O216" i="150"/>
  <c r="G217" i="150" s="1"/>
  <c r="J216" i="150"/>
  <c r="K215" i="150"/>
  <c r="M215" i="150" s="1"/>
  <c r="N216" i="150" l="1"/>
  <c r="K216" i="150"/>
  <c r="M216" i="150" s="1"/>
  <c r="J217" i="150"/>
  <c r="O217" i="150"/>
  <c r="G218" i="150" s="1"/>
  <c r="N217" i="150" l="1"/>
  <c r="O218" i="150"/>
  <c r="G219" i="150" s="1"/>
  <c r="J218" i="150"/>
  <c r="K217" i="150"/>
  <c r="M217" i="150" s="1"/>
  <c r="N218" i="150" l="1"/>
  <c r="O219" i="150"/>
  <c r="G220" i="150" s="1"/>
  <c r="J219" i="150"/>
  <c r="K218" i="150"/>
  <c r="M218" i="150" s="1"/>
  <c r="J220" i="150" l="1"/>
  <c r="O220" i="150"/>
  <c r="G221" i="150" s="1"/>
  <c r="K219" i="150"/>
  <c r="M219" i="150" s="1"/>
  <c r="N219" i="150"/>
  <c r="N220" i="150" l="1"/>
  <c r="J221" i="150"/>
  <c r="O221" i="150"/>
  <c r="O223" i="150" s="1"/>
  <c r="G223" i="150"/>
  <c r="K220" i="150"/>
  <c r="M220" i="150" s="1"/>
  <c r="N221" i="150" l="1"/>
  <c r="N223" i="150" s="1"/>
  <c r="K221" i="150"/>
  <c r="J223" i="150"/>
  <c r="M221" i="150" l="1"/>
  <c r="M223" i="150" s="1"/>
  <c r="K223" i="150"/>
  <c r="M230" i="150"/>
  <c r="O230" i="150"/>
  <c r="G231" i="150" s="1"/>
  <c r="H231" i="150" l="1"/>
  <c r="N231" i="150" s="1"/>
  <c r="L251" i="150" l="1"/>
  <c r="O231" i="150"/>
  <c r="M231" i="150" l="1"/>
  <c r="G232" i="150"/>
  <c r="H232" i="150" s="1"/>
  <c r="O232" i="150" l="1"/>
  <c r="K232" i="150" l="1"/>
  <c r="N232" i="150"/>
  <c r="G233" i="150"/>
  <c r="H233" i="150" s="1"/>
  <c r="I233" i="150" l="1"/>
  <c r="I247" i="150"/>
  <c r="I235" i="150"/>
  <c r="I246" i="150"/>
  <c r="I241" i="150"/>
  <c r="I243" i="150"/>
  <c r="I248" i="150"/>
  <c r="I242" i="150"/>
  <c r="I238" i="150"/>
  <c r="I237" i="150"/>
  <c r="I234" i="150"/>
  <c r="I245" i="150"/>
  <c r="I244" i="150"/>
  <c r="I236" i="150"/>
  <c r="I239" i="150"/>
  <c r="H251" i="150"/>
  <c r="I249" i="150"/>
  <c r="I240" i="150"/>
  <c r="M232" i="150"/>
  <c r="J233" i="150"/>
  <c r="O233" i="150"/>
  <c r="I251" i="150" l="1"/>
  <c r="N233" i="150"/>
  <c r="G234" i="150"/>
  <c r="K233" i="150"/>
  <c r="J234" i="150" l="1"/>
  <c r="O234" i="150"/>
  <c r="M233" i="150"/>
  <c r="G235" i="150" l="1"/>
  <c r="K234" i="150"/>
  <c r="N234" i="150"/>
  <c r="M234" i="150" l="1"/>
  <c r="J235" i="150"/>
  <c r="O235" i="150"/>
  <c r="G236" i="150" s="1"/>
  <c r="N235" i="150" l="1"/>
  <c r="O236" i="150"/>
  <c r="G237" i="150" s="1"/>
  <c r="J236" i="150"/>
  <c r="K235" i="150"/>
  <c r="N236" i="150" l="1"/>
  <c r="K236" i="150"/>
  <c r="M236" i="150" s="1"/>
  <c r="M235" i="150"/>
  <c r="J237" i="150"/>
  <c r="O237" i="150"/>
  <c r="G238" i="150" s="1"/>
  <c r="K237" i="150" l="1"/>
  <c r="N237" i="150"/>
  <c r="J238" i="150"/>
  <c r="O238" i="150"/>
  <c r="G239" i="150" s="1"/>
  <c r="O239" i="150" l="1"/>
  <c r="G240" i="150" s="1"/>
  <c r="J239" i="150"/>
  <c r="M237" i="150"/>
  <c r="K238" i="150"/>
  <c r="M238" i="150" s="1"/>
  <c r="N238" i="150"/>
  <c r="K239" i="150" l="1"/>
  <c r="M239" i="150" s="1"/>
  <c r="O240" i="150"/>
  <c r="G241" i="150" s="1"/>
  <c r="J240" i="150"/>
  <c r="N239" i="150"/>
  <c r="K240" i="150" l="1"/>
  <c r="M240" i="150" s="1"/>
  <c r="J241" i="150"/>
  <c r="O241" i="150"/>
  <c r="G242" i="150" s="1"/>
  <c r="N240" i="150"/>
  <c r="N241" i="150" l="1"/>
  <c r="K241" i="150"/>
  <c r="M241" i="150" s="1"/>
  <c r="O242" i="150"/>
  <c r="G243" i="150" s="1"/>
  <c r="J242" i="150"/>
  <c r="N242" i="150" l="1"/>
  <c r="J243" i="150"/>
  <c r="O243" i="150"/>
  <c r="G244" i="150" s="1"/>
  <c r="K242" i="150"/>
  <c r="M242" i="150" s="1"/>
  <c r="K243" i="150" l="1"/>
  <c r="M243" i="150" s="1"/>
  <c r="J244" i="150"/>
  <c r="O244" i="150"/>
  <c r="G245" i="150" s="1"/>
  <c r="N243" i="150"/>
  <c r="K244" i="150" l="1"/>
  <c r="M244" i="150" s="1"/>
  <c r="N244" i="150"/>
  <c r="O245" i="150"/>
  <c r="G246" i="150" s="1"/>
  <c r="J245" i="150"/>
  <c r="N245" i="150" l="1"/>
  <c r="K245" i="150"/>
  <c r="M245" i="150" s="1"/>
  <c r="J246" i="150"/>
  <c r="O246" i="150"/>
  <c r="G247" i="150" s="1"/>
  <c r="J247" i="150" l="1"/>
  <c r="O247" i="150"/>
  <c r="G248" i="150" s="1"/>
  <c r="K246" i="150"/>
  <c r="M246" i="150" s="1"/>
  <c r="N246" i="150"/>
  <c r="N247" i="150" l="1"/>
  <c r="J248" i="150"/>
  <c r="O248" i="150"/>
  <c r="G249" i="150" s="1"/>
  <c r="K247" i="150"/>
  <c r="M247" i="150" s="1"/>
  <c r="K248" i="150" l="1"/>
  <c r="M248" i="150" s="1"/>
  <c r="J249" i="150"/>
  <c r="O249" i="150"/>
  <c r="O251" i="150" s="1"/>
  <c r="G251" i="150"/>
  <c r="N248" i="150"/>
  <c r="N249" i="150" l="1"/>
  <c r="N251" i="150" s="1"/>
  <c r="K249" i="150"/>
  <c r="J251" i="150"/>
  <c r="M249" i="150" l="1"/>
  <c r="M251" i="150" s="1"/>
  <c r="K251" i="150"/>
  <c r="M257" i="150"/>
  <c r="O257" i="150"/>
  <c r="G258" i="150" s="1"/>
  <c r="D49" i="150" l="1"/>
  <c r="H258" i="150"/>
  <c r="K258" i="150" l="1"/>
  <c r="M258" i="150" s="1"/>
  <c r="N258" i="150"/>
  <c r="L278" i="150"/>
  <c r="O258" i="150"/>
  <c r="F69" i="150" l="1"/>
  <c r="G259" i="150"/>
  <c r="H259" i="150" s="1"/>
  <c r="O259" i="150" l="1"/>
  <c r="N259" i="150" l="1"/>
  <c r="G260" i="150"/>
  <c r="H260" i="150" s="1"/>
  <c r="K259" i="150"/>
  <c r="I260" i="150" l="1"/>
  <c r="I264" i="150"/>
  <c r="I272" i="150"/>
  <c r="I265" i="150"/>
  <c r="I269" i="150"/>
  <c r="I271" i="150"/>
  <c r="I275" i="150"/>
  <c r="I267" i="150"/>
  <c r="I270" i="150"/>
  <c r="I263" i="150"/>
  <c r="I266" i="150"/>
  <c r="I262" i="150"/>
  <c r="I273" i="150"/>
  <c r="I276" i="150"/>
  <c r="I261" i="150"/>
  <c r="I268" i="150"/>
  <c r="I274" i="150"/>
  <c r="H278" i="150"/>
  <c r="M259" i="150"/>
  <c r="J260" i="150"/>
  <c r="E48" i="150"/>
  <c r="I278" i="150" l="1"/>
  <c r="O260" i="150"/>
  <c r="G261" i="150" s="1"/>
  <c r="N260" i="150"/>
  <c r="L304" i="150"/>
  <c r="M289" i="150"/>
  <c r="O289" i="150"/>
  <c r="K260" i="150"/>
  <c r="M260" i="150" l="1"/>
  <c r="G290" i="150"/>
  <c r="J290" i="150" s="1"/>
  <c r="J261" i="150"/>
  <c r="O261" i="150"/>
  <c r="N261" i="150" l="1"/>
  <c r="K261" i="150"/>
  <c r="N290" i="150"/>
  <c r="O290" i="150"/>
  <c r="G262" i="150"/>
  <c r="M261" i="150" l="1"/>
  <c r="G291" i="150"/>
  <c r="J262" i="150"/>
  <c r="O262" i="150"/>
  <c r="K290" i="150"/>
  <c r="K262" i="150" l="1"/>
  <c r="M290" i="150"/>
  <c r="N262" i="150"/>
  <c r="O291" i="150"/>
  <c r="J291" i="150"/>
  <c r="G263" i="150"/>
  <c r="K291" i="150" l="1"/>
  <c r="M262" i="150"/>
  <c r="G292" i="150"/>
  <c r="J292" i="150" s="1"/>
  <c r="O263" i="150"/>
  <c r="G264" i="150" s="1"/>
  <c r="J263" i="150"/>
  <c r="N291" i="150"/>
  <c r="N263" i="150" l="1"/>
  <c r="O264" i="150"/>
  <c r="G265" i="150" s="1"/>
  <c r="J264" i="150"/>
  <c r="O292" i="150"/>
  <c r="M291" i="150"/>
  <c r="K263" i="150"/>
  <c r="M263" i="150" s="1"/>
  <c r="K292" i="150" l="1"/>
  <c r="J265" i="150"/>
  <c r="O265" i="150"/>
  <c r="G266" i="150" s="1"/>
  <c r="G293" i="150"/>
  <c r="J293" i="150" s="1"/>
  <c r="K264" i="150"/>
  <c r="M264" i="150" s="1"/>
  <c r="N292" i="150"/>
  <c r="N264" i="150"/>
  <c r="J266" i="150" l="1"/>
  <c r="O266" i="150"/>
  <c r="G267" i="150" s="1"/>
  <c r="M292" i="150"/>
  <c r="K265" i="150"/>
  <c r="M265" i="150" s="1"/>
  <c r="O293" i="150"/>
  <c r="N265" i="150"/>
  <c r="N266" i="150" l="1"/>
  <c r="K293" i="150"/>
  <c r="N293" i="150"/>
  <c r="J267" i="150"/>
  <c r="O267" i="150"/>
  <c r="G268" i="150" s="1"/>
  <c r="G294" i="150"/>
  <c r="J294" i="150" s="1"/>
  <c r="K266" i="150"/>
  <c r="M266" i="150" s="1"/>
  <c r="K267" i="150" l="1"/>
  <c r="M267" i="150" s="1"/>
  <c r="M293" i="150"/>
  <c r="N267" i="150"/>
  <c r="O294" i="150"/>
  <c r="G295" i="150" s="1"/>
  <c r="J295" i="150" s="1"/>
  <c r="O268" i="150"/>
  <c r="G269" i="150" s="1"/>
  <c r="J268" i="150"/>
  <c r="K268" i="150" l="1"/>
  <c r="M268" i="150" s="1"/>
  <c r="K295" i="150"/>
  <c r="M295" i="150" s="1"/>
  <c r="O295" i="150"/>
  <c r="G296" i="150" s="1"/>
  <c r="J296" i="150" s="1"/>
  <c r="N268" i="150"/>
  <c r="K294" i="150"/>
  <c r="O269" i="150"/>
  <c r="G270" i="150" s="1"/>
  <c r="J269" i="150"/>
  <c r="N294" i="150"/>
  <c r="O270" i="150" l="1"/>
  <c r="G271" i="150" s="1"/>
  <c r="J270" i="150"/>
  <c r="O296" i="150"/>
  <c r="G297" i="150" s="1"/>
  <c r="J297" i="150" s="1"/>
  <c r="K296" i="150"/>
  <c r="M296" i="150" s="1"/>
  <c r="K269" i="150"/>
  <c r="M269" i="150" s="1"/>
  <c r="M294" i="150"/>
  <c r="N295" i="150"/>
  <c r="N269" i="150"/>
  <c r="N270" i="150" l="1"/>
  <c r="N296" i="150"/>
  <c r="J271" i="150"/>
  <c r="O271" i="150"/>
  <c r="G272" i="150" s="1"/>
  <c r="K297" i="150"/>
  <c r="M297" i="150" s="1"/>
  <c r="O297" i="150"/>
  <c r="G298" i="150" s="1"/>
  <c r="J298" i="150" s="1"/>
  <c r="K270" i="150"/>
  <c r="M270" i="150" s="1"/>
  <c r="N271" i="150" l="1"/>
  <c r="N297" i="150"/>
  <c r="O272" i="150"/>
  <c r="G273" i="150" s="1"/>
  <c r="J272" i="150"/>
  <c r="O298" i="150"/>
  <c r="G299" i="150" s="1"/>
  <c r="J299" i="150" s="1"/>
  <c r="K298" i="150"/>
  <c r="M298" i="150" s="1"/>
  <c r="K271" i="150"/>
  <c r="M271" i="150" s="1"/>
  <c r="N298" i="150" l="1"/>
  <c r="K299" i="150"/>
  <c r="M299" i="150" s="1"/>
  <c r="O299" i="150"/>
  <c r="G300" i="150" s="1"/>
  <c r="J300" i="150" s="1"/>
  <c r="K272" i="150"/>
  <c r="M272" i="150" s="1"/>
  <c r="N272" i="150"/>
  <c r="J273" i="150"/>
  <c r="O273" i="150"/>
  <c r="G274" i="150" s="1"/>
  <c r="N299" i="150" l="1"/>
  <c r="J274" i="150"/>
  <c r="O274" i="150"/>
  <c r="G275" i="150" s="1"/>
  <c r="K273" i="150"/>
  <c r="M273" i="150" s="1"/>
  <c r="N273" i="150"/>
  <c r="K300" i="150"/>
  <c r="M300" i="150" s="1"/>
  <c r="O300" i="150"/>
  <c r="G301" i="150" s="1"/>
  <c r="J301" i="150" s="1"/>
  <c r="O301" i="150" l="1"/>
  <c r="G302" i="150" s="1"/>
  <c r="J302" i="150" s="1"/>
  <c r="K301" i="150"/>
  <c r="M301" i="150" s="1"/>
  <c r="K274" i="150"/>
  <c r="M274" i="150" s="1"/>
  <c r="N300" i="150"/>
  <c r="N274" i="150"/>
  <c r="O275" i="150"/>
  <c r="G276" i="150" s="1"/>
  <c r="J275" i="150"/>
  <c r="N301" i="150" l="1"/>
  <c r="K275" i="150"/>
  <c r="M275" i="150" s="1"/>
  <c r="O276" i="150"/>
  <c r="O278" i="150" s="1"/>
  <c r="J276" i="150"/>
  <c r="G278" i="150"/>
  <c r="N275" i="150"/>
  <c r="K302" i="150"/>
  <c r="M302" i="150" s="1"/>
  <c r="O302" i="150"/>
  <c r="K276" i="150" l="1"/>
  <c r="J278" i="150"/>
  <c r="N302" i="150"/>
  <c r="N276" i="150"/>
  <c r="N278" i="150" s="1"/>
  <c r="M276" i="150" l="1"/>
  <c r="M278" i="150" s="1"/>
  <c r="K278" i="150"/>
  <c r="O304" i="150" l="1"/>
  <c r="G304" i="150"/>
  <c r="J304" i="150" l="1"/>
  <c r="N304" i="150"/>
  <c r="M304" i="150" l="1"/>
  <c r="K304" i="150"/>
  <c r="K16" i="160" l="1"/>
  <c r="M16" i="160" l="1"/>
  <c r="O16" i="160" s="1"/>
  <c r="G17" i="160" s="1"/>
  <c r="H17" i="160" s="1"/>
  <c r="N17" i="160" l="1"/>
  <c r="K17" i="160" l="1"/>
  <c r="M17" i="160" l="1"/>
  <c r="O17" i="160" l="1"/>
  <c r="G18" i="160" s="1"/>
  <c r="H18" i="160" l="1"/>
  <c r="I37" i="160" l="1"/>
  <c r="I36" i="160"/>
  <c r="I18" i="160"/>
  <c r="I35" i="160"/>
  <c r="N18" i="160"/>
  <c r="H39" i="160"/>
  <c r="I26" i="160"/>
  <c r="I22" i="160"/>
  <c r="I34" i="160"/>
  <c r="I33" i="160"/>
  <c r="I27" i="160"/>
  <c r="I32" i="160"/>
  <c r="I23" i="160"/>
  <c r="I19" i="160"/>
  <c r="I21" i="160"/>
  <c r="I31" i="160"/>
  <c r="I29" i="160"/>
  <c r="I25" i="160"/>
  <c r="I24" i="160"/>
  <c r="I30" i="160"/>
  <c r="I28" i="160"/>
  <c r="I20" i="160"/>
  <c r="I39" i="160" l="1"/>
  <c r="K18" i="160"/>
  <c r="M18" i="160" l="1"/>
  <c r="O18" i="160" s="1"/>
  <c r="G19" i="160" s="1"/>
  <c r="J19" i="160" s="1"/>
  <c r="N19" i="160" s="1"/>
  <c r="B99" i="168"/>
  <c r="K19" i="160" l="1"/>
  <c r="C99" i="168" s="1"/>
  <c r="M19" i="160" l="1"/>
  <c r="O19" i="160" s="1"/>
  <c r="G20" i="160" s="1"/>
  <c r="J20" i="160" s="1"/>
  <c r="N20" i="160" s="1"/>
  <c r="K20" i="160" l="1"/>
  <c r="D99" i="168" s="1"/>
  <c r="M20" i="160" l="1"/>
  <c r="O20" i="160" l="1"/>
  <c r="G21" i="160" s="1"/>
  <c r="J21" i="160" l="1"/>
  <c r="N21" i="160" s="1"/>
  <c r="K21" i="160" l="1"/>
  <c r="E99" i="168" s="1"/>
  <c r="M21" i="160" l="1"/>
  <c r="O21" i="160" l="1"/>
  <c r="G22" i="160" s="1"/>
  <c r="J22" i="160" l="1"/>
  <c r="N22" i="160" s="1"/>
  <c r="K22" i="160" l="1"/>
  <c r="M22" i="160" l="1"/>
  <c r="O22" i="160" l="1"/>
  <c r="G23" i="160" s="1"/>
  <c r="J23" i="160" s="1"/>
  <c r="N23" i="160" l="1"/>
  <c r="K23" i="160"/>
  <c r="M23" i="160" l="1"/>
  <c r="O23" i="160" l="1"/>
  <c r="G24" i="160" s="1"/>
  <c r="J24" i="160" l="1"/>
  <c r="N24" i="160" s="1"/>
  <c r="K24" i="160" l="1"/>
  <c r="M24" i="160" l="1"/>
  <c r="O24" i="160" l="1"/>
  <c r="G25" i="160" s="1"/>
  <c r="J25" i="160" s="1"/>
  <c r="N25" i="160" l="1"/>
  <c r="K25" i="160"/>
  <c r="M25" i="160" l="1"/>
  <c r="O25" i="160" s="1"/>
  <c r="G26" i="160" s="1"/>
  <c r="J26" i="160" s="1"/>
  <c r="N26" i="160" l="1"/>
  <c r="K26" i="160"/>
  <c r="M26" i="160" l="1"/>
  <c r="O26" i="160" l="1"/>
  <c r="G27" i="160" s="1"/>
  <c r="J27" i="160" s="1"/>
  <c r="N27" i="160" l="1"/>
  <c r="K27" i="160"/>
  <c r="M27" i="160" l="1"/>
  <c r="O27" i="160" s="1"/>
  <c r="G28" i="160" s="1"/>
  <c r="J28" i="160" l="1"/>
  <c r="N28" i="160" s="1"/>
  <c r="K28" i="160" l="1"/>
  <c r="M28" i="160" l="1"/>
  <c r="O28" i="160" l="1"/>
  <c r="G29" i="160" s="1"/>
  <c r="J29" i="160" s="1"/>
  <c r="N29" i="160" l="1"/>
  <c r="K29" i="160"/>
  <c r="M29" i="160" l="1"/>
  <c r="O29" i="160" s="1"/>
  <c r="G30" i="160" s="1"/>
  <c r="J30" i="160" s="1"/>
  <c r="N30" i="160" l="1"/>
  <c r="K30" i="160"/>
  <c r="M30" i="160" l="1"/>
  <c r="O30" i="160" l="1"/>
  <c r="G31" i="160" s="1"/>
  <c r="J31" i="160" l="1"/>
  <c r="N31" i="160" s="1"/>
  <c r="K31" i="160" l="1"/>
  <c r="M31" i="160" l="1"/>
  <c r="O31" i="160" l="1"/>
  <c r="G32" i="160" s="1"/>
  <c r="J32" i="160" l="1"/>
  <c r="K32" i="160" l="1"/>
  <c r="N32" i="160"/>
  <c r="M32" i="160" l="1"/>
  <c r="O32" i="160" l="1"/>
  <c r="G33" i="160" s="1"/>
  <c r="J33" i="160" s="1"/>
  <c r="N33" i="160" l="1"/>
  <c r="K33" i="160"/>
  <c r="M33" i="160" s="1"/>
  <c r="O33" i="160" l="1"/>
  <c r="G34" i="160" s="1"/>
  <c r="J34" i="160" s="1"/>
  <c r="K34" i="160" l="1"/>
  <c r="N34" i="160"/>
  <c r="M34" i="160" l="1"/>
  <c r="O34" i="160" l="1"/>
  <c r="G35" i="160" s="1"/>
  <c r="J35" i="160" l="1"/>
  <c r="K35" i="160" s="1"/>
  <c r="M35" i="160" s="1"/>
  <c r="D98" i="168"/>
  <c r="E98" i="168"/>
  <c r="N35" i="160" l="1"/>
  <c r="O35" i="160" s="1"/>
  <c r="G36" i="160" s="1"/>
  <c r="F98" i="168"/>
  <c r="J36" i="160" l="1"/>
  <c r="K36" i="160" s="1"/>
  <c r="M36" i="160" s="1"/>
  <c r="N36" i="160" l="1"/>
  <c r="O36" i="160" s="1"/>
  <c r="G37" i="160" s="1"/>
  <c r="J37" i="160" l="1"/>
  <c r="G39" i="160"/>
  <c r="K37" i="160" l="1"/>
  <c r="J39" i="160"/>
  <c r="N37" i="160"/>
  <c r="N39" i="160" l="1"/>
  <c r="M37" i="160"/>
  <c r="M39" i="160" s="1"/>
  <c r="K39" i="160"/>
  <c r="O37" i="160" l="1"/>
  <c r="O39" i="160" s="1"/>
  <c r="F99" i="168" l="1"/>
  <c r="F100" i="168" l="1"/>
  <c r="K25" i="171" l="1"/>
  <c r="M25" i="171" s="1"/>
  <c r="O25" i="171" l="1"/>
  <c r="G26" i="171" l="1"/>
  <c r="H26" i="171" s="1"/>
  <c r="I31" i="171" l="1"/>
  <c r="I37" i="171"/>
  <c r="I27" i="171"/>
  <c r="I44" i="171"/>
  <c r="I38" i="171"/>
  <c r="I33" i="171"/>
  <c r="I39" i="171"/>
  <c r="I28" i="171"/>
  <c r="I41" i="171"/>
  <c r="I34" i="171"/>
  <c r="I40" i="171"/>
  <c r="I29" i="171"/>
  <c r="I32" i="171"/>
  <c r="I43" i="171"/>
  <c r="H47" i="171"/>
  <c r="I36" i="171"/>
  <c r="I42" i="171"/>
  <c r="I30" i="171"/>
  <c r="I35" i="171"/>
  <c r="I45" i="171"/>
  <c r="I26" i="171"/>
  <c r="N26" i="171"/>
  <c r="I47" i="171" l="1"/>
  <c r="K26" i="171"/>
  <c r="M26" i="171" l="1"/>
  <c r="O26" i="171" l="1"/>
  <c r="G27" i="171" l="1"/>
  <c r="J27" i="171" l="1"/>
  <c r="N27" i="171" s="1"/>
  <c r="K27" i="171" l="1"/>
  <c r="M27" i="171" l="1"/>
  <c r="O27" i="171" l="1"/>
  <c r="G28" i="171" l="1"/>
  <c r="J28" i="171" l="1"/>
  <c r="K28" i="171" l="1"/>
  <c r="B29" i="168" s="1"/>
  <c r="N28" i="171"/>
  <c r="M28" i="171" l="1"/>
  <c r="O28" i="171" l="1"/>
  <c r="G29" i="171" l="1"/>
  <c r="J29" i="171" l="1"/>
  <c r="N29" i="171" s="1"/>
  <c r="K29" i="171" l="1"/>
  <c r="C29" i="168" s="1"/>
  <c r="M29" i="171" l="1"/>
  <c r="O29" i="171" s="1"/>
  <c r="G30" i="171" l="1"/>
  <c r="J30" i="171" l="1"/>
  <c r="N30" i="171" s="1"/>
  <c r="K30" i="171" l="1"/>
  <c r="M30" i="171" l="1"/>
  <c r="O30" i="171" s="1"/>
  <c r="G31" i="171" s="1"/>
  <c r="J31" i="171" s="1"/>
  <c r="K31" i="171" s="1"/>
  <c r="D29" i="168"/>
  <c r="M31" i="171" l="1"/>
  <c r="E29" i="168"/>
  <c r="F29" i="168" s="1"/>
  <c r="N31" i="171"/>
  <c r="O31" i="171" l="1"/>
  <c r="G32" i="171" s="1"/>
  <c r="J32" i="171" s="1"/>
  <c r="K32" i="171" s="1"/>
  <c r="M32" i="171" l="1"/>
  <c r="N32" i="171"/>
  <c r="O32" i="171" l="1"/>
  <c r="G33" i="171" s="1"/>
  <c r="J33" i="171" s="1"/>
  <c r="K33" i="171" s="1"/>
  <c r="M33" i="171" l="1"/>
  <c r="N33" i="171"/>
  <c r="O33" i="171" l="1"/>
  <c r="G34" i="171" s="1"/>
  <c r="J34" i="171" s="1"/>
  <c r="K34" i="171" s="1"/>
  <c r="M34" i="171" l="1"/>
  <c r="N34" i="171"/>
  <c r="O34" i="171" l="1"/>
  <c r="G35" i="171" s="1"/>
  <c r="J35" i="171" s="1"/>
  <c r="K35" i="171" s="1"/>
  <c r="M35" i="171" l="1"/>
  <c r="N35" i="171"/>
  <c r="O35" i="171" l="1"/>
  <c r="G36" i="171" s="1"/>
  <c r="J36" i="171" s="1"/>
  <c r="K36" i="171" s="1"/>
  <c r="M36" i="171" s="1"/>
  <c r="N36" i="171" l="1"/>
  <c r="O36" i="171" s="1"/>
  <c r="G37" i="171" s="1"/>
  <c r="J37" i="171" l="1"/>
  <c r="K37" i="171" s="1"/>
  <c r="M37" i="171" s="1"/>
  <c r="N37" i="171" l="1"/>
  <c r="O37" i="171" s="1"/>
  <c r="G38" i="171" s="1"/>
  <c r="J38" i="171" l="1"/>
  <c r="K38" i="171" s="1"/>
  <c r="M38" i="171" s="1"/>
  <c r="N38" i="171" l="1"/>
  <c r="O38" i="171" s="1"/>
  <c r="G39" i="171" s="1"/>
  <c r="J39" i="171" l="1"/>
  <c r="K39" i="171" s="1"/>
  <c r="M39" i="171" s="1"/>
  <c r="N39" i="171" l="1"/>
  <c r="O39" i="171" s="1"/>
  <c r="G40" i="171" s="1"/>
  <c r="J40" i="171" l="1"/>
  <c r="K40" i="171" s="1"/>
  <c r="M40" i="171" s="1"/>
  <c r="N40" i="171" l="1"/>
  <c r="O40" i="171" s="1"/>
  <c r="G41" i="171" s="1"/>
  <c r="J41" i="171" l="1"/>
  <c r="K41" i="171" s="1"/>
  <c r="M41" i="171" s="1"/>
  <c r="N41" i="171" l="1"/>
  <c r="O41" i="171" s="1"/>
  <c r="G42" i="171" s="1"/>
  <c r="J42" i="171" l="1"/>
  <c r="K42" i="171" s="1"/>
  <c r="M42" i="171" s="1"/>
  <c r="N42" i="171" l="1"/>
  <c r="O42" i="171" s="1"/>
  <c r="G43" i="171" s="1"/>
  <c r="J43" i="171" l="1"/>
  <c r="K43" i="171" s="1"/>
  <c r="M43" i="171" s="1"/>
  <c r="N43" i="171" l="1"/>
  <c r="O43" i="171" s="1"/>
  <c r="G44" i="171" s="1"/>
  <c r="J44" i="171" l="1"/>
  <c r="K44" i="171" s="1"/>
  <c r="M44" i="171" s="1"/>
  <c r="N44" i="171" l="1"/>
  <c r="O44" i="171" s="1"/>
  <c r="G45" i="171" s="1"/>
  <c r="J45" i="171" l="1"/>
  <c r="N45" i="171" s="1"/>
  <c r="G47" i="171"/>
  <c r="N47" i="171" l="1"/>
  <c r="K45" i="171"/>
  <c r="J47" i="171"/>
  <c r="M45" i="171" l="1"/>
  <c r="K47" i="171"/>
  <c r="M47" i="171" l="1"/>
  <c r="O45" i="171"/>
  <c r="O47" i="171" s="1"/>
  <c r="C63" i="139" l="1"/>
  <c r="D105" i="168" l="1"/>
  <c r="E105" i="168" l="1"/>
  <c r="F105" i="168" l="1"/>
  <c r="D63" i="139" l="1"/>
  <c r="E63" i="139"/>
  <c r="C49" i="150" l="1"/>
  <c r="E49" i="150" s="1"/>
  <c r="K81" i="150"/>
  <c r="M81" i="150" s="1"/>
  <c r="O81" i="150"/>
  <c r="G82" i="150" l="1"/>
  <c r="H82" i="150" l="1"/>
  <c r="D50" i="150" l="1"/>
  <c r="N82" i="150"/>
  <c r="C50" i="150" l="1"/>
  <c r="K82" i="150"/>
  <c r="O82" i="150"/>
  <c r="E50" i="150" l="1"/>
  <c r="M82" i="150"/>
  <c r="G83" i="150"/>
  <c r="H83" i="150" s="1"/>
  <c r="I83" i="150" l="1"/>
  <c r="O83" i="150" s="1"/>
  <c r="H101" i="150"/>
  <c r="I89" i="150"/>
  <c r="C57" i="150" s="1"/>
  <c r="I95" i="150"/>
  <c r="C63" i="150" s="1"/>
  <c r="I84" i="150"/>
  <c r="C52" i="150" s="1"/>
  <c r="I90" i="150"/>
  <c r="C58" i="150" s="1"/>
  <c r="I86" i="150"/>
  <c r="C54" i="150" s="1"/>
  <c r="I97" i="150"/>
  <c r="C65" i="150" s="1"/>
  <c r="I87" i="150"/>
  <c r="C55" i="150" s="1"/>
  <c r="I91" i="150"/>
  <c r="C59" i="150" s="1"/>
  <c r="I94" i="150"/>
  <c r="C62" i="150" s="1"/>
  <c r="I98" i="150"/>
  <c r="C66" i="150" s="1"/>
  <c r="I88" i="150"/>
  <c r="C56" i="150" s="1"/>
  <c r="I92" i="150"/>
  <c r="C60" i="150" s="1"/>
  <c r="I85" i="150"/>
  <c r="C53" i="150" s="1"/>
  <c r="I96" i="150"/>
  <c r="C64" i="150" s="1"/>
  <c r="I99" i="150"/>
  <c r="C67" i="150" s="1"/>
  <c r="I93" i="150"/>
  <c r="C61" i="150" s="1"/>
  <c r="J83" i="150"/>
  <c r="C51" i="150" l="1"/>
  <c r="C69" i="150" s="1"/>
  <c r="I101" i="150"/>
  <c r="G84" i="150"/>
  <c r="D51" i="150"/>
  <c r="K83" i="150"/>
  <c r="N83" i="150"/>
  <c r="E51" i="150" l="1"/>
  <c r="B80" i="168" s="1"/>
  <c r="M83" i="150"/>
  <c r="J84" i="150"/>
  <c r="O84" i="150"/>
  <c r="G85" i="150" l="1"/>
  <c r="D52" i="150"/>
  <c r="K84" i="150"/>
  <c r="N84" i="150"/>
  <c r="E52" i="150" l="1"/>
  <c r="C80" i="168" s="1"/>
  <c r="M84" i="150"/>
  <c r="O85" i="150"/>
  <c r="G86" i="150" s="1"/>
  <c r="J85" i="150"/>
  <c r="N85" i="150" s="1"/>
  <c r="J86" i="150" l="1"/>
  <c r="O86" i="150"/>
  <c r="G87" i="150" s="1"/>
  <c r="D53" i="150"/>
  <c r="K85" i="150"/>
  <c r="J87" i="150" l="1"/>
  <c r="O87" i="150"/>
  <c r="G88" i="150" s="1"/>
  <c r="D54" i="150"/>
  <c r="E54" i="150" s="1"/>
  <c r="E80" i="168" s="1"/>
  <c r="K86" i="150"/>
  <c r="M86" i="150" s="1"/>
  <c r="E53" i="150"/>
  <c r="D80" i="168" s="1"/>
  <c r="N86" i="150"/>
  <c r="M85" i="150"/>
  <c r="J88" i="150" l="1"/>
  <c r="O88" i="150"/>
  <c r="G89" i="150" s="1"/>
  <c r="D55" i="150"/>
  <c r="E55" i="150" s="1"/>
  <c r="K87" i="150"/>
  <c r="M87" i="150" s="1"/>
  <c r="F80" i="168"/>
  <c r="N87" i="150"/>
  <c r="D56" i="150" l="1"/>
  <c r="E56" i="150" s="1"/>
  <c r="K88" i="150"/>
  <c r="M88" i="150" s="1"/>
  <c r="O89" i="150"/>
  <c r="G90" i="150" s="1"/>
  <c r="J89" i="150"/>
  <c r="N88" i="150"/>
  <c r="D57" i="150" l="1"/>
  <c r="E57" i="150" s="1"/>
  <c r="K89" i="150"/>
  <c r="M89" i="150" s="1"/>
  <c r="J90" i="150"/>
  <c r="N90" i="150" s="1"/>
  <c r="O90" i="150"/>
  <c r="G91" i="150" s="1"/>
  <c r="N89" i="150"/>
  <c r="J91" i="150" l="1"/>
  <c r="O91" i="150"/>
  <c r="G92" i="150" s="1"/>
  <c r="D58" i="150"/>
  <c r="E58" i="150" s="1"/>
  <c r="K90" i="150"/>
  <c r="M90" i="150" s="1"/>
  <c r="D59" i="150" l="1"/>
  <c r="E59" i="150" s="1"/>
  <c r="K91" i="150"/>
  <c r="M91" i="150" s="1"/>
  <c r="N91" i="150"/>
  <c r="J92" i="150"/>
  <c r="O92" i="150"/>
  <c r="G93" i="150" s="1"/>
  <c r="D60" i="150" l="1"/>
  <c r="E60" i="150" s="1"/>
  <c r="K92" i="150"/>
  <c r="M92" i="150" s="1"/>
  <c r="N92" i="150"/>
  <c r="O93" i="150"/>
  <c r="G94" i="150" s="1"/>
  <c r="J93" i="150"/>
  <c r="J94" i="150" l="1"/>
  <c r="N94" i="150" s="1"/>
  <c r="O94" i="150"/>
  <c r="G95" i="150" s="1"/>
  <c r="D61" i="150"/>
  <c r="E61" i="150" s="1"/>
  <c r="K93" i="150"/>
  <c r="M93" i="150" s="1"/>
  <c r="N93" i="150"/>
  <c r="J95" i="150" l="1"/>
  <c r="N95" i="150" s="1"/>
  <c r="O95" i="150"/>
  <c r="G96" i="150" s="1"/>
  <c r="D62" i="150"/>
  <c r="E62" i="150" s="1"/>
  <c r="K94" i="150"/>
  <c r="M94" i="150" s="1"/>
  <c r="J96" i="150" l="1"/>
  <c r="O96" i="150"/>
  <c r="G97" i="150" s="1"/>
  <c r="D63" i="150"/>
  <c r="E63" i="150" s="1"/>
  <c r="K95" i="150"/>
  <c r="M95" i="150" s="1"/>
  <c r="J97" i="150" l="1"/>
  <c r="N97" i="150" s="1"/>
  <c r="O97" i="150"/>
  <c r="G98" i="150" s="1"/>
  <c r="D64" i="150"/>
  <c r="E64" i="150" s="1"/>
  <c r="K96" i="150"/>
  <c r="M96" i="150" s="1"/>
  <c r="N96" i="150"/>
  <c r="O98" i="150" l="1"/>
  <c r="G99" i="150" s="1"/>
  <c r="J98" i="150"/>
  <c r="D65" i="150"/>
  <c r="E65" i="150" s="1"/>
  <c r="K97" i="150"/>
  <c r="M97" i="150" s="1"/>
  <c r="D66" i="150" l="1"/>
  <c r="E66" i="150" s="1"/>
  <c r="K98" i="150"/>
  <c r="M98" i="150" s="1"/>
  <c r="N98" i="150"/>
  <c r="O99" i="150"/>
  <c r="O101" i="150" s="1"/>
  <c r="J99" i="150"/>
  <c r="N99" i="150" s="1"/>
  <c r="G101" i="150"/>
  <c r="N101" i="150" l="1"/>
  <c r="D67" i="150"/>
  <c r="K99" i="150"/>
  <c r="J101" i="150"/>
  <c r="M99" i="150" l="1"/>
  <c r="M101" i="150" s="1"/>
  <c r="K101" i="150"/>
  <c r="E67" i="150"/>
  <c r="D69" i="150"/>
  <c r="E69" i="150" l="1"/>
  <c r="I154" i="143" l="1"/>
  <c r="C54" i="143" s="1"/>
  <c r="H174" i="143"/>
  <c r="I153" i="143"/>
  <c r="O411" i="143"/>
  <c r="K153" i="143" l="1"/>
  <c r="G412" i="143"/>
  <c r="O153" i="143"/>
  <c r="G154" i="143" s="1"/>
  <c r="I174" i="143"/>
  <c r="I429" i="143"/>
  <c r="K411" i="143"/>
  <c r="M153" i="143" l="1"/>
  <c r="J412" i="143"/>
  <c r="O412" i="143"/>
  <c r="J154" i="143"/>
  <c r="O154" i="143"/>
  <c r="M411" i="143"/>
  <c r="I207" i="143"/>
  <c r="O186" i="143"/>
  <c r="K186" i="143"/>
  <c r="N154" i="143" l="1"/>
  <c r="G413" i="143"/>
  <c r="N412" i="143"/>
  <c r="K412" i="143"/>
  <c r="G187" i="143"/>
  <c r="K154" i="143"/>
  <c r="M186" i="143"/>
  <c r="G155" i="143"/>
  <c r="J413" i="143" l="1"/>
  <c r="O413" i="143"/>
  <c r="M412" i="143"/>
  <c r="J187" i="143"/>
  <c r="O187" i="143"/>
  <c r="J155" i="143"/>
  <c r="O155" i="143"/>
  <c r="M154" i="143"/>
  <c r="N187" i="143" l="1"/>
  <c r="G414" i="143"/>
  <c r="O414" i="143" s="1"/>
  <c r="G415" i="143" s="1"/>
  <c r="K413" i="143"/>
  <c r="M413" i="143" s="1"/>
  <c r="N413" i="143"/>
  <c r="G188" i="143"/>
  <c r="K155" i="143"/>
  <c r="K187" i="143"/>
  <c r="G156" i="143"/>
  <c r="N155" i="143"/>
  <c r="J414" i="143" l="1"/>
  <c r="K414" i="143" s="1"/>
  <c r="M414" i="143" s="1"/>
  <c r="J415" i="143"/>
  <c r="O415" i="143"/>
  <c r="G416" i="143" s="1"/>
  <c r="J188" i="143"/>
  <c r="O188" i="143"/>
  <c r="J156" i="143"/>
  <c r="O156" i="143"/>
  <c r="M155" i="143"/>
  <c r="M187" i="143"/>
  <c r="N188" i="143" l="1"/>
  <c r="N156" i="143"/>
  <c r="N414" i="143"/>
  <c r="K415" i="143"/>
  <c r="N415" i="143"/>
  <c r="J416" i="143"/>
  <c r="K416" i="143" s="1"/>
  <c r="M416" i="143" s="1"/>
  <c r="O416" i="143"/>
  <c r="G189" i="143"/>
  <c r="K188" i="143"/>
  <c r="K156" i="143"/>
  <c r="G157" i="143"/>
  <c r="M415" i="143" l="1"/>
  <c r="G417" i="143"/>
  <c r="O417" i="143" s="1"/>
  <c r="G418" i="143" s="1"/>
  <c r="N416" i="143"/>
  <c r="O189" i="143"/>
  <c r="J189" i="143"/>
  <c r="M188" i="143"/>
  <c r="J157" i="143"/>
  <c r="O157" i="143"/>
  <c r="M156" i="143"/>
  <c r="N157" i="143" l="1"/>
  <c r="J417" i="143"/>
  <c r="K417" i="143" s="1"/>
  <c r="J418" i="143"/>
  <c r="K418" i="143" s="1"/>
  <c r="M418" i="143" s="1"/>
  <c r="O418" i="143"/>
  <c r="G419" i="143" s="1"/>
  <c r="K189" i="143"/>
  <c r="N189" i="143"/>
  <c r="G190" i="143"/>
  <c r="G158" i="143"/>
  <c r="K157" i="143"/>
  <c r="N417" i="143" l="1"/>
  <c r="M417" i="143"/>
  <c r="N418" i="143"/>
  <c r="J419" i="143"/>
  <c r="K419" i="143" s="1"/>
  <c r="M419" i="143" s="1"/>
  <c r="O419" i="143"/>
  <c r="G420" i="143" s="1"/>
  <c r="M189" i="143"/>
  <c r="J190" i="143"/>
  <c r="O190" i="143"/>
  <c r="M157" i="143"/>
  <c r="J158" i="143"/>
  <c r="O158" i="143"/>
  <c r="G159" i="143" s="1"/>
  <c r="N158" i="143" l="1"/>
  <c r="N419" i="143"/>
  <c r="J420" i="143"/>
  <c r="O420" i="143"/>
  <c r="G421" i="143" s="1"/>
  <c r="G191" i="143"/>
  <c r="K190" i="143"/>
  <c r="N190" i="143"/>
  <c r="J159" i="143"/>
  <c r="O159" i="143"/>
  <c r="G160" i="143" s="1"/>
  <c r="K158" i="143"/>
  <c r="M158" i="143" l="1"/>
  <c r="K159" i="143"/>
  <c r="J421" i="143"/>
  <c r="K421" i="143" s="1"/>
  <c r="M421" i="143" s="1"/>
  <c r="O421" i="143"/>
  <c r="G422" i="143" s="1"/>
  <c r="K420" i="143"/>
  <c r="N420" i="143"/>
  <c r="M190" i="143"/>
  <c r="O191" i="143"/>
  <c r="J191" i="143"/>
  <c r="N159" i="143"/>
  <c r="J160" i="143"/>
  <c r="O160" i="143"/>
  <c r="G161" i="143" s="1"/>
  <c r="N191" i="143" l="1"/>
  <c r="M159" i="143"/>
  <c r="K160" i="143"/>
  <c r="N421" i="143"/>
  <c r="M420" i="143"/>
  <c r="J422" i="143"/>
  <c r="O422" i="143"/>
  <c r="G423" i="143" s="1"/>
  <c r="G192" i="143"/>
  <c r="K191" i="143"/>
  <c r="J161" i="143"/>
  <c r="O161" i="143"/>
  <c r="G162" i="143" s="1"/>
  <c r="N160" i="143"/>
  <c r="M160" i="143" l="1"/>
  <c r="K161" i="143"/>
  <c r="J423" i="143"/>
  <c r="K423" i="143" s="1"/>
  <c r="M423" i="143" s="1"/>
  <c r="O423" i="143"/>
  <c r="G424" i="143" s="1"/>
  <c r="K422" i="143"/>
  <c r="M422" i="143" s="1"/>
  <c r="N422" i="143"/>
  <c r="M191" i="143"/>
  <c r="J192" i="143"/>
  <c r="O192" i="143"/>
  <c r="J162" i="143"/>
  <c r="O162" i="143"/>
  <c r="G163" i="143" s="1"/>
  <c r="N161" i="143"/>
  <c r="M161" i="143" l="1"/>
  <c r="K162" i="143"/>
  <c r="N423" i="143"/>
  <c r="J424" i="143"/>
  <c r="K424" i="143" s="1"/>
  <c r="M424" i="143" s="1"/>
  <c r="O424" i="143"/>
  <c r="G425" i="143" s="1"/>
  <c r="K192" i="143"/>
  <c r="G193" i="143"/>
  <c r="N192" i="143"/>
  <c r="J163" i="143"/>
  <c r="O163" i="143"/>
  <c r="G164" i="143" s="1"/>
  <c r="N162" i="143"/>
  <c r="M162" i="143" l="1"/>
  <c r="K163" i="143"/>
  <c r="N424" i="143"/>
  <c r="J425" i="143"/>
  <c r="K425" i="143" s="1"/>
  <c r="M425" i="143" s="1"/>
  <c r="O425" i="143"/>
  <c r="G426" i="143" s="1"/>
  <c r="N163" i="143"/>
  <c r="O193" i="143"/>
  <c r="G194" i="143" s="1"/>
  <c r="J193" i="143"/>
  <c r="M192" i="143"/>
  <c r="J164" i="143"/>
  <c r="O164" i="143"/>
  <c r="G165" i="143" s="1"/>
  <c r="N193" i="143" l="1"/>
  <c r="M163" i="143"/>
  <c r="K164" i="143"/>
  <c r="N425" i="143"/>
  <c r="J426" i="143"/>
  <c r="K426" i="143" s="1"/>
  <c r="M426" i="143" s="1"/>
  <c r="O426" i="143"/>
  <c r="G427" i="143" s="1"/>
  <c r="G429" i="143" s="1"/>
  <c r="K193" i="143"/>
  <c r="O194" i="143"/>
  <c r="G195" i="143" s="1"/>
  <c r="J194" i="143"/>
  <c r="J165" i="143"/>
  <c r="O165" i="143"/>
  <c r="G166" i="143" s="1"/>
  <c r="N164" i="143"/>
  <c r="K194" i="143" l="1"/>
  <c r="K165" i="143"/>
  <c r="M164" i="143"/>
  <c r="N426" i="143"/>
  <c r="J427" i="143"/>
  <c r="O427" i="143"/>
  <c r="O429" i="143" s="1"/>
  <c r="O195" i="143"/>
  <c r="G196" i="143" s="1"/>
  <c r="J195" i="143"/>
  <c r="N194" i="143"/>
  <c r="M193" i="143"/>
  <c r="N165" i="143"/>
  <c r="J166" i="143"/>
  <c r="O166" i="143"/>
  <c r="G167" i="143" s="1"/>
  <c r="K195" i="143" l="1"/>
  <c r="K166" i="143"/>
  <c r="M165" i="143"/>
  <c r="M194" i="143"/>
  <c r="K427" i="143"/>
  <c r="J429" i="143"/>
  <c r="N427" i="143"/>
  <c r="N429" i="143" s="1"/>
  <c r="N195" i="143"/>
  <c r="O196" i="143"/>
  <c r="G197" i="143" s="1"/>
  <c r="J196" i="143"/>
  <c r="J167" i="143"/>
  <c r="O167" i="143"/>
  <c r="G168" i="143" s="1"/>
  <c r="N166" i="143"/>
  <c r="K167" i="143" l="1"/>
  <c r="M166" i="143"/>
  <c r="K196" i="143"/>
  <c r="M195" i="143"/>
  <c r="M427" i="143"/>
  <c r="M429" i="143" s="1"/>
  <c r="K429" i="143"/>
  <c r="N196" i="143"/>
  <c r="O197" i="143"/>
  <c r="G198" i="143" s="1"/>
  <c r="J197" i="143"/>
  <c r="N167" i="143"/>
  <c r="O168" i="143"/>
  <c r="G169" i="143" s="1"/>
  <c r="J168" i="143"/>
  <c r="K168" i="143" l="1"/>
  <c r="K197" i="143"/>
  <c r="M196" i="143"/>
  <c r="M167" i="143"/>
  <c r="N197" i="143"/>
  <c r="J198" i="143"/>
  <c r="O198" i="143"/>
  <c r="G199" i="143" s="1"/>
  <c r="J169" i="143"/>
  <c r="O169" i="143"/>
  <c r="G170" i="143" s="1"/>
  <c r="N168" i="143"/>
  <c r="M197" i="143" l="1"/>
  <c r="K198" i="143"/>
  <c r="K169" i="143"/>
  <c r="M168" i="143"/>
  <c r="N169" i="143"/>
  <c r="N198" i="143"/>
  <c r="J199" i="143"/>
  <c r="O199" i="143"/>
  <c r="G200" i="143" s="1"/>
  <c r="O170" i="143"/>
  <c r="J170" i="143"/>
  <c r="K199" i="143" l="1"/>
  <c r="M198" i="143"/>
  <c r="N170" i="143"/>
  <c r="M169" i="143"/>
  <c r="N199" i="143"/>
  <c r="O200" i="143"/>
  <c r="G201" i="143" s="1"/>
  <c r="J200" i="143"/>
  <c r="G171" i="143"/>
  <c r="K170" i="143"/>
  <c r="K200" i="143" l="1"/>
  <c r="M199" i="143"/>
  <c r="N200" i="143"/>
  <c r="O201" i="143"/>
  <c r="G202" i="143" s="1"/>
  <c r="J201" i="143"/>
  <c r="O171" i="143"/>
  <c r="J171" i="143"/>
  <c r="M170" i="143"/>
  <c r="K201" i="143" l="1"/>
  <c r="M200" i="143"/>
  <c r="N201" i="143"/>
  <c r="O202" i="143"/>
  <c r="J202" i="143"/>
  <c r="K171" i="143"/>
  <c r="N171" i="143"/>
  <c r="G172" i="143"/>
  <c r="M201" i="143" l="1"/>
  <c r="G203" i="143"/>
  <c r="K202" i="143"/>
  <c r="N202" i="143"/>
  <c r="O172" i="143"/>
  <c r="O174" i="143" s="1"/>
  <c r="J172" i="143"/>
  <c r="G174" i="143"/>
  <c r="M171" i="143"/>
  <c r="O203" i="143" l="1"/>
  <c r="J203" i="143"/>
  <c r="M202" i="143"/>
  <c r="K172" i="143"/>
  <c r="J174" i="143"/>
  <c r="N172" i="143"/>
  <c r="N174" i="143" s="1"/>
  <c r="K203" i="143" l="1"/>
  <c r="N203" i="143"/>
  <c r="G204" i="143"/>
  <c r="M172" i="143"/>
  <c r="M174" i="143" s="1"/>
  <c r="K174" i="143"/>
  <c r="O204" i="143" l="1"/>
  <c r="J204" i="143"/>
  <c r="M203" i="143"/>
  <c r="N204" i="143" l="1"/>
  <c r="G205" i="143"/>
  <c r="K204" i="143"/>
  <c r="J205" i="143" l="1"/>
  <c r="O205" i="143"/>
  <c r="O207" i="143" s="1"/>
  <c r="G207" i="143"/>
  <c r="M204" i="143"/>
  <c r="K205" i="143" l="1"/>
  <c r="J207" i="143"/>
  <c r="N205" i="143"/>
  <c r="N207" i="143" s="1"/>
  <c r="M205" i="143" l="1"/>
  <c r="K207" i="143"/>
  <c r="H366" i="143"/>
  <c r="I345" i="143"/>
  <c r="I366" i="143" l="1"/>
  <c r="M207" i="143"/>
  <c r="F74" i="143"/>
  <c r="O345" i="143"/>
  <c r="G346" i="143" s="1"/>
  <c r="K345" i="143"/>
  <c r="M345" i="143" l="1"/>
  <c r="O346" i="143"/>
  <c r="J346" i="143"/>
  <c r="G347" i="143" l="1"/>
  <c r="J347" i="143" s="1"/>
  <c r="K346" i="143"/>
  <c r="N346" i="143"/>
  <c r="K347" i="143" l="1"/>
  <c r="O347" i="143"/>
  <c r="G348" i="143" s="1"/>
  <c r="O348" i="143" s="1"/>
  <c r="G349" i="143" s="1"/>
  <c r="M346" i="143"/>
  <c r="N347" i="143"/>
  <c r="M347" i="143" l="1"/>
  <c r="J348" i="143"/>
  <c r="O349" i="143"/>
  <c r="G350" i="143" s="1"/>
  <c r="J349" i="143"/>
  <c r="K348" i="143" l="1"/>
  <c r="K349" i="143"/>
  <c r="N348" i="143"/>
  <c r="N349" i="143"/>
  <c r="O350" i="143"/>
  <c r="J350" i="143"/>
  <c r="M349" i="143" l="1"/>
  <c r="K350" i="143"/>
  <c r="M348" i="143"/>
  <c r="G351" i="143"/>
  <c r="J351" i="143" s="1"/>
  <c r="N350" i="143"/>
  <c r="M350" i="143" l="1"/>
  <c r="O351" i="143"/>
  <c r="G352" i="143" s="1"/>
  <c r="O352" i="143" s="1"/>
  <c r="G353" i="143" s="1"/>
  <c r="K351" i="143"/>
  <c r="N351" i="143"/>
  <c r="J352" i="143" l="1"/>
  <c r="M351" i="143"/>
  <c r="J353" i="143"/>
  <c r="O353" i="143"/>
  <c r="G354" i="143" s="1"/>
  <c r="K353" i="143" l="1"/>
  <c r="K352" i="143"/>
  <c r="N352" i="143"/>
  <c r="N353" i="143"/>
  <c r="O354" i="143"/>
  <c r="G355" i="143" s="1"/>
  <c r="J354" i="143"/>
  <c r="M352" i="143" l="1"/>
  <c r="K354" i="143"/>
  <c r="M353" i="143"/>
  <c r="N354" i="143"/>
  <c r="J355" i="143"/>
  <c r="O355" i="143"/>
  <c r="G356" i="143" s="1"/>
  <c r="M354" i="143" l="1"/>
  <c r="K355" i="143"/>
  <c r="J356" i="143"/>
  <c r="O356" i="143"/>
  <c r="G357" i="143" s="1"/>
  <c r="N355" i="143"/>
  <c r="M355" i="143" l="1"/>
  <c r="K356" i="143"/>
  <c r="J357" i="143"/>
  <c r="O357" i="143"/>
  <c r="G358" i="143" s="1"/>
  <c r="N356" i="143"/>
  <c r="M356" i="143" l="1"/>
  <c r="K357" i="143"/>
  <c r="N357" i="143"/>
  <c r="O358" i="143"/>
  <c r="G359" i="143" s="1"/>
  <c r="J358" i="143"/>
  <c r="M357" i="143" l="1"/>
  <c r="K358" i="143"/>
  <c r="N358" i="143"/>
  <c r="J359" i="143"/>
  <c r="O359" i="143"/>
  <c r="G360" i="143" s="1"/>
  <c r="K359" i="143" l="1"/>
  <c r="M358" i="143"/>
  <c r="N359" i="143"/>
  <c r="O360" i="143"/>
  <c r="G361" i="143" s="1"/>
  <c r="J360" i="143"/>
  <c r="K360" i="143" l="1"/>
  <c r="M359" i="143"/>
  <c r="J361" i="143"/>
  <c r="O361" i="143"/>
  <c r="G362" i="143" s="1"/>
  <c r="N360" i="143"/>
  <c r="K361" i="143" l="1"/>
  <c r="M360" i="143"/>
  <c r="N361" i="143"/>
  <c r="J362" i="143"/>
  <c r="O362" i="143"/>
  <c r="G363" i="143" s="1"/>
  <c r="K362" i="143" l="1"/>
  <c r="M361" i="143"/>
  <c r="J363" i="143"/>
  <c r="O363" i="143"/>
  <c r="G364" i="143" s="1"/>
  <c r="G366" i="143" s="1"/>
  <c r="N362" i="143"/>
  <c r="K363" i="143" l="1"/>
  <c r="M362" i="143"/>
  <c r="O364" i="143"/>
  <c r="O366" i="143" s="1"/>
  <c r="J364" i="143"/>
  <c r="N363" i="143"/>
  <c r="M363" i="143" l="1"/>
  <c r="K364" i="143"/>
  <c r="J366" i="143"/>
  <c r="N364" i="143"/>
  <c r="N366" i="143" s="1"/>
  <c r="M364" i="143" l="1"/>
  <c r="M366" i="143" s="1"/>
  <c r="K366" i="143"/>
  <c r="H459" i="143"/>
  <c r="I438" i="143"/>
  <c r="I459" i="143" l="1"/>
  <c r="K438" i="143"/>
  <c r="O438" i="143"/>
  <c r="G439" i="143" s="1"/>
  <c r="J439" i="143" s="1"/>
  <c r="M438" i="143" l="1"/>
  <c r="K439" i="143"/>
  <c r="O439" i="143"/>
  <c r="N439" i="143"/>
  <c r="M439" i="143" l="1"/>
  <c r="G440" i="143"/>
  <c r="J440" i="143" s="1"/>
  <c r="K440" i="143" l="1"/>
  <c r="N440" i="143"/>
  <c r="O440" i="143"/>
  <c r="M440" i="143" l="1"/>
  <c r="G441" i="143"/>
  <c r="O441" i="143" l="1"/>
  <c r="J441" i="143"/>
  <c r="N441" i="143" l="1"/>
  <c r="K441" i="143"/>
  <c r="G442" i="143"/>
  <c r="J442" i="143" l="1"/>
  <c r="O442" i="143"/>
  <c r="M441" i="143"/>
  <c r="G443" i="143" l="1"/>
  <c r="J443" i="143" s="1"/>
  <c r="K442" i="143"/>
  <c r="N442" i="143"/>
  <c r="K443" i="143" l="1"/>
  <c r="O443" i="143"/>
  <c r="G444" i="143" s="1"/>
  <c r="J444" i="143" s="1"/>
  <c r="M442" i="143"/>
  <c r="N443" i="143"/>
  <c r="K444" i="143" l="1"/>
  <c r="M443" i="143"/>
  <c r="O444" i="143"/>
  <c r="G445" i="143" s="1"/>
  <c r="O445" i="143" s="1"/>
  <c r="G446" i="143" s="1"/>
  <c r="N444" i="143"/>
  <c r="M444" i="143" l="1"/>
  <c r="J445" i="143"/>
  <c r="O446" i="143"/>
  <c r="G447" i="143" s="1"/>
  <c r="J446" i="143"/>
  <c r="K445" i="143" l="1"/>
  <c r="K446" i="143"/>
  <c r="N445" i="143"/>
  <c r="O447" i="143"/>
  <c r="G448" i="143" s="1"/>
  <c r="J447" i="143"/>
  <c r="N446" i="143"/>
  <c r="K447" i="143" l="1"/>
  <c r="M447" i="143" s="1"/>
  <c r="M446" i="143"/>
  <c r="M445" i="143"/>
  <c r="N447" i="143"/>
  <c r="J448" i="143"/>
  <c r="O448" i="143"/>
  <c r="K448" i="143" l="1"/>
  <c r="G449" i="143"/>
  <c r="J449" i="143" s="1"/>
  <c r="N448" i="143"/>
  <c r="K449" i="143" l="1"/>
  <c r="M449" i="143" s="1"/>
  <c r="M448" i="143"/>
  <c r="O449" i="143"/>
  <c r="G450" i="143" s="1"/>
  <c r="J450" i="143" s="1"/>
  <c r="N449" i="143"/>
  <c r="K450" i="143" l="1"/>
  <c r="O450" i="143"/>
  <c r="G451" i="143" s="1"/>
  <c r="O451" i="143" s="1"/>
  <c r="G452" i="143" s="1"/>
  <c r="N450" i="143"/>
  <c r="M450" i="143" l="1"/>
  <c r="J451" i="143"/>
  <c r="O452" i="143"/>
  <c r="G453" i="143" s="1"/>
  <c r="J452" i="143"/>
  <c r="K451" i="143" l="1"/>
  <c r="K452" i="143"/>
  <c r="N451" i="143"/>
  <c r="N452" i="143"/>
  <c r="J453" i="143"/>
  <c r="O453" i="143"/>
  <c r="G454" i="143" s="1"/>
  <c r="K453" i="143" l="1"/>
  <c r="M452" i="143"/>
  <c r="M451" i="143"/>
  <c r="N453" i="143"/>
  <c r="O454" i="143"/>
  <c r="G455" i="143" s="1"/>
  <c r="J454" i="143"/>
  <c r="K454" i="143" l="1"/>
  <c r="M453" i="143"/>
  <c r="N454" i="143"/>
  <c r="O455" i="143"/>
  <c r="G456" i="143" s="1"/>
  <c r="J455" i="143"/>
  <c r="K455" i="143" l="1"/>
  <c r="M454" i="143"/>
  <c r="O456" i="143"/>
  <c r="G457" i="143" s="1"/>
  <c r="G459" i="143" s="1"/>
  <c r="J456" i="143"/>
  <c r="N455" i="143"/>
  <c r="K456" i="143" l="1"/>
  <c r="M455" i="143"/>
  <c r="J457" i="143"/>
  <c r="O457" i="143"/>
  <c r="O459" i="143" s="1"/>
  <c r="N456" i="143"/>
  <c r="M456" i="143" l="1"/>
  <c r="K457" i="143"/>
  <c r="J459" i="143"/>
  <c r="N457" i="143"/>
  <c r="N459" i="143" s="1"/>
  <c r="M457" i="143" l="1"/>
  <c r="M459" i="143" s="1"/>
  <c r="K459" i="143"/>
  <c r="H548" i="143"/>
  <c r="I527" i="143"/>
  <c r="K527" i="143" l="1"/>
  <c r="E53" i="143" s="1"/>
  <c r="C53" i="143"/>
  <c r="O527" i="143"/>
  <c r="G528" i="143" s="1"/>
  <c r="O528" i="143" s="1"/>
  <c r="G529" i="143" s="1"/>
  <c r="I548" i="143"/>
  <c r="C74" i="143" l="1"/>
  <c r="M527" i="143"/>
  <c r="J528" i="143"/>
  <c r="J529" i="143"/>
  <c r="O529" i="143"/>
  <c r="G530" i="143" s="1"/>
  <c r="K528" i="143" l="1"/>
  <c r="E54" i="143" s="1"/>
  <c r="B90" i="168" s="1"/>
  <c r="D54" i="143"/>
  <c r="K529" i="143"/>
  <c r="D55" i="143"/>
  <c r="N528" i="143"/>
  <c r="N529" i="143"/>
  <c r="J530" i="143"/>
  <c r="O530" i="143"/>
  <c r="G531" i="143" s="1"/>
  <c r="M528" i="143" l="1"/>
  <c r="K530" i="143"/>
  <c r="D56" i="143"/>
  <c r="M529" i="143"/>
  <c r="E55" i="143"/>
  <c r="C90" i="168" s="1"/>
  <c r="B133" i="168"/>
  <c r="B134" i="168"/>
  <c r="B135" i="168"/>
  <c r="N530" i="143"/>
  <c r="O531" i="143"/>
  <c r="J531" i="143"/>
  <c r="K531" i="143" l="1"/>
  <c r="D57" i="143"/>
  <c r="M530" i="143"/>
  <c r="E56" i="143"/>
  <c r="D90" i="168" s="1"/>
  <c r="G532" i="143"/>
  <c r="O532" i="143" s="1"/>
  <c r="N531" i="143"/>
  <c r="M531" i="143" l="1"/>
  <c r="E57" i="143"/>
  <c r="E90" i="168" s="1"/>
  <c r="F90" i="168" s="1"/>
  <c r="J532" i="143"/>
  <c r="G533" i="143"/>
  <c r="J533" i="143" s="1"/>
  <c r="K533" i="143" l="1"/>
  <c r="D59" i="143"/>
  <c r="K532" i="143"/>
  <c r="D58" i="143"/>
  <c r="N532" i="143"/>
  <c r="O533" i="143"/>
  <c r="G534" i="143" s="1"/>
  <c r="J534" i="143" s="1"/>
  <c r="N533" i="143"/>
  <c r="M533" i="143" l="1"/>
  <c r="E59" i="143"/>
  <c r="M532" i="143"/>
  <c r="E58" i="143"/>
  <c r="K534" i="143"/>
  <c r="D60" i="143"/>
  <c r="O534" i="143"/>
  <c r="G535" i="143" s="1"/>
  <c r="O535" i="143" s="1"/>
  <c r="G536" i="143" s="1"/>
  <c r="N534" i="143"/>
  <c r="M534" i="143" l="1"/>
  <c r="E60" i="143"/>
  <c r="J535" i="143"/>
  <c r="J536" i="143"/>
  <c r="O536" i="143"/>
  <c r="G537" i="143" s="1"/>
  <c r="K536" i="143" l="1"/>
  <c r="D62" i="143"/>
  <c r="K535" i="143"/>
  <c r="D61" i="143"/>
  <c r="N535" i="143"/>
  <c r="O537" i="143"/>
  <c r="G538" i="143" s="1"/>
  <c r="J537" i="143"/>
  <c r="N536" i="143"/>
  <c r="K537" i="143" l="1"/>
  <c r="D63" i="143"/>
  <c r="M535" i="143"/>
  <c r="E61" i="143"/>
  <c r="M536" i="143"/>
  <c r="E62" i="143"/>
  <c r="O538" i="143"/>
  <c r="G539" i="143" s="1"/>
  <c r="J538" i="143"/>
  <c r="N537" i="143"/>
  <c r="K538" i="143" l="1"/>
  <c r="D64" i="143"/>
  <c r="M537" i="143"/>
  <c r="E63" i="143"/>
  <c r="N538" i="143"/>
  <c r="O539" i="143"/>
  <c r="G540" i="143" s="1"/>
  <c r="J539" i="143"/>
  <c r="K539" i="143" l="1"/>
  <c r="D65" i="143"/>
  <c r="M538" i="143"/>
  <c r="E64" i="143"/>
  <c r="N539" i="143"/>
  <c r="J540" i="143"/>
  <c r="O540" i="143"/>
  <c r="G541" i="143" s="1"/>
  <c r="K540" i="143" l="1"/>
  <c r="D66" i="143"/>
  <c r="M539" i="143"/>
  <c r="E65" i="143"/>
  <c r="J541" i="143"/>
  <c r="O541" i="143"/>
  <c r="G542" i="143" s="1"/>
  <c r="N540" i="143"/>
  <c r="K541" i="143" l="1"/>
  <c r="D67" i="143"/>
  <c r="M540" i="143"/>
  <c r="E66" i="143"/>
  <c r="N541" i="143"/>
  <c r="O542" i="143"/>
  <c r="G543" i="143" s="1"/>
  <c r="J542" i="143"/>
  <c r="K542" i="143" l="1"/>
  <c r="D68" i="143"/>
  <c r="M541" i="143"/>
  <c r="E67" i="143"/>
  <c r="N542" i="143"/>
  <c r="O543" i="143"/>
  <c r="G544" i="143" s="1"/>
  <c r="J543" i="143"/>
  <c r="K543" i="143" l="1"/>
  <c r="D69" i="143"/>
  <c r="M542" i="143"/>
  <c r="E68" i="143"/>
  <c r="O544" i="143"/>
  <c r="G545" i="143" s="1"/>
  <c r="J544" i="143"/>
  <c r="N543" i="143"/>
  <c r="K544" i="143" l="1"/>
  <c r="D70" i="143"/>
  <c r="M543" i="143"/>
  <c r="E69" i="143"/>
  <c r="N544" i="143"/>
  <c r="O545" i="143"/>
  <c r="G546" i="143" s="1"/>
  <c r="G548" i="143" s="1"/>
  <c r="J545" i="143"/>
  <c r="K545" i="143" l="1"/>
  <c r="D71" i="143"/>
  <c r="M544" i="143"/>
  <c r="E70" i="143"/>
  <c r="J546" i="143"/>
  <c r="D72" i="143" s="1"/>
  <c r="O546" i="143"/>
  <c r="O548" i="143" s="1"/>
  <c r="N545" i="143"/>
  <c r="M545" i="143" l="1"/>
  <c r="E71" i="143"/>
  <c r="K546" i="143"/>
  <c r="E72" i="143" s="1"/>
  <c r="J548" i="143"/>
  <c r="N546" i="143"/>
  <c r="N548" i="143" s="1"/>
  <c r="D74" i="143" l="1"/>
  <c r="M546" i="143"/>
  <c r="M548" i="143" s="1"/>
  <c r="K548" i="143"/>
  <c r="E74" i="143" l="1"/>
  <c r="D133" i="168" l="1"/>
  <c r="D134" i="168"/>
  <c r="D135" i="168"/>
  <c r="E135" i="168" l="1"/>
  <c r="E134" i="168"/>
  <c r="E133" i="168"/>
  <c r="H29" i="178" l="1"/>
  <c r="N29" i="178"/>
  <c r="J29" i="178"/>
  <c r="G29" i="178"/>
  <c r="I29" i="178"/>
  <c r="K27" i="178" l="1"/>
  <c r="C119" i="168" s="1"/>
  <c r="F119" i="168" l="1"/>
  <c r="K29" i="178"/>
  <c r="M27" i="178"/>
  <c r="O27" i="178" l="1"/>
  <c r="O29" i="178" s="1"/>
  <c r="M29" i="178"/>
  <c r="H15" i="179"/>
  <c r="G15" i="179"/>
  <c r="N15" i="179"/>
  <c r="I13" i="179"/>
  <c r="I15" i="179" s="1"/>
  <c r="K13" i="179" l="1"/>
  <c r="K15" i="179" l="1"/>
  <c r="M13" i="179"/>
  <c r="C124" i="168" l="1"/>
  <c r="M15" i="179"/>
  <c r="O13" i="179"/>
  <c r="O15" i="179" s="1"/>
  <c r="F124" i="168" l="1"/>
  <c r="C135" i="168"/>
  <c r="F135" i="168" s="1"/>
  <c r="C134" i="168"/>
  <c r="C133" i="168"/>
  <c r="F133" i="168" s="1"/>
  <c r="F134" i="168" l="1"/>
</calcChain>
</file>

<file path=xl/sharedStrings.xml><?xml version="1.0" encoding="utf-8"?>
<sst xmlns="http://schemas.openxmlformats.org/spreadsheetml/2006/main" count="4156" uniqueCount="130">
  <si>
    <t>Total</t>
  </si>
  <si>
    <t>ITCC</t>
  </si>
  <si>
    <t>Facility Cost</t>
  </si>
  <si>
    <t>Period</t>
  </si>
  <si>
    <t>Start Date</t>
  </si>
  <si>
    <t>End Date</t>
  </si>
  <si>
    <t>Days</t>
  </si>
  <si>
    <t>APR Interest Rate (%)</t>
  </si>
  <si>
    <t>Payment #</t>
  </si>
  <si>
    <t>One-Time Cost</t>
  </si>
  <si>
    <t>Facility Costs</t>
  </si>
  <si>
    <t>In-Service Date:</t>
  </si>
  <si>
    <t xml:space="preserve">Notes: </t>
  </si>
  <si>
    <t>Actual</t>
  </si>
  <si>
    <t>Estimate</t>
  </si>
  <si>
    <t>One-Time Costs</t>
  </si>
  <si>
    <t>One-Time Costs (Summary)</t>
  </si>
  <si>
    <t>COD:</t>
  </si>
  <si>
    <t>TOT522: Blue Sky Ranch - Estimate</t>
  </si>
  <si>
    <t>True Up 1</t>
  </si>
  <si>
    <t>True Up 2</t>
  </si>
  <si>
    <t>TOT455: Catalina Solar - Estimate</t>
  </si>
  <si>
    <t>N/A</t>
  </si>
  <si>
    <t>Rate</t>
  </si>
  <si>
    <t>End Date Range</t>
  </si>
  <si>
    <t>Status</t>
  </si>
  <si>
    <t>Total Refunds Due</t>
  </si>
  <si>
    <t>Remaining Refunds Due</t>
  </si>
  <si>
    <t>Refunds Completed by Year-End</t>
  </si>
  <si>
    <t>Refund Date</t>
  </si>
  <si>
    <t>Facility Cost - Principal</t>
  </si>
  <si>
    <t>Facility Cost - Interest</t>
  </si>
  <si>
    <t>One-Time Cost - Interest</t>
  </si>
  <si>
    <t>TOT278: Alta Vista SunTower Gen - Estimate</t>
  </si>
  <si>
    <r>
      <rPr>
        <b/>
        <sz val="8"/>
        <rFont val="Times New Roman"/>
        <family val="1"/>
      </rPr>
      <t>Facility Cost - Principal</t>
    </r>
    <r>
      <rPr>
        <sz val="8"/>
        <rFont val="Times New Roman"/>
        <family val="1"/>
      </rPr>
      <t>: Total payments made by SCE on the Facility</t>
    </r>
  </si>
  <si>
    <r>
      <rPr>
        <b/>
        <sz val="8"/>
        <rFont val="Times New Roman"/>
        <family val="1"/>
      </rPr>
      <t>One-Time Cost - Principal</t>
    </r>
    <r>
      <rPr>
        <sz val="8"/>
        <rFont val="Times New Roman"/>
        <family val="1"/>
      </rPr>
      <t>: Total payments made by SCE on One-Time Costs</t>
    </r>
  </si>
  <si>
    <t>1) Definitions:</t>
  </si>
  <si>
    <r>
      <rPr>
        <b/>
        <sz val="8"/>
        <rFont val="Times New Roman"/>
        <family val="1"/>
      </rPr>
      <t>2)</t>
    </r>
    <r>
      <rPr>
        <sz val="8"/>
        <rFont val="Times New Roman"/>
        <family val="1"/>
      </rPr>
      <t xml:space="preserve"> When actual costs are determined (True Up), refund amounts are recalculated to reflect the new totals.  Adjustments are made for principal and accrued interest refunds for prior quarters to align the refund totals to the 1/20th per quarter criteria.</t>
    </r>
  </si>
  <si>
    <t>Payment</t>
  </si>
  <si>
    <t>TOT041: NRG El Segundo - Estimate</t>
  </si>
  <si>
    <t>TOT135: EME Walnut Creek - Estimate</t>
  </si>
  <si>
    <t>TOT175: Mojave Solar Project - Estimate</t>
  </si>
  <si>
    <t>TOT032: CPV Sentinel - Estimate</t>
  </si>
  <si>
    <t>TOT508: TA-Acacia - Estimate</t>
  </si>
  <si>
    <r>
      <rPr>
        <b/>
        <sz val="8"/>
        <rFont val="Times New Roman"/>
        <family val="1"/>
      </rPr>
      <t>Facility Cost - Interest</t>
    </r>
    <r>
      <rPr>
        <sz val="8"/>
        <rFont val="Times New Roman"/>
        <family val="1"/>
      </rPr>
      <t>: Total payments made by SCE on post-construction interest (quarterly) for Facility Costs.  Interest calculations begin on the in-service date of the Facility.</t>
    </r>
  </si>
  <si>
    <r>
      <rPr>
        <b/>
        <sz val="8"/>
        <rFont val="Times New Roman"/>
        <family val="1"/>
      </rPr>
      <t>One-Time Cost - Interest</t>
    </r>
    <r>
      <rPr>
        <sz val="8"/>
        <rFont val="Times New Roman"/>
        <family val="1"/>
      </rPr>
      <t>: Total payments made by SCE on pre- and post-construction interest (accrued interest and quarterly interest, respectively) for One-Time Costs.  Interest calculations begin upon receipt of payment from the customer.</t>
    </r>
  </si>
  <si>
    <t>WDT1099TOC: Oasis</t>
  </si>
  <si>
    <t>TOT219: Rising Tree</t>
  </si>
  <si>
    <t>Total Cost</t>
  </si>
  <si>
    <t>True Up 1 (FSA)</t>
  </si>
  <si>
    <t>TOT672: RE Garland</t>
  </si>
  <si>
    <t>TOT573: RE Astoria</t>
  </si>
  <si>
    <t>Grand Total</t>
  </si>
  <si>
    <t>Refund #</t>
  </si>
  <si>
    <t>01</t>
  </si>
  <si>
    <t>02</t>
  </si>
  <si>
    <t>03</t>
  </si>
  <si>
    <t>04</t>
  </si>
  <si>
    <t>05</t>
  </si>
  <si>
    <t>06</t>
  </si>
  <si>
    <t>07</t>
  </si>
  <si>
    <t>08</t>
  </si>
  <si>
    <t>09</t>
  </si>
  <si>
    <t>10</t>
  </si>
  <si>
    <t>11</t>
  </si>
  <si>
    <t>12</t>
  </si>
  <si>
    <t>13</t>
  </si>
  <si>
    <t>14</t>
  </si>
  <si>
    <t>15</t>
  </si>
  <si>
    <t>16</t>
  </si>
  <si>
    <t>17</t>
  </si>
  <si>
    <t>18</t>
  </si>
  <si>
    <t>19</t>
  </si>
  <si>
    <t>20</t>
  </si>
  <si>
    <t>One-Time
Cost</t>
  </si>
  <si>
    <r>
      <t xml:space="preserve">Total Refund
</t>
    </r>
    <r>
      <rPr>
        <b/>
        <sz val="8"/>
        <rFont val="Arial"/>
        <family val="2"/>
      </rPr>
      <t>(C) + (D) = (E)</t>
    </r>
  </si>
  <si>
    <t>21</t>
  </si>
  <si>
    <t>22</t>
  </si>
  <si>
    <t>23</t>
  </si>
  <si>
    <t>24</t>
  </si>
  <si>
    <r>
      <t xml:space="preserve">Principal Due
</t>
    </r>
    <r>
      <rPr>
        <b/>
        <sz val="8"/>
        <rFont val="Arial"/>
        <family val="2"/>
      </rPr>
      <t>(1)</t>
    </r>
  </si>
  <si>
    <r>
      <t xml:space="preserve">Accrued Interest  Due
</t>
    </r>
    <r>
      <rPr>
        <b/>
        <sz val="8"/>
        <rFont val="Arial"/>
        <family val="2"/>
      </rPr>
      <t>(2)</t>
    </r>
  </si>
  <si>
    <r>
      <t xml:space="preserve">Accrued Interest Refund 
</t>
    </r>
    <r>
      <rPr>
        <b/>
        <sz val="8"/>
        <rFont val="Arial"/>
        <family val="2"/>
      </rPr>
      <t>(A)</t>
    </r>
  </si>
  <si>
    <r>
      <t xml:space="preserve">Quarterly Interest 
Refund 
</t>
    </r>
    <r>
      <rPr>
        <b/>
        <sz val="8"/>
        <rFont val="Arial"/>
        <family val="2"/>
      </rPr>
      <t>(B)</t>
    </r>
  </si>
  <si>
    <r>
      <t xml:space="preserve">Total Interest Refund
</t>
    </r>
    <r>
      <rPr>
        <b/>
        <sz val="8"/>
        <rFont val="Arial"/>
        <family val="2"/>
      </rPr>
      <t>(A) + (B) = (C)</t>
    </r>
  </si>
  <si>
    <r>
      <t xml:space="preserve">Principal Refund
</t>
    </r>
    <r>
      <rPr>
        <b/>
        <sz val="8"/>
        <rFont val="Arial"/>
        <family val="2"/>
      </rPr>
      <t>(D)</t>
    </r>
  </si>
  <si>
    <r>
      <t xml:space="preserve">Total Due
</t>
    </r>
    <r>
      <rPr>
        <b/>
        <sz val="8"/>
        <rFont val="Arial"/>
        <family val="2"/>
      </rPr>
      <t>(1) + (2) + (B) = (3)</t>
    </r>
  </si>
  <si>
    <r>
      <t xml:space="preserve">Running Balance
</t>
    </r>
    <r>
      <rPr>
        <b/>
        <sz val="8"/>
        <rFont val="Arial"/>
        <family val="2"/>
      </rPr>
      <t>(3) - (E)</t>
    </r>
  </si>
  <si>
    <t>Date Payment Received</t>
  </si>
  <si>
    <t>25</t>
  </si>
  <si>
    <t>26</t>
  </si>
  <si>
    <t>27</t>
  </si>
  <si>
    <t>28</t>
  </si>
  <si>
    <t>Principal Due
(1)</t>
  </si>
  <si>
    <t>Accrued Interest  Due
(2)</t>
  </si>
  <si>
    <t>Accrued Interest Refund 
(A)</t>
  </si>
  <si>
    <t>Quarterly Interest 
Refund 
(B)</t>
  </si>
  <si>
    <t>Total Interest Refund
(A) + (B) = (C)</t>
  </si>
  <si>
    <t>Principal Refund
(D)</t>
  </si>
  <si>
    <t>Total Refund
(C) + (D) = (E)</t>
  </si>
  <si>
    <t>Total Due
(1) + (2) + (B) = (3)</t>
  </si>
  <si>
    <t>Running Balance
(3) - (E)</t>
  </si>
  <si>
    <t>01-04</t>
  </si>
  <si>
    <t>01-03</t>
  </si>
  <si>
    <t>29</t>
  </si>
  <si>
    <t>30</t>
  </si>
  <si>
    <r>
      <t xml:space="preserve">Running Balance
</t>
    </r>
    <r>
      <rPr>
        <b/>
        <sz val="8"/>
        <rFont val="Arial"/>
        <family val="2"/>
      </rPr>
      <t>(1) +(2) - (A) - (D)</t>
    </r>
  </si>
  <si>
    <t>TOT544: Kingbird Solar A</t>
  </si>
  <si>
    <t>TOT545: Kingbird Solar B</t>
  </si>
  <si>
    <t>TOT223: Genesis McCoy Solar Project</t>
  </si>
  <si>
    <t>Q3/2016</t>
  </si>
  <si>
    <t>01-02</t>
  </si>
  <si>
    <t>TOT381</t>
  </si>
  <si>
    <t>TOT211</t>
  </si>
  <si>
    <t>TOT404</t>
  </si>
  <si>
    <t>TOT581</t>
  </si>
  <si>
    <t>Plan of Service Reliability Networkk Upgrade Costs</t>
  </si>
  <si>
    <t>31</t>
  </si>
  <si>
    <t>Adjusment</t>
  </si>
  <si>
    <t>TOT585 (Phase 1&amp;2)</t>
  </si>
  <si>
    <t>True-Up:</t>
  </si>
  <si>
    <t>TOT516 - True-up</t>
  </si>
  <si>
    <t>TOT733 - True-up</t>
  </si>
  <si>
    <t>TOT411 (Phase 1&amp;2)</t>
  </si>
  <si>
    <t>WDT400 - True-up</t>
  </si>
  <si>
    <t>WDT1007: RE Columbia - True-up</t>
  </si>
  <si>
    <t>01-10</t>
  </si>
  <si>
    <t>RECORDED QUARTERLY - Network Upgrade Credits</t>
  </si>
  <si>
    <t>WDT1007: RE Columbia</t>
  </si>
  <si>
    <t>Adjustment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</si>
</sst>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mm/dd/yy;@"/>
    <numFmt numFmtId="165" formatCode="0.000%"/>
  </numFmts>
  <fonts count="13" x14ac:knownFonts="1">
    <font>
      <sz val="10"/>
      <name val="Arial"/>
    </font>
    <font>
      <sz val="11"/>
      <color theme="1"/>
      <name val="Calibri"/>
      <family val="2"/>
      <scheme val="minor"/>
    </font>
    <font>
      <sz val="10"/>
      <name val="Arial"/>
      <family val="2"/>
    </font>
    <font>
      <b/>
      <sz val="10"/>
      <name val="Arial"/>
      <family val="2"/>
    </font>
    <font>
      <sz val="10"/>
      <name val="Arial"/>
      <family val="2"/>
    </font>
    <font>
      <i/>
      <sz val="10"/>
      <name val="Arial"/>
      <family val="2"/>
    </font>
    <font>
      <sz val="10"/>
      <name val="Times New Roman"/>
      <family val="1"/>
    </font>
    <font>
      <b/>
      <sz val="10"/>
      <name val="Times New Roman"/>
      <family val="1"/>
    </font>
    <font>
      <b/>
      <sz val="8"/>
      <name val="Times New Roman"/>
      <family val="1"/>
    </font>
    <font>
      <sz val="8"/>
      <name val="Times New Roman"/>
      <family val="1"/>
    </font>
    <font>
      <b/>
      <sz val="8"/>
      <color rgb="FFFF0000"/>
      <name val="Times New Roman"/>
      <family val="1"/>
    </font>
    <font>
      <b/>
      <sz val="8"/>
      <name val="Arial"/>
      <family val="2"/>
    </font>
    <font>
      <sz val="10"/>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3" tint="0.39997558519241921"/>
        <bgColor indexed="64"/>
      </patternFill>
    </fill>
    <fill>
      <patternFill patternType="solid">
        <fgColor theme="0" tint="-0.14999847407452621"/>
        <bgColor indexed="64"/>
      </patternFill>
    </fill>
    <fill>
      <patternFill patternType="solid">
        <fgColor rgb="FFFFFFCC"/>
        <bgColor indexed="64"/>
      </patternFill>
    </fill>
    <fill>
      <patternFill patternType="solid">
        <fgColor theme="9" tint="0.79998168889431442"/>
        <bgColor indexed="64"/>
      </patternFill>
    </fill>
    <fill>
      <patternFill patternType="solid">
        <fgColor theme="9" tint="0.59999389629810485"/>
        <bgColor indexed="64"/>
      </patternFill>
    </fill>
  </fills>
  <borders count="36">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right/>
      <top style="thin">
        <color auto="1"/>
      </top>
      <bottom style="thin">
        <color auto="1"/>
      </bottom>
      <diagonal/>
    </border>
    <border>
      <left/>
      <right/>
      <top style="thin">
        <color indexed="64"/>
      </top>
      <bottom/>
      <diagonal/>
    </border>
    <border>
      <left/>
      <right/>
      <top style="double">
        <color indexed="64"/>
      </top>
      <bottom/>
      <diagonal/>
    </border>
    <border>
      <left style="medium">
        <color indexed="64"/>
      </left>
      <right/>
      <top style="double">
        <color indexed="64"/>
      </top>
      <bottom/>
      <diagonal/>
    </border>
    <border>
      <left/>
      <right style="medium">
        <color indexed="64"/>
      </right>
      <top style="double">
        <color indexed="64"/>
      </top>
      <bottom/>
      <diagonal/>
    </border>
    <border>
      <left style="thin">
        <color indexed="64"/>
      </left>
      <right style="hair">
        <color indexed="64"/>
      </right>
      <top style="thin">
        <color indexed="64"/>
      </top>
      <bottom/>
      <diagonal/>
    </border>
    <border>
      <left style="hair">
        <color indexed="64"/>
      </left>
      <right style="medium">
        <color indexed="64"/>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hair">
        <color indexed="64"/>
      </left>
      <right style="medium">
        <color indexed="64"/>
      </right>
      <top/>
      <bottom style="medium">
        <color indexed="64"/>
      </bottom>
      <diagonal/>
    </border>
  </borders>
  <cellStyleXfs count="11">
    <xf numFmtId="0" fontId="0" fillId="0" borderId="0"/>
    <xf numFmtId="43" fontId="2" fillId="0" borderId="0" applyFont="0" applyFill="0" applyBorder="0" applyAlignment="0" applyProtection="0"/>
    <xf numFmtId="43" fontId="4"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xf numFmtId="0" fontId="4" fillId="0" borderId="0"/>
    <xf numFmtId="9" fontId="2" fillId="0" borderId="0" applyFont="0" applyFill="0" applyBorder="0" applyAlignment="0" applyProtection="0"/>
    <xf numFmtId="9" fontId="4" fillId="0" borderId="0" applyFont="0" applyFill="0" applyBorder="0" applyAlignment="0" applyProtection="0"/>
    <xf numFmtId="0" fontId="2" fillId="0" borderId="0"/>
    <xf numFmtId="0" fontId="1" fillId="0" borderId="0"/>
    <xf numFmtId="44" fontId="12" fillId="0" borderId="0" applyFont="0" applyFill="0" applyBorder="0" applyAlignment="0" applyProtection="0"/>
  </cellStyleXfs>
  <cellXfs count="319">
    <xf numFmtId="0" fontId="0" fillId="0" borderId="0" xfId="0"/>
    <xf numFmtId="0" fontId="4" fillId="0" borderId="0" xfId="0" applyFont="1" applyFill="1"/>
    <xf numFmtId="0" fontId="4" fillId="0" borderId="0" xfId="0" applyFont="1" applyFill="1" applyBorder="1" applyAlignment="1">
      <alignment horizontal="center"/>
    </xf>
    <xf numFmtId="164" fontId="4" fillId="0" borderId="0" xfId="0" applyNumberFormat="1" applyFont="1" applyFill="1" applyAlignment="1">
      <alignment horizontal="center" wrapText="1"/>
    </xf>
    <xf numFmtId="44" fontId="4" fillId="0" borderId="0" xfId="3" applyFont="1" applyFill="1" applyAlignment="1">
      <alignment horizontal="center"/>
    </xf>
    <xf numFmtId="14" fontId="3" fillId="0" borderId="0" xfId="0" applyNumberFormat="1" applyFont="1" applyFill="1"/>
    <xf numFmtId="0" fontId="2" fillId="0" borderId="0" xfId="0" applyFont="1" applyFill="1"/>
    <xf numFmtId="44" fontId="2" fillId="0" borderId="0" xfId="3" applyFont="1" applyFill="1" applyBorder="1"/>
    <xf numFmtId="44" fontId="2" fillId="0" borderId="0" xfId="0" applyNumberFormat="1" applyFont="1" applyFill="1"/>
    <xf numFmtId="14" fontId="4" fillId="0" borderId="0" xfId="0" applyNumberFormat="1" applyFont="1" applyFill="1" applyBorder="1" applyAlignment="1">
      <alignment horizontal="center"/>
    </xf>
    <xf numFmtId="0" fontId="2" fillId="0" borderId="0" xfId="0" applyNumberFormat="1" applyFont="1" applyFill="1" applyBorder="1" applyAlignment="1">
      <alignment horizontal="center"/>
    </xf>
    <xf numFmtId="0" fontId="2" fillId="0" borderId="0" xfId="0" applyFont="1" applyFill="1" applyBorder="1" applyAlignment="1">
      <alignment horizontal="center"/>
    </xf>
    <xf numFmtId="4" fontId="2" fillId="0" borderId="0" xfId="0" applyNumberFormat="1" applyFont="1" applyFill="1" applyBorder="1"/>
    <xf numFmtId="44" fontId="3" fillId="0" borderId="0" xfId="0" applyNumberFormat="1" applyFont="1" applyFill="1"/>
    <xf numFmtId="4" fontId="4" fillId="0" borderId="0" xfId="1" applyNumberFormat="1" applyFont="1" applyFill="1" applyBorder="1"/>
    <xf numFmtId="44" fontId="4" fillId="0" borderId="0" xfId="0" applyNumberFormat="1" applyFont="1" applyFill="1" applyAlignment="1">
      <alignment vertical="top" wrapText="1"/>
    </xf>
    <xf numFmtId="44" fontId="4" fillId="0" borderId="0" xfId="0" applyNumberFormat="1" applyFont="1" applyFill="1" applyBorder="1" applyAlignment="1">
      <alignment horizontal="center" wrapText="1"/>
    </xf>
    <xf numFmtId="0" fontId="2" fillId="0" borderId="0" xfId="0" applyFont="1" applyFill="1" applyAlignment="1">
      <alignment horizontal="center"/>
    </xf>
    <xf numFmtId="14" fontId="2" fillId="0" borderId="0" xfId="0" applyNumberFormat="1" applyFont="1" applyFill="1" applyAlignment="1">
      <alignment horizontal="center"/>
    </xf>
    <xf numFmtId="0" fontId="3" fillId="0" borderId="0" xfId="0" applyFont="1" applyFill="1" applyAlignment="1">
      <alignment horizontal="right"/>
    </xf>
    <xf numFmtId="0" fontId="3" fillId="0" borderId="0" xfId="0" applyFont="1" applyFill="1" applyAlignment="1">
      <alignment horizontal="center"/>
    </xf>
    <xf numFmtId="44" fontId="8" fillId="0" borderId="0" xfId="3" applyFont="1" applyFill="1" applyBorder="1" applyAlignment="1">
      <alignment horizontal="center"/>
    </xf>
    <xf numFmtId="0" fontId="9" fillId="0" borderId="0" xfId="0" applyFont="1" applyFill="1" applyBorder="1"/>
    <xf numFmtId="0" fontId="9" fillId="0" borderId="0" xfId="0" applyFont="1" applyBorder="1" applyAlignment="1">
      <alignment horizontal="right"/>
    </xf>
    <xf numFmtId="44" fontId="9" fillId="0" borderId="0" xfId="3" applyFont="1" applyFill="1" applyBorder="1" applyAlignment="1">
      <alignment horizontal="right"/>
    </xf>
    <xf numFmtId="0" fontId="9" fillId="0" borderId="0" xfId="0" applyFont="1" applyBorder="1"/>
    <xf numFmtId="44" fontId="9" fillId="0" borderId="0" xfId="3" applyFont="1" applyBorder="1"/>
    <xf numFmtId="0" fontId="8" fillId="0" borderId="0" xfId="0" applyFont="1" applyFill="1" applyBorder="1"/>
    <xf numFmtId="0" fontId="8" fillId="0" borderId="0" xfId="0" applyFont="1" applyFill="1" applyBorder="1" applyAlignment="1"/>
    <xf numFmtId="0" fontId="8" fillId="0" borderId="0" xfId="0" applyFont="1" applyBorder="1" applyAlignment="1"/>
    <xf numFmtId="0" fontId="7" fillId="0" borderId="0" xfId="0" applyFont="1"/>
    <xf numFmtId="0" fontId="6" fillId="0" borderId="0" xfId="0" applyFont="1"/>
    <xf numFmtId="0" fontId="7" fillId="0" borderId="0" xfId="0" applyFont="1" applyAlignment="1">
      <alignment horizontal="center"/>
    </xf>
    <xf numFmtId="0" fontId="6" fillId="0" borderId="0" xfId="0" applyFont="1" applyAlignment="1">
      <alignment horizontal="center"/>
    </xf>
    <xf numFmtId="164" fontId="6" fillId="0" borderId="0" xfId="0" applyNumberFormat="1" applyFont="1" applyAlignment="1">
      <alignment horizontal="center"/>
    </xf>
    <xf numFmtId="165" fontId="6" fillId="0" borderId="0" xfId="6" applyNumberFormat="1" applyFont="1" applyAlignment="1">
      <alignment horizontal="center"/>
    </xf>
    <xf numFmtId="0" fontId="7" fillId="0" borderId="0" xfId="0" applyFont="1" applyAlignment="1">
      <alignment horizontal="center" vertical="center"/>
    </xf>
    <xf numFmtId="0" fontId="8" fillId="2" borderId="0" xfId="0" applyFont="1" applyFill="1" applyBorder="1"/>
    <xf numFmtId="14" fontId="8" fillId="2" borderId="0" xfId="3" applyNumberFormat="1" applyFont="1" applyFill="1" applyBorder="1" applyAlignment="1">
      <alignment horizontal="center"/>
    </xf>
    <xf numFmtId="44" fontId="8" fillId="2" borderId="0" xfId="3" applyFont="1" applyFill="1" applyBorder="1" applyAlignment="1">
      <alignment horizontal="center"/>
    </xf>
    <xf numFmtId="44" fontId="8" fillId="0" borderId="0" xfId="3" applyFont="1" applyFill="1" applyBorder="1" applyAlignment="1"/>
    <xf numFmtId="0" fontId="9" fillId="0" borderId="0" xfId="0" applyFont="1" applyFill="1" applyBorder="1" applyAlignment="1">
      <alignment horizontal="right"/>
    </xf>
    <xf numFmtId="14" fontId="8" fillId="0" borderId="0" xfId="3" applyNumberFormat="1" applyFont="1" applyFill="1" applyBorder="1" applyAlignment="1">
      <alignment horizontal="center"/>
    </xf>
    <xf numFmtId="0" fontId="3" fillId="0" borderId="0" xfId="0" applyFont="1" applyFill="1" applyAlignment="1">
      <alignment horizontal="right"/>
    </xf>
    <xf numFmtId="0" fontId="3" fillId="0" borderId="0" xfId="0" applyFont="1" applyFill="1" applyAlignment="1">
      <alignment horizontal="center"/>
    </xf>
    <xf numFmtId="0" fontId="8" fillId="0" borderId="0" xfId="0" applyFont="1" applyFill="1" applyBorder="1" applyAlignment="1">
      <alignment horizontal="left" indent="1"/>
    </xf>
    <xf numFmtId="0" fontId="0" fillId="0" borderId="0" xfId="0" quotePrefix="1" applyFont="1" applyFill="1" applyAlignment="1">
      <alignment vertical="top" wrapText="1"/>
    </xf>
    <xf numFmtId="0" fontId="2" fillId="0" borderId="0" xfId="0" quotePrefix="1" applyFont="1" applyFill="1" applyAlignment="1">
      <alignment vertical="top" wrapText="1"/>
    </xf>
    <xf numFmtId="44" fontId="10" fillId="0" borderId="0" xfId="3" applyFont="1" applyBorder="1"/>
    <xf numFmtId="0" fontId="8" fillId="0" borderId="0" xfId="0" applyFont="1" applyBorder="1"/>
    <xf numFmtId="44" fontId="8" fillId="0" borderId="0" xfId="3" applyFont="1" applyFill="1" applyBorder="1" applyAlignment="1">
      <alignment horizontal="right"/>
    </xf>
    <xf numFmtId="44" fontId="8" fillId="0" borderId="0" xfId="3" applyFont="1" applyBorder="1"/>
    <xf numFmtId="0" fontId="8" fillId="3" borderId="0" xfId="0" applyFont="1" applyFill="1" applyBorder="1"/>
    <xf numFmtId="14" fontId="8" fillId="3" borderId="0" xfId="3" applyNumberFormat="1" applyFont="1" applyFill="1" applyBorder="1" applyAlignment="1">
      <alignment horizontal="center"/>
    </xf>
    <xf numFmtId="44" fontId="8" fillId="3" borderId="0" xfId="3" applyFont="1" applyFill="1" applyBorder="1" applyAlignment="1">
      <alignment horizontal="center"/>
    </xf>
    <xf numFmtId="44" fontId="2" fillId="0" borderId="0" xfId="3" applyFont="1" applyFill="1" applyAlignment="1">
      <alignment horizontal="center"/>
    </xf>
    <xf numFmtId="0" fontId="2" fillId="0" borderId="0" xfId="0" applyFont="1" applyFill="1" applyAlignment="1">
      <alignment wrapText="1"/>
    </xf>
    <xf numFmtId="0" fontId="2" fillId="0" borderId="0" xfId="0" applyFont="1" applyFill="1" applyAlignment="1"/>
    <xf numFmtId="0" fontId="3" fillId="0" borderId="0" xfId="8" applyFont="1" applyFill="1" applyAlignment="1">
      <alignment horizontal="center"/>
    </xf>
    <xf numFmtId="0" fontId="2" fillId="0" borderId="0" xfId="8" applyFont="1" applyFill="1"/>
    <xf numFmtId="0" fontId="2" fillId="0" borderId="0" xfId="8" applyFont="1" applyFill="1" applyAlignment="1">
      <alignment horizontal="center"/>
    </xf>
    <xf numFmtId="164" fontId="2" fillId="0" borderId="0" xfId="8" applyNumberFormat="1" applyFont="1" applyFill="1" applyAlignment="1">
      <alignment horizontal="center" wrapText="1"/>
    </xf>
    <xf numFmtId="14" fontId="2" fillId="0" borderId="0" xfId="8" applyNumberFormat="1" applyFont="1" applyFill="1" applyAlignment="1">
      <alignment horizontal="center"/>
    </xf>
    <xf numFmtId="44" fontId="3" fillId="0" borderId="0" xfId="8" applyNumberFormat="1" applyFont="1" applyFill="1"/>
    <xf numFmtId="44" fontId="2" fillId="0" borderId="0" xfId="8" applyNumberFormat="1" applyFont="1" applyFill="1"/>
    <xf numFmtId="14" fontId="3" fillId="0" borderId="0" xfId="8" applyNumberFormat="1" applyFont="1" applyFill="1"/>
    <xf numFmtId="0" fontId="2" fillId="0" borderId="0" xfId="8" applyFont="1" applyFill="1" applyBorder="1" applyAlignment="1">
      <alignment horizontal="center"/>
    </xf>
    <xf numFmtId="14" fontId="2" fillId="0" borderId="0" xfId="8" applyNumberFormat="1" applyFont="1" applyFill="1" applyBorder="1" applyAlignment="1">
      <alignment horizontal="center"/>
    </xf>
    <xf numFmtId="0" fontId="2" fillId="0" borderId="0" xfId="8" applyNumberFormat="1" applyFont="1" applyFill="1" applyBorder="1" applyAlignment="1">
      <alignment horizontal="center"/>
    </xf>
    <xf numFmtId="44" fontId="2" fillId="0" borderId="0" xfId="8" applyNumberFormat="1" applyFont="1" applyFill="1" applyBorder="1" applyAlignment="1">
      <alignment horizontal="center" wrapText="1"/>
    </xf>
    <xf numFmtId="4" fontId="2" fillId="0" borderId="0" xfId="1" applyNumberFormat="1" applyFont="1" applyFill="1" applyBorder="1"/>
    <xf numFmtId="4" fontId="2" fillId="0" borderId="0" xfId="8" applyNumberFormat="1" applyFont="1" applyFill="1" applyBorder="1"/>
    <xf numFmtId="0" fontId="9" fillId="0" borderId="0" xfId="0" applyFont="1" applyBorder="1" applyAlignment="1">
      <alignment wrapText="1"/>
    </xf>
    <xf numFmtId="44" fontId="9" fillId="6" borderId="0" xfId="3" applyFont="1" applyFill="1" applyBorder="1" applyAlignment="1">
      <alignment horizontal="right"/>
    </xf>
    <xf numFmtId="44" fontId="10" fillId="0" borderId="0" xfId="3" applyFont="1" applyFill="1" applyBorder="1"/>
    <xf numFmtId="44" fontId="9" fillId="0" borderId="0" xfId="3" applyFont="1" applyFill="1" applyBorder="1"/>
    <xf numFmtId="164" fontId="2" fillId="0" borderId="0" xfId="0" applyNumberFormat="1" applyFont="1" applyFill="1" applyAlignment="1">
      <alignment horizontal="center" wrapText="1"/>
    </xf>
    <xf numFmtId="44" fontId="9" fillId="0" borderId="0" xfId="3" applyFont="1" applyFill="1" applyBorder="1" applyAlignment="1">
      <alignment horizontal="center" wrapText="1"/>
    </xf>
    <xf numFmtId="0" fontId="2" fillId="0" borderId="0" xfId="0" quotePrefix="1" applyFont="1" applyFill="1" applyAlignment="1">
      <alignment vertical="top"/>
    </xf>
    <xf numFmtId="44" fontId="3" fillId="0" borderId="12" xfId="0" applyNumberFormat="1" applyFont="1" applyFill="1" applyBorder="1"/>
    <xf numFmtId="14" fontId="3" fillId="0" borderId="0" xfId="0" applyNumberFormat="1" applyFont="1" applyFill="1" applyAlignment="1">
      <alignment horizontal="center"/>
    </xf>
    <xf numFmtId="0" fontId="2" fillId="0" borderId="0" xfId="0" applyFont="1" applyFill="1" applyBorder="1" applyAlignment="1">
      <alignment horizontal="center" wrapText="1"/>
    </xf>
    <xf numFmtId="164" fontId="2" fillId="0" borderId="0" xfId="0" applyNumberFormat="1" applyFont="1" applyFill="1" applyBorder="1" applyAlignment="1">
      <alignment horizontal="center" wrapText="1"/>
    </xf>
    <xf numFmtId="165" fontId="2" fillId="0" borderId="0" xfId="6" applyNumberFormat="1" applyFont="1" applyFill="1" applyBorder="1" applyAlignment="1">
      <alignment horizontal="center" wrapText="1"/>
    </xf>
    <xf numFmtId="44" fontId="2" fillId="0" borderId="0" xfId="3" applyFont="1" applyFill="1" applyBorder="1" applyAlignment="1">
      <alignment horizontal="center" wrapText="1"/>
    </xf>
    <xf numFmtId="44" fontId="2" fillId="0" borderId="0" xfId="0" applyNumberFormat="1" applyFont="1" applyFill="1" applyBorder="1" applyAlignment="1">
      <alignment horizontal="center" wrapText="1"/>
    </xf>
    <xf numFmtId="0" fontId="3" fillId="0" borderId="7" xfId="0" applyFont="1" applyFill="1" applyBorder="1" applyAlignment="1">
      <alignment horizontal="center" wrapText="1"/>
    </xf>
    <xf numFmtId="164" fontId="3" fillId="0" borderId="7" xfId="0" applyNumberFormat="1" applyFont="1" applyFill="1" applyBorder="1" applyAlignment="1">
      <alignment horizontal="center" wrapText="1"/>
    </xf>
    <xf numFmtId="44" fontId="3" fillId="0" borderId="7" xfId="3" applyFont="1" applyFill="1" applyBorder="1" applyAlignment="1">
      <alignment horizontal="center" wrapText="1"/>
    </xf>
    <xf numFmtId="44" fontId="3" fillId="0" borderId="7" xfId="0" applyNumberFormat="1" applyFont="1" applyFill="1" applyBorder="1" applyAlignment="1">
      <alignment horizontal="center" wrapText="1"/>
    </xf>
    <xf numFmtId="0" fontId="3" fillId="4" borderId="1" xfId="0" applyFont="1" applyFill="1" applyBorder="1" applyAlignment="1">
      <alignment horizontal="center" wrapText="1"/>
    </xf>
    <xf numFmtId="0" fontId="2" fillId="0" borderId="1" xfId="0" applyFont="1" applyFill="1" applyBorder="1" applyAlignment="1">
      <alignment horizontal="center" wrapText="1"/>
    </xf>
    <xf numFmtId="164" fontId="2" fillId="0" borderId="1" xfId="0" applyNumberFormat="1" applyFont="1" applyFill="1" applyBorder="1" applyAlignment="1">
      <alignment horizontal="center" wrapText="1"/>
    </xf>
    <xf numFmtId="165" fontId="2" fillId="0" borderId="1" xfId="6" applyNumberFormat="1" applyFont="1" applyFill="1" applyBorder="1" applyAlignment="1">
      <alignment horizontal="center" wrapText="1"/>
    </xf>
    <xf numFmtId="44" fontId="2" fillId="0" borderId="1" xfId="3" applyFont="1" applyFill="1" applyBorder="1" applyAlignment="1">
      <alignment horizontal="center" wrapText="1"/>
    </xf>
    <xf numFmtId="44" fontId="2" fillId="0" borderId="1" xfId="0" applyNumberFormat="1" applyFont="1" applyFill="1" applyBorder="1" applyAlignment="1">
      <alignment horizontal="center" wrapText="1"/>
    </xf>
    <xf numFmtId="0" fontId="2" fillId="0" borderId="0" xfId="0" quotePrefix="1" applyFont="1" applyFill="1" applyAlignment="1">
      <alignment horizontal="center"/>
    </xf>
    <xf numFmtId="0" fontId="2" fillId="0" borderId="1" xfId="0" applyFont="1" applyFill="1" applyBorder="1"/>
    <xf numFmtId="164" fontId="2" fillId="0" borderId="0" xfId="0" applyNumberFormat="1" applyFont="1" applyFill="1" applyBorder="1" applyAlignment="1">
      <alignment horizontal="center"/>
    </xf>
    <xf numFmtId="0" fontId="2" fillId="0" borderId="12" xfId="0" applyFont="1" applyFill="1" applyBorder="1"/>
    <xf numFmtId="44" fontId="3" fillId="0" borderId="3" xfId="0" applyNumberFormat="1" applyFont="1" applyFill="1" applyBorder="1"/>
    <xf numFmtId="0" fontId="3" fillId="7" borderId="1" xfId="0" applyFont="1" applyFill="1" applyBorder="1" applyAlignment="1">
      <alignment horizontal="center"/>
    </xf>
    <xf numFmtId="0" fontId="3" fillId="7" borderId="1" xfId="0" applyFont="1" applyFill="1" applyBorder="1" applyAlignment="1">
      <alignment horizontal="center" wrapText="1"/>
    </xf>
    <xf numFmtId="164" fontId="2" fillId="0" borderId="16" xfId="0" applyNumberFormat="1" applyFont="1" applyFill="1" applyBorder="1" applyAlignment="1">
      <alignment horizontal="center"/>
    </xf>
    <xf numFmtId="164" fontId="2" fillId="0" borderId="18" xfId="0" applyNumberFormat="1" applyFont="1" applyFill="1" applyBorder="1" applyAlignment="1">
      <alignment horizontal="center"/>
    </xf>
    <xf numFmtId="0" fontId="3" fillId="3" borderId="20" xfId="0" applyFont="1" applyFill="1" applyBorder="1" applyAlignment="1">
      <alignment horizontal="center" wrapText="1"/>
    </xf>
    <xf numFmtId="0" fontId="3" fillId="3" borderId="1" xfId="0" applyFont="1" applyFill="1" applyBorder="1" applyAlignment="1">
      <alignment horizontal="center" wrapText="1"/>
    </xf>
    <xf numFmtId="0" fontId="3" fillId="3" borderId="21" xfId="0" applyFont="1" applyFill="1" applyBorder="1" applyAlignment="1">
      <alignment horizontal="center" wrapText="1"/>
    </xf>
    <xf numFmtId="0" fontId="2" fillId="0" borderId="15" xfId="0" applyFont="1" applyFill="1" applyBorder="1"/>
    <xf numFmtId="44" fontId="2" fillId="0" borderId="4" xfId="3" applyFont="1" applyFill="1" applyBorder="1" applyAlignment="1">
      <alignment horizontal="center" wrapText="1"/>
    </xf>
    <xf numFmtId="44" fontId="2" fillId="0" borderId="5" xfId="0" applyNumberFormat="1" applyFont="1" applyFill="1" applyBorder="1" applyAlignment="1">
      <alignment horizontal="center" wrapText="1"/>
    </xf>
    <xf numFmtId="44" fontId="2" fillId="0" borderId="20" xfId="3" applyFont="1" applyFill="1" applyBorder="1" applyAlignment="1">
      <alignment horizontal="center" wrapText="1"/>
    </xf>
    <xf numFmtId="44" fontId="2" fillId="0" borderId="21" xfId="0" applyNumberFormat="1" applyFont="1" applyFill="1" applyBorder="1" applyAlignment="1">
      <alignment horizontal="center" wrapText="1"/>
    </xf>
    <xf numFmtId="44" fontId="3" fillId="0" borderId="6" xfId="0" applyNumberFormat="1" applyFont="1" applyFill="1" applyBorder="1" applyAlignment="1">
      <alignment horizontal="center" wrapText="1"/>
    </xf>
    <xf numFmtId="44" fontId="3" fillId="0" borderId="8" xfId="0" applyNumberFormat="1" applyFont="1" applyFill="1" applyBorder="1" applyAlignment="1">
      <alignment horizontal="center" wrapText="1"/>
    </xf>
    <xf numFmtId="4" fontId="2" fillId="0" borderId="4" xfId="0" applyNumberFormat="1" applyFont="1" applyFill="1" applyBorder="1"/>
    <xf numFmtId="0" fontId="2" fillId="0" borderId="4" xfId="0" applyFont="1" applyFill="1" applyBorder="1"/>
    <xf numFmtId="0" fontId="2" fillId="0" borderId="0" xfId="0" applyFont="1" applyFill="1" applyBorder="1"/>
    <xf numFmtId="4" fontId="2" fillId="0" borderId="5" xfId="1" applyNumberFormat="1" applyFont="1" applyFill="1" applyBorder="1"/>
    <xf numFmtId="44" fontId="3" fillId="0" borderId="23" xfId="0" applyNumberFormat="1" applyFont="1" applyFill="1" applyBorder="1"/>
    <xf numFmtId="44" fontId="3" fillId="0" borderId="24" xfId="0" applyNumberFormat="1" applyFont="1" applyFill="1" applyBorder="1"/>
    <xf numFmtId="0" fontId="2" fillId="0" borderId="9" xfId="0" applyFont="1" applyFill="1" applyBorder="1"/>
    <xf numFmtId="0" fontId="2" fillId="0" borderId="10" xfId="0" applyFont="1" applyFill="1" applyBorder="1"/>
    <xf numFmtId="0" fontId="2" fillId="0" borderId="11" xfId="0" applyFont="1" applyFill="1" applyBorder="1"/>
    <xf numFmtId="44" fontId="3" fillId="0" borderId="25" xfId="0" applyNumberFormat="1" applyFont="1" applyFill="1" applyBorder="1"/>
    <xf numFmtId="14" fontId="2" fillId="0" borderId="0" xfId="0" applyNumberFormat="1" applyFont="1" applyFill="1" applyBorder="1" applyAlignment="1">
      <alignment horizontal="center"/>
    </xf>
    <xf numFmtId="0" fontId="2" fillId="0" borderId="22" xfId="0" quotePrefix="1" applyFont="1" applyFill="1" applyBorder="1" applyAlignment="1">
      <alignment vertical="top" wrapText="1"/>
    </xf>
    <xf numFmtId="0" fontId="2" fillId="0" borderId="14" xfId="0" quotePrefix="1" applyFont="1" applyFill="1" applyBorder="1" applyAlignment="1">
      <alignment vertical="top" wrapText="1"/>
    </xf>
    <xf numFmtId="0" fontId="2" fillId="0" borderId="14" xfId="0" applyFont="1" applyFill="1" applyBorder="1"/>
    <xf numFmtId="44" fontId="2" fillId="0" borderId="0" xfId="0" applyNumberFormat="1" applyFont="1" applyFill="1" applyBorder="1"/>
    <xf numFmtId="44" fontId="2" fillId="0" borderId="5" xfId="0" applyNumberFormat="1" applyFont="1" applyFill="1" applyBorder="1"/>
    <xf numFmtId="0" fontId="2" fillId="0" borderId="5" xfId="0" applyFont="1" applyFill="1" applyBorder="1"/>
    <xf numFmtId="4" fontId="2" fillId="0" borderId="4" xfId="1" applyNumberFormat="1" applyFont="1" applyFill="1" applyBorder="1"/>
    <xf numFmtId="0" fontId="4" fillId="0" borderId="12" xfId="0" applyFont="1" applyFill="1" applyBorder="1" applyAlignment="1">
      <alignment horizontal="center"/>
    </xf>
    <xf numFmtId="14" fontId="4" fillId="0" borderId="12" xfId="0" applyNumberFormat="1" applyFont="1" applyFill="1" applyBorder="1" applyAlignment="1">
      <alignment horizontal="center"/>
    </xf>
    <xf numFmtId="0" fontId="2" fillId="0" borderId="12" xfId="0" applyNumberFormat="1" applyFont="1" applyFill="1" applyBorder="1" applyAlignment="1">
      <alignment horizontal="center"/>
    </xf>
    <xf numFmtId="0" fontId="2" fillId="0" borderId="12" xfId="0" applyFont="1" applyFill="1" applyBorder="1" applyAlignment="1">
      <alignment horizontal="center"/>
    </xf>
    <xf numFmtId="44" fontId="3" fillId="0" borderId="12" xfId="3" applyFont="1" applyFill="1" applyBorder="1"/>
    <xf numFmtId="44" fontId="3" fillId="0" borderId="23" xfId="3" applyFont="1" applyFill="1" applyBorder="1"/>
    <xf numFmtId="44" fontId="3" fillId="0" borderId="24" xfId="3" applyFont="1" applyFill="1" applyBorder="1"/>
    <xf numFmtId="44" fontId="3" fillId="0" borderId="12" xfId="0" applyNumberFormat="1" applyFont="1" applyFill="1" applyBorder="1" applyAlignment="1">
      <alignment horizontal="center" wrapText="1"/>
    </xf>
    <xf numFmtId="44" fontId="3" fillId="0" borderId="23" xfId="0" applyNumberFormat="1" applyFont="1" applyFill="1" applyBorder="1" applyAlignment="1">
      <alignment horizontal="center" wrapText="1"/>
    </xf>
    <xf numFmtId="44" fontId="3" fillId="0" borderId="24" xfId="0" applyNumberFormat="1" applyFont="1" applyFill="1" applyBorder="1" applyAlignment="1">
      <alignment horizontal="center" wrapText="1"/>
    </xf>
    <xf numFmtId="0" fontId="2" fillId="0" borderId="22" xfId="0" applyFont="1" applyFill="1" applyBorder="1"/>
    <xf numFmtId="44" fontId="3" fillId="0" borderId="12" xfId="3" applyFont="1" applyFill="1" applyBorder="1" applyAlignment="1">
      <alignment horizontal="center" wrapText="1"/>
    </xf>
    <xf numFmtId="14" fontId="2" fillId="0" borderId="0" xfId="0" quotePrefix="1" applyNumberFormat="1" applyFont="1" applyFill="1" applyAlignment="1">
      <alignment horizontal="center"/>
    </xf>
    <xf numFmtId="14" fontId="2" fillId="0" borderId="0" xfId="0" applyNumberFormat="1" applyFont="1" applyFill="1" applyBorder="1" applyAlignment="1">
      <alignment horizontal="center" wrapText="1"/>
    </xf>
    <xf numFmtId="14" fontId="2" fillId="0" borderId="12" xfId="0" applyNumberFormat="1" applyFont="1" applyFill="1" applyBorder="1" applyAlignment="1">
      <alignment horizontal="center"/>
    </xf>
    <xf numFmtId="4" fontId="2" fillId="0" borderId="10" xfId="1" applyNumberFormat="1" applyFont="1" applyFill="1" applyBorder="1"/>
    <xf numFmtId="0" fontId="2" fillId="0" borderId="0" xfId="0" applyFont="1" applyFill="1" applyAlignment="1">
      <alignment horizontal="right"/>
    </xf>
    <xf numFmtId="0" fontId="3" fillId="5" borderId="0" xfId="0" quotePrefix="1" applyFont="1" applyFill="1" applyBorder="1" applyAlignment="1">
      <alignment horizontal="center"/>
    </xf>
    <xf numFmtId="0" fontId="3" fillId="0" borderId="12" xfId="0" applyFont="1" applyFill="1" applyBorder="1"/>
    <xf numFmtId="0" fontId="3" fillId="0" borderId="12" xfId="0" applyFont="1" applyFill="1" applyBorder="1" applyAlignment="1">
      <alignment horizontal="center"/>
    </xf>
    <xf numFmtId="164" fontId="3" fillId="0" borderId="12" xfId="0" applyNumberFormat="1" applyFont="1" applyFill="1" applyBorder="1" applyAlignment="1">
      <alignment horizontal="center"/>
    </xf>
    <xf numFmtId="0" fontId="3" fillId="0" borderId="12" xfId="0" applyNumberFormat="1" applyFont="1" applyFill="1" applyBorder="1" applyAlignment="1">
      <alignment horizontal="center"/>
    </xf>
    <xf numFmtId="14" fontId="3" fillId="0" borderId="12" xfId="0" applyNumberFormat="1" applyFont="1" applyFill="1" applyBorder="1" applyAlignment="1">
      <alignment horizontal="center"/>
    </xf>
    <xf numFmtId="0" fontId="3" fillId="8" borderId="4" xfId="0" applyFont="1" applyFill="1" applyBorder="1" applyAlignment="1">
      <alignment horizontal="right"/>
    </xf>
    <xf numFmtId="0" fontId="3" fillId="8" borderId="9" xfId="0" applyFont="1" applyFill="1" applyBorder="1" applyAlignment="1">
      <alignment horizontal="right"/>
    </xf>
    <xf numFmtId="0" fontId="3" fillId="8" borderId="14" xfId="0" applyFont="1" applyFill="1" applyBorder="1" applyAlignment="1">
      <alignment horizontal="center"/>
    </xf>
    <xf numFmtId="0" fontId="2" fillId="9" borderId="13" xfId="0" applyFont="1" applyFill="1" applyBorder="1"/>
    <xf numFmtId="44" fontId="2" fillId="0" borderId="0" xfId="0" applyNumberFormat="1" applyFont="1" applyFill="1" applyAlignment="1">
      <alignment vertical="top" wrapText="1"/>
    </xf>
    <xf numFmtId="0" fontId="2" fillId="0" borderId="0" xfId="0" applyFont="1"/>
    <xf numFmtId="0" fontId="2" fillId="0" borderId="22" xfId="0" applyFont="1" applyBorder="1"/>
    <xf numFmtId="0" fontId="2" fillId="0" borderId="14" xfId="0" applyFont="1" applyBorder="1"/>
    <xf numFmtId="44" fontId="2" fillId="0" borderId="5" xfId="3" applyFont="1" applyFill="1" applyBorder="1"/>
    <xf numFmtId="44" fontId="2" fillId="0" borderId="0" xfId="3" applyFont="1" applyFill="1"/>
    <xf numFmtId="44" fontId="2" fillId="0" borderId="4" xfId="3" applyFont="1" applyFill="1" applyBorder="1"/>
    <xf numFmtId="44" fontId="5" fillId="0" borderId="0" xfId="3" applyFont="1" applyFill="1" applyBorder="1" applyAlignment="1">
      <alignment horizontal="center" wrapText="1"/>
    </xf>
    <xf numFmtId="4" fontId="2" fillId="0" borderId="9" xfId="0" applyNumberFormat="1" applyFont="1" applyFill="1" applyBorder="1"/>
    <xf numFmtId="44" fontId="2" fillId="0" borderId="10" xfId="0" applyNumberFormat="1" applyFont="1" applyFill="1" applyBorder="1" applyAlignment="1">
      <alignment horizontal="center" wrapText="1"/>
    </xf>
    <xf numFmtId="0" fontId="3" fillId="4" borderId="0" xfId="0" applyFont="1" applyFill="1" applyBorder="1" applyAlignment="1">
      <alignment horizontal="center" wrapText="1"/>
    </xf>
    <xf numFmtId="43" fontId="2" fillId="0" borderId="0" xfId="1" applyFont="1" applyFill="1"/>
    <xf numFmtId="44" fontId="3" fillId="0" borderId="0" xfId="0" applyNumberFormat="1" applyFont="1" applyFill="1" applyBorder="1"/>
    <xf numFmtId="44" fontId="2" fillId="0" borderId="4" xfId="0" applyNumberFormat="1" applyFont="1" applyFill="1" applyBorder="1" applyAlignment="1">
      <alignment horizontal="center" wrapText="1"/>
    </xf>
    <xf numFmtId="0" fontId="3" fillId="0" borderId="0" xfId="0" applyFont="1" applyFill="1" applyBorder="1"/>
    <xf numFmtId="44" fontId="3" fillId="0" borderId="0" xfId="0" applyNumberFormat="1" applyFont="1" applyFill="1" applyBorder="1" applyAlignment="1">
      <alignment horizontal="center" wrapText="1"/>
    </xf>
    <xf numFmtId="164" fontId="2" fillId="0" borderId="30" xfId="0" applyNumberFormat="1" applyFont="1" applyFill="1" applyBorder="1" applyAlignment="1">
      <alignment horizontal="center"/>
    </xf>
    <xf numFmtId="0" fontId="2" fillId="5" borderId="22" xfId="0" applyFont="1" applyFill="1" applyBorder="1"/>
    <xf numFmtId="0" fontId="3" fillId="5" borderId="14" xfId="0" quotePrefix="1" applyFont="1" applyFill="1" applyBorder="1" applyAlignment="1">
      <alignment horizontal="center"/>
    </xf>
    <xf numFmtId="0" fontId="2" fillId="5" borderId="15" xfId="0" applyFont="1" applyFill="1" applyBorder="1"/>
    <xf numFmtId="0" fontId="2" fillId="5" borderId="4" xfId="0" applyFont="1" applyFill="1" applyBorder="1"/>
    <xf numFmtId="0" fontId="2" fillId="5" borderId="5" xfId="0" applyFont="1" applyFill="1" applyBorder="1"/>
    <xf numFmtId="4" fontId="2" fillId="5" borderId="4" xfId="1" applyNumberFormat="1" applyFont="1" applyFill="1" applyBorder="1"/>
    <xf numFmtId="44" fontId="2" fillId="5" borderId="5" xfId="0" applyNumberFormat="1" applyFont="1" applyFill="1" applyBorder="1"/>
    <xf numFmtId="0" fontId="3" fillId="0" borderId="0" xfId="0" applyFont="1" applyFill="1" applyBorder="1" applyAlignment="1">
      <alignment horizontal="center"/>
    </xf>
    <xf numFmtId="14" fontId="3" fillId="0" borderId="0" xfId="0" applyNumberFormat="1" applyFont="1" applyFill="1" applyBorder="1" applyAlignment="1">
      <alignment horizontal="center"/>
    </xf>
    <xf numFmtId="0" fontId="3" fillId="0" borderId="0" xfId="0" applyNumberFormat="1" applyFont="1" applyFill="1" applyBorder="1" applyAlignment="1">
      <alignment horizontal="center"/>
    </xf>
    <xf numFmtId="44" fontId="3" fillId="0" borderId="4" xfId="0" applyNumberFormat="1" applyFont="1" applyFill="1" applyBorder="1" applyAlignment="1">
      <alignment horizontal="center" wrapText="1"/>
    </xf>
    <xf numFmtId="44" fontId="3" fillId="0" borderId="5" xfId="0" applyNumberFormat="1" applyFont="1" applyFill="1" applyBorder="1" applyAlignment="1">
      <alignment horizontal="center" wrapText="1"/>
    </xf>
    <xf numFmtId="0" fontId="3" fillId="0" borderId="0" xfId="8" applyFont="1" applyFill="1" applyAlignment="1">
      <alignment horizontal="right"/>
    </xf>
    <xf numFmtId="0" fontId="3" fillId="7" borderId="1" xfId="8" applyFont="1" applyFill="1" applyBorder="1" applyAlignment="1">
      <alignment horizontal="center"/>
    </xf>
    <xf numFmtId="0" fontId="3" fillId="7" borderId="1" xfId="8" applyFont="1" applyFill="1" applyBorder="1" applyAlignment="1">
      <alignment horizontal="center" wrapText="1"/>
    </xf>
    <xf numFmtId="0" fontId="3" fillId="3" borderId="20" xfId="8" applyFont="1" applyFill="1" applyBorder="1" applyAlignment="1">
      <alignment horizontal="center" wrapText="1"/>
    </xf>
    <xf numFmtId="0" fontId="3" fillId="3" borderId="1" xfId="8" applyFont="1" applyFill="1" applyBorder="1" applyAlignment="1">
      <alignment horizontal="center" wrapText="1"/>
    </xf>
    <xf numFmtId="0" fontId="3" fillId="3" borderId="21" xfId="8" applyFont="1" applyFill="1" applyBorder="1" applyAlignment="1">
      <alignment horizontal="center" wrapText="1"/>
    </xf>
    <xf numFmtId="0" fontId="2" fillId="0" borderId="0" xfId="8" quotePrefix="1" applyFont="1" applyFill="1" applyAlignment="1">
      <alignment horizontal="center"/>
    </xf>
    <xf numFmtId="44" fontId="3" fillId="0" borderId="12" xfId="8" applyNumberFormat="1" applyFont="1" applyFill="1" applyBorder="1"/>
    <xf numFmtId="0" fontId="3" fillId="0" borderId="12" xfId="8" applyFont="1" applyFill="1" applyBorder="1"/>
    <xf numFmtId="0" fontId="2" fillId="9" borderId="13" xfId="8" applyFont="1" applyFill="1" applyBorder="1"/>
    <xf numFmtId="0" fontId="3" fillId="8" borderId="14" xfId="8" applyFont="1" applyFill="1" applyBorder="1" applyAlignment="1">
      <alignment horizontal="center"/>
    </xf>
    <xf numFmtId="44" fontId="3" fillId="0" borderId="0" xfId="8" applyNumberFormat="1" applyFont="1" applyFill="1" applyBorder="1" applyAlignment="1">
      <alignment horizontal="center" wrapText="1"/>
    </xf>
    <xf numFmtId="0" fontId="3" fillId="8" borderId="4" xfId="8" applyFont="1" applyFill="1" applyBorder="1" applyAlignment="1">
      <alignment horizontal="right"/>
    </xf>
    <xf numFmtId="164" fontId="2" fillId="0" borderId="16" xfId="8" applyNumberFormat="1" applyFont="1" applyFill="1" applyBorder="1" applyAlignment="1">
      <alignment horizontal="center"/>
    </xf>
    <xf numFmtId="0" fontId="3" fillId="8" borderId="9" xfId="8" applyFont="1" applyFill="1" applyBorder="1" applyAlignment="1">
      <alignment horizontal="right"/>
    </xf>
    <xf numFmtId="164" fontId="2" fillId="0" borderId="18" xfId="8" applyNumberFormat="1" applyFont="1" applyFill="1" applyBorder="1" applyAlignment="1">
      <alignment horizontal="center"/>
    </xf>
    <xf numFmtId="0" fontId="2" fillId="5" borderId="22" xfId="8" applyFont="1" applyFill="1" applyBorder="1"/>
    <xf numFmtId="0" fontId="3" fillId="5" borderId="14" xfId="8" quotePrefix="1" applyFont="1" applyFill="1" applyBorder="1" applyAlignment="1">
      <alignment horizontal="center"/>
    </xf>
    <xf numFmtId="0" fontId="2" fillId="5" borderId="15" xfId="8" applyFont="1" applyFill="1" applyBorder="1"/>
    <xf numFmtId="0" fontId="3" fillId="4" borderId="1" xfId="8" applyFont="1" applyFill="1" applyBorder="1" applyAlignment="1">
      <alignment horizontal="center" wrapText="1"/>
    </xf>
    <xf numFmtId="0" fontId="2" fillId="0" borderId="0" xfId="8" applyFont="1" applyFill="1" applyBorder="1" applyAlignment="1">
      <alignment horizontal="center" wrapText="1"/>
    </xf>
    <xf numFmtId="164" fontId="2" fillId="0" borderId="0" xfId="8" applyNumberFormat="1" applyFont="1" applyFill="1" applyBorder="1" applyAlignment="1">
      <alignment horizontal="center" wrapText="1"/>
    </xf>
    <xf numFmtId="44" fontId="2" fillId="0" borderId="0" xfId="8" applyNumberFormat="1" applyFont="1" applyFill="1" applyBorder="1"/>
    <xf numFmtId="44" fontId="2" fillId="0" borderId="5" xfId="8" applyNumberFormat="1" applyFont="1" applyFill="1" applyBorder="1"/>
    <xf numFmtId="4" fontId="2" fillId="0" borderId="4" xfId="8" applyNumberFormat="1" applyFont="1" applyFill="1" applyBorder="1"/>
    <xf numFmtId="0" fontId="2" fillId="0" borderId="0" xfId="8" applyFont="1" applyFill="1" applyBorder="1"/>
    <xf numFmtId="0" fontId="2" fillId="0" borderId="5" xfId="8" applyFont="1" applyFill="1" applyBorder="1"/>
    <xf numFmtId="0" fontId="3" fillId="0" borderId="12" xfId="8" applyFont="1" applyFill="1" applyBorder="1" applyAlignment="1">
      <alignment horizontal="center"/>
    </xf>
    <xf numFmtId="14" fontId="3" fillId="0" borderId="12" xfId="8" applyNumberFormat="1" applyFont="1" applyFill="1" applyBorder="1" applyAlignment="1">
      <alignment horizontal="center"/>
    </xf>
    <xf numFmtId="0" fontId="3" fillId="0" borderId="12" xfId="8" applyNumberFormat="1" applyFont="1" applyFill="1" applyBorder="1" applyAlignment="1">
      <alignment horizontal="center"/>
    </xf>
    <xf numFmtId="44" fontId="3" fillId="0" borderId="12" xfId="8" applyNumberFormat="1" applyFont="1" applyFill="1" applyBorder="1" applyAlignment="1">
      <alignment horizontal="center" wrapText="1"/>
    </xf>
    <xf numFmtId="44" fontId="3" fillId="0" borderId="23" xfId="8" applyNumberFormat="1" applyFont="1" applyFill="1" applyBorder="1" applyAlignment="1">
      <alignment horizontal="center" wrapText="1"/>
    </xf>
    <xf numFmtId="44" fontId="3" fillId="0" borderId="24" xfId="8" applyNumberFormat="1" applyFont="1" applyFill="1" applyBorder="1" applyAlignment="1">
      <alignment horizontal="center" wrapText="1"/>
    </xf>
    <xf numFmtId="0" fontId="2" fillId="0" borderId="32" xfId="8" applyFont="1" applyFill="1" applyBorder="1"/>
    <xf numFmtId="0" fontId="2" fillId="0" borderId="33" xfId="8" applyFont="1" applyFill="1" applyBorder="1"/>
    <xf numFmtId="0" fontId="2" fillId="0" borderId="34" xfId="8" applyFont="1" applyFill="1" applyBorder="1"/>
    <xf numFmtId="0" fontId="3" fillId="0" borderId="0" xfId="8" applyFont="1" applyFill="1" applyAlignment="1">
      <alignment horizontal="right"/>
    </xf>
    <xf numFmtId="43" fontId="8" fillId="2" borderId="0" xfId="1" applyFont="1" applyFill="1" applyBorder="1" applyAlignment="1">
      <alignment horizontal="center"/>
    </xf>
    <xf numFmtId="0" fontId="3" fillId="0" borderId="0" xfId="8" applyFont="1" applyFill="1" applyAlignment="1">
      <alignment horizontal="right"/>
    </xf>
    <xf numFmtId="14" fontId="2" fillId="0" borderId="0" xfId="0" applyNumberFormat="1" applyFont="1" applyFill="1" applyAlignment="1">
      <alignment horizontal="center" wrapText="1"/>
    </xf>
    <xf numFmtId="44" fontId="2" fillId="0" borderId="0" xfId="4" applyFont="1" applyFill="1" applyBorder="1" applyAlignment="1">
      <alignment horizontal="right"/>
    </xf>
    <xf numFmtId="44" fontId="9" fillId="0" borderId="0" xfId="3" applyNumberFormat="1" applyFont="1" applyFill="1" applyBorder="1" applyAlignment="1">
      <alignment horizontal="right"/>
    </xf>
    <xf numFmtId="0" fontId="2" fillId="0" borderId="32" xfId="0" applyFont="1" applyFill="1" applyBorder="1"/>
    <xf numFmtId="0" fontId="2" fillId="0" borderId="33" xfId="0" applyFont="1" applyFill="1" applyBorder="1"/>
    <xf numFmtId="0" fontId="2" fillId="0" borderId="34" xfId="0" applyFont="1" applyFill="1" applyBorder="1"/>
    <xf numFmtId="0" fontId="2" fillId="0" borderId="28" xfId="8" applyFont="1" applyFill="1" applyBorder="1"/>
    <xf numFmtId="0" fontId="2" fillId="0" borderId="27" xfId="8" applyFont="1" applyFill="1" applyBorder="1"/>
    <xf numFmtId="0" fontId="2" fillId="0" borderId="29" xfId="8" applyFont="1" applyFill="1" applyBorder="1"/>
    <xf numFmtId="0" fontId="8" fillId="0" borderId="0" xfId="8" applyFont="1" applyFill="1" applyBorder="1" applyAlignment="1"/>
    <xf numFmtId="0" fontId="9" fillId="0" borderId="0" xfId="8" applyFont="1" applyFill="1" applyBorder="1"/>
    <xf numFmtId="0" fontId="8" fillId="0" borderId="0" xfId="8" applyFont="1" applyBorder="1" applyAlignment="1"/>
    <xf numFmtId="0" fontId="9" fillId="0" borderId="0" xfId="8" applyFont="1" applyBorder="1"/>
    <xf numFmtId="0" fontId="9" fillId="0" borderId="0" xfId="8" applyFont="1" applyBorder="1" applyAlignment="1">
      <alignment horizontal="right"/>
    </xf>
    <xf numFmtId="0" fontId="9" fillId="0" borderId="0" xfId="8" applyFont="1" applyBorder="1" applyAlignment="1">
      <alignment wrapText="1"/>
    </xf>
    <xf numFmtId="0" fontId="9" fillId="0" borderId="0" xfId="8" applyFont="1" applyFill="1" applyBorder="1" applyAlignment="1">
      <alignment horizontal="right"/>
    </xf>
    <xf numFmtId="0" fontId="8" fillId="2" borderId="0" xfId="8" applyFont="1" applyFill="1" applyBorder="1"/>
    <xf numFmtId="0" fontId="8" fillId="3" borderId="0" xfId="8" applyFont="1" applyFill="1" applyBorder="1"/>
    <xf numFmtId="0" fontId="8" fillId="0" borderId="0" xfId="8" applyFont="1" applyBorder="1"/>
    <xf numFmtId="0" fontId="8" fillId="0" borderId="0" xfId="8" applyFont="1" applyFill="1" applyBorder="1"/>
    <xf numFmtId="0" fontId="8" fillId="0" borderId="0" xfId="8" applyFont="1" applyFill="1" applyBorder="1" applyAlignment="1">
      <alignment horizontal="left" indent="1"/>
    </xf>
    <xf numFmtId="0" fontId="2" fillId="0" borderId="0" xfId="8"/>
    <xf numFmtId="0" fontId="3" fillId="8" borderId="15" xfId="0" applyFont="1" applyFill="1" applyBorder="1" applyAlignment="1">
      <alignment horizontal="center"/>
    </xf>
    <xf numFmtId="164" fontId="2" fillId="0" borderId="17" xfId="0" applyNumberFormat="1" applyFont="1" applyFill="1" applyBorder="1" applyAlignment="1">
      <alignment horizontal="center"/>
    </xf>
    <xf numFmtId="164" fontId="2" fillId="0" borderId="19" xfId="0" applyNumberFormat="1" applyFont="1" applyFill="1" applyBorder="1" applyAlignment="1">
      <alignment horizontal="center"/>
    </xf>
    <xf numFmtId="4" fontId="2" fillId="0" borderId="14" xfId="0" applyNumberFormat="1" applyFont="1" applyFill="1" applyBorder="1"/>
    <xf numFmtId="44" fontId="2" fillId="0" borderId="14" xfId="0" applyNumberFormat="1" applyFont="1" applyFill="1" applyBorder="1" applyAlignment="1">
      <alignment horizontal="center" wrapText="1"/>
    </xf>
    <xf numFmtId="4" fontId="2" fillId="0" borderId="14" xfId="1" applyNumberFormat="1" applyFont="1" applyFill="1" applyBorder="1"/>
    <xf numFmtId="4" fontId="2" fillId="0" borderId="10" xfId="0" applyNumberFormat="1" applyFont="1" applyFill="1" applyBorder="1"/>
    <xf numFmtId="0" fontId="0" fillId="0" borderId="0" xfId="0" applyAlignment="1">
      <alignment wrapText="1"/>
    </xf>
    <xf numFmtId="0" fontId="2" fillId="0" borderId="0" xfId="8" applyFont="1" applyFill="1" applyAlignment="1">
      <alignment wrapText="1"/>
    </xf>
    <xf numFmtId="0" fontId="3" fillId="8" borderId="15" xfId="8" applyFont="1" applyFill="1" applyBorder="1" applyAlignment="1">
      <alignment horizontal="center"/>
    </xf>
    <xf numFmtId="164" fontId="2" fillId="0" borderId="17" xfId="8" applyNumberFormat="1" applyFont="1" applyFill="1" applyBorder="1" applyAlignment="1">
      <alignment horizontal="center"/>
    </xf>
    <xf numFmtId="164" fontId="2" fillId="0" borderId="19" xfId="8" applyNumberFormat="1" applyFont="1" applyFill="1" applyBorder="1" applyAlignment="1">
      <alignment horizontal="center"/>
    </xf>
    <xf numFmtId="44" fontId="3" fillId="0" borderId="14" xfId="0" applyNumberFormat="1" applyFont="1" applyFill="1" applyBorder="1" applyAlignment="1">
      <alignment horizontal="center" wrapText="1"/>
    </xf>
    <xf numFmtId="44" fontId="3" fillId="0" borderId="10" xfId="0" applyNumberFormat="1" applyFont="1" applyFill="1" applyBorder="1" applyAlignment="1">
      <alignment horizontal="center" wrapText="1"/>
    </xf>
    <xf numFmtId="44" fontId="2" fillId="0" borderId="0" xfId="0" applyNumberFormat="1" applyFont="1"/>
    <xf numFmtId="44" fontId="4" fillId="0" borderId="10" xfId="0" applyNumberFormat="1" applyFont="1" applyFill="1" applyBorder="1" applyAlignment="1">
      <alignment horizontal="center" wrapText="1"/>
    </xf>
    <xf numFmtId="4" fontId="4" fillId="0" borderId="10" xfId="1" applyNumberFormat="1" applyFont="1" applyFill="1" applyBorder="1"/>
    <xf numFmtId="44" fontId="2" fillId="0" borderId="32" xfId="0" applyNumberFormat="1" applyFont="1" applyFill="1" applyBorder="1"/>
    <xf numFmtId="44" fontId="2" fillId="0" borderId="33" xfId="0" applyNumberFormat="1" applyFont="1" applyFill="1" applyBorder="1"/>
    <xf numFmtId="44" fontId="2" fillId="0" borderId="34" xfId="0" applyNumberFormat="1" applyFont="1" applyFill="1" applyBorder="1"/>
    <xf numFmtId="164" fontId="2" fillId="0" borderId="31" xfId="0" applyNumberFormat="1" applyFont="1" applyFill="1" applyBorder="1" applyAlignment="1">
      <alignment horizontal="center"/>
    </xf>
    <xf numFmtId="43" fontId="2" fillId="0" borderId="0" xfId="0" applyNumberFormat="1" applyFont="1" applyFill="1" applyAlignment="1">
      <alignment vertical="top"/>
    </xf>
    <xf numFmtId="0" fontId="2" fillId="0" borderId="0" xfId="0" applyFont="1" applyFill="1" applyAlignment="1">
      <alignment vertical="top"/>
    </xf>
    <xf numFmtId="164" fontId="2" fillId="0" borderId="35" xfId="0" applyNumberFormat="1" applyFont="1" applyFill="1" applyBorder="1" applyAlignment="1">
      <alignment horizontal="center"/>
    </xf>
    <xf numFmtId="16" fontId="2" fillId="0" borderId="0" xfId="0" quotePrefix="1" applyNumberFormat="1" applyFont="1" applyFill="1" applyAlignment="1">
      <alignment horizontal="center"/>
    </xf>
    <xf numFmtId="0" fontId="3" fillId="0" borderId="0" xfId="0" applyFont="1" applyFill="1" applyBorder="1" applyAlignment="1"/>
    <xf numFmtId="0" fontId="3" fillId="0" borderId="0" xfId="0" quotePrefix="1" applyFont="1" applyFill="1" applyBorder="1" applyAlignment="1">
      <alignment horizontal="center"/>
    </xf>
    <xf numFmtId="0" fontId="9" fillId="6" borderId="0" xfId="0" applyFont="1" applyFill="1" applyBorder="1" applyAlignment="1">
      <alignment horizontal="right" wrapText="1"/>
    </xf>
    <xf numFmtId="14" fontId="8" fillId="6" borderId="0" xfId="3" applyNumberFormat="1" applyFont="1" applyFill="1" applyBorder="1" applyAlignment="1">
      <alignment horizontal="center" wrapText="1"/>
    </xf>
    <xf numFmtId="44" fontId="8" fillId="6" borderId="0" xfId="3" applyFont="1" applyFill="1" applyBorder="1" applyAlignment="1">
      <alignment horizontal="center" wrapText="1"/>
    </xf>
    <xf numFmtId="44" fontId="8" fillId="6" borderId="0" xfId="3" applyFont="1" applyFill="1" applyBorder="1" applyAlignment="1">
      <alignment horizontal="center"/>
    </xf>
    <xf numFmtId="0" fontId="9" fillId="6" borderId="0" xfId="8" applyFont="1" applyFill="1" applyBorder="1" applyAlignment="1">
      <alignment horizontal="right" wrapText="1"/>
    </xf>
    <xf numFmtId="164" fontId="5" fillId="0" borderId="0" xfId="0" applyNumberFormat="1" applyFont="1" applyFill="1" applyBorder="1" applyAlignment="1">
      <alignment horizontal="center" wrapText="1"/>
    </xf>
    <xf numFmtId="0" fontId="5" fillId="0" borderId="0" xfId="0" applyFont="1" applyFill="1" applyBorder="1" applyAlignment="1">
      <alignment horizontal="center" wrapText="1"/>
    </xf>
    <xf numFmtId="165" fontId="5" fillId="0" borderId="0" xfId="6" applyNumberFormat="1" applyFont="1" applyFill="1" applyBorder="1" applyAlignment="1">
      <alignment horizontal="center" wrapText="1"/>
    </xf>
    <xf numFmtId="44" fontId="5" fillId="0" borderId="4" xfId="3" applyFont="1" applyFill="1" applyBorder="1" applyAlignment="1">
      <alignment horizontal="center" wrapText="1"/>
    </xf>
    <xf numFmtId="44" fontId="5" fillId="0" borderId="0" xfId="0" applyNumberFormat="1" applyFont="1" applyFill="1" applyBorder="1" applyAlignment="1">
      <alignment horizontal="center" wrapText="1"/>
    </xf>
    <xf numFmtId="44" fontId="5" fillId="0" borderId="5" xfId="0" applyNumberFormat="1" applyFont="1" applyFill="1" applyBorder="1" applyAlignment="1">
      <alignment horizontal="center" wrapText="1"/>
    </xf>
    <xf numFmtId="44" fontId="5" fillId="0" borderId="0" xfId="0" applyNumberFormat="1" applyFont="1" applyFill="1" applyBorder="1"/>
    <xf numFmtId="44" fontId="5" fillId="0" borderId="5" xfId="0" applyNumberFormat="1" applyFont="1" applyFill="1" applyBorder="1"/>
    <xf numFmtId="44" fontId="5" fillId="0" borderId="0" xfId="0" applyNumberFormat="1" applyFont="1" applyFill="1"/>
    <xf numFmtId="44" fontId="5" fillId="0" borderId="4" xfId="0" applyNumberFormat="1" applyFont="1" applyFill="1" applyBorder="1" applyAlignment="1">
      <alignment horizontal="center" wrapText="1"/>
    </xf>
    <xf numFmtId="0" fontId="5" fillId="0" borderId="0" xfId="0" applyFont="1" applyFill="1"/>
    <xf numFmtId="0" fontId="3" fillId="0" borderId="0" xfId="0" applyFont="1" applyFill="1" applyBorder="1" applyAlignment="1">
      <alignment vertical="center"/>
    </xf>
    <xf numFmtId="16" fontId="2" fillId="0" borderId="0" xfId="8" quotePrefix="1" applyNumberFormat="1" applyFont="1" applyFill="1" applyAlignment="1">
      <alignment horizontal="center"/>
    </xf>
    <xf numFmtId="0" fontId="3" fillId="0" borderId="0" xfId="0" applyFont="1" applyFill="1" applyAlignment="1">
      <alignment vertical="center"/>
    </xf>
    <xf numFmtId="44" fontId="5" fillId="0" borderId="5" xfId="3" applyFont="1" applyFill="1" applyBorder="1" applyAlignment="1">
      <alignment horizontal="center" wrapText="1"/>
    </xf>
    <xf numFmtId="0" fontId="9" fillId="0" borderId="0" xfId="0" applyFont="1" applyFill="1" applyBorder="1" applyAlignment="1">
      <alignment horizontal="left" vertical="center" wrapText="1" indent="2"/>
    </xf>
    <xf numFmtId="0" fontId="9" fillId="0" borderId="0" xfId="0" applyFont="1" applyFill="1" applyBorder="1" applyAlignment="1">
      <alignment horizontal="left" vertical="top" wrapText="1" indent="1"/>
    </xf>
    <xf numFmtId="0" fontId="7" fillId="0" borderId="0" xfId="8" applyFont="1" applyFill="1" applyBorder="1" applyAlignment="1">
      <alignment horizontal="center"/>
    </xf>
    <xf numFmtId="0" fontId="7" fillId="0" borderId="0" xfId="0" applyFont="1" applyBorder="1" applyAlignment="1">
      <alignment horizontal="center"/>
    </xf>
    <xf numFmtId="44" fontId="8" fillId="6" borderId="0" xfId="3" applyFont="1" applyFill="1" applyBorder="1" applyAlignment="1">
      <alignment horizontal="center"/>
    </xf>
    <xf numFmtId="0" fontId="9" fillId="0" borderId="0" xfId="0" applyFont="1" applyFill="1" applyBorder="1" applyAlignment="1">
      <alignment horizontal="left" indent="2"/>
    </xf>
    <xf numFmtId="0" fontId="9" fillId="0" borderId="0" xfId="8" applyFont="1" applyFill="1" applyBorder="1" applyAlignment="1">
      <alignment horizontal="left" vertical="center" wrapText="1" indent="2"/>
    </xf>
    <xf numFmtId="0" fontId="9" fillId="0" borderId="0" xfId="8" applyFont="1" applyFill="1" applyBorder="1" applyAlignment="1">
      <alignment horizontal="left" vertical="top" wrapText="1" indent="1"/>
    </xf>
    <xf numFmtId="0" fontId="7" fillId="0" borderId="0" xfId="8" applyFont="1" applyBorder="1" applyAlignment="1">
      <alignment horizontal="center"/>
    </xf>
    <xf numFmtId="0" fontId="9" fillId="0" borderId="0" xfId="8" applyFont="1" applyFill="1" applyBorder="1" applyAlignment="1">
      <alignment horizontal="left" indent="2"/>
    </xf>
    <xf numFmtId="0" fontId="3" fillId="0" borderId="2"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26" xfId="0" applyFont="1" applyFill="1" applyBorder="1" applyAlignment="1">
      <alignment horizontal="center"/>
    </xf>
    <xf numFmtId="0" fontId="3" fillId="3" borderId="0" xfId="0" applyFont="1" applyFill="1" applyBorder="1" applyAlignment="1">
      <alignment horizontal="center"/>
    </xf>
    <xf numFmtId="0" fontId="3" fillId="0" borderId="26" xfId="0" applyFont="1" applyFill="1" applyBorder="1" applyAlignment="1">
      <alignment horizontal="center" vertical="center"/>
    </xf>
    <xf numFmtId="0" fontId="3" fillId="0" borderId="0" xfId="0" applyFont="1" applyFill="1" applyBorder="1" applyAlignment="1">
      <alignment horizontal="center" vertical="center"/>
    </xf>
    <xf numFmtId="0" fontId="3" fillId="5" borderId="14" xfId="8" applyFont="1" applyFill="1" applyBorder="1" applyAlignment="1">
      <alignment horizontal="center"/>
    </xf>
    <xf numFmtId="0" fontId="3" fillId="0" borderId="0" xfId="0" applyFont="1" applyFill="1" applyAlignment="1">
      <alignment horizontal="center" vertical="center"/>
    </xf>
    <xf numFmtId="0" fontId="3" fillId="5" borderId="27" xfId="0" applyFont="1" applyFill="1" applyBorder="1" applyAlignment="1">
      <alignment horizontal="center"/>
    </xf>
    <xf numFmtId="0" fontId="3" fillId="5" borderId="14" xfId="0" applyFont="1" applyFill="1" applyBorder="1" applyAlignment="1">
      <alignment horizontal="center"/>
    </xf>
    <xf numFmtId="0" fontId="3" fillId="5" borderId="0" xfId="0" applyFont="1" applyFill="1" applyBorder="1" applyAlignment="1">
      <alignment horizontal="center"/>
    </xf>
    <xf numFmtId="0" fontId="2" fillId="0" borderId="26" xfId="0" applyFont="1" applyFill="1" applyBorder="1" applyAlignment="1">
      <alignment horizontal="center"/>
    </xf>
  </cellXfs>
  <cellStyles count="11">
    <cellStyle name="Comma" xfId="1" builtinId="3"/>
    <cellStyle name="Comma 2" xfId="2"/>
    <cellStyle name="Currency" xfId="3" builtinId="4"/>
    <cellStyle name="Currency 2" xfId="4"/>
    <cellStyle name="Currency 3" xfId="10"/>
    <cellStyle name="Normal" xfId="0" builtinId="0"/>
    <cellStyle name="Normal 2" xfId="5"/>
    <cellStyle name="Normal 2 2" xfId="8"/>
    <cellStyle name="Normal 3" xfId="9"/>
    <cellStyle name="Percent" xfId="6" builtinId="5"/>
    <cellStyle name="Percent 2" xfId="7"/>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6</xdr:col>
      <xdr:colOff>39757</xdr:colOff>
      <xdr:row>136</xdr:row>
      <xdr:rowOff>41316</xdr:rowOff>
    </xdr:from>
    <xdr:ext cx="1013791" cy="490327"/>
    <xdr:sp macro="" textlink="">
      <xdr:nvSpPr>
        <xdr:cNvPr id="7" name="TextBox 6"/>
        <xdr:cNvSpPr txBox="1"/>
      </xdr:nvSpPr>
      <xdr:spPr>
        <a:xfrm>
          <a:off x="6135757" y="17864496"/>
          <a:ext cx="1013791" cy="490327"/>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r>
            <a:rPr lang="en-US" sz="900">
              <a:latin typeface="Arial" panose="020B0604020202020204" pitchFamily="34" charset="0"/>
              <a:cs typeface="Arial" panose="020B0604020202020204" pitchFamily="34" charset="0"/>
            </a:rPr>
            <a:t>Sum is input</a:t>
          </a:r>
          <a:r>
            <a:rPr lang="en-US" sz="900" baseline="0">
              <a:latin typeface="Arial" panose="020B0604020202020204" pitchFamily="34" charset="0"/>
              <a:cs typeface="Arial" panose="020B0604020202020204" pitchFamily="34" charset="0"/>
            </a:rPr>
            <a:t> to Schedule 22, Line 8</a:t>
          </a:r>
          <a:endParaRPr lang="en-US" sz="900">
            <a:latin typeface="Arial" panose="020B0604020202020204" pitchFamily="34" charset="0"/>
            <a:cs typeface="Arial" panose="020B0604020202020204" pitchFamily="34" charset="0"/>
          </a:endParaRPr>
        </a:p>
      </xdr:txBody>
    </xdr:sp>
    <xdr:clientData/>
  </xdr:oneCellAnchor>
  <xdr:oneCellAnchor>
    <xdr:from>
      <xdr:col>7</xdr:col>
      <xdr:colOff>470122</xdr:colOff>
      <xdr:row>136</xdr:row>
      <xdr:rowOff>27869</xdr:rowOff>
    </xdr:from>
    <xdr:ext cx="808382" cy="503875"/>
    <xdr:sp macro="" textlink="">
      <xdr:nvSpPr>
        <xdr:cNvPr id="8" name="TextBox 7"/>
        <xdr:cNvSpPr txBox="1"/>
      </xdr:nvSpPr>
      <xdr:spPr>
        <a:xfrm>
          <a:off x="7533862" y="17851049"/>
          <a:ext cx="808382" cy="503875"/>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square" rtlCol="0" anchor="t">
          <a:noAutofit/>
        </a:bodyPr>
        <a:lstStyle/>
        <a:p>
          <a:r>
            <a:rPr lang="en-US" sz="900">
              <a:latin typeface="Arial" panose="020B0604020202020204" pitchFamily="34" charset="0"/>
              <a:cs typeface="Arial" panose="020B0604020202020204" pitchFamily="34" charset="0"/>
            </a:rPr>
            <a:t>Input to Schedule 22, Line 4</a:t>
          </a:r>
        </a:p>
      </xdr:txBody>
    </xdr:sp>
    <xdr:clientData/>
  </xdr:oneCellAnchor>
  <xdr:twoCellAnchor>
    <xdr:from>
      <xdr:col>6</xdr:col>
      <xdr:colOff>19879</xdr:colOff>
      <xdr:row>134</xdr:row>
      <xdr:rowOff>81831</xdr:rowOff>
    </xdr:from>
    <xdr:to>
      <xdr:col>6</xdr:col>
      <xdr:colOff>546653</xdr:colOff>
      <xdr:row>136</xdr:row>
      <xdr:rowOff>41316</xdr:rowOff>
    </xdr:to>
    <xdr:cxnSp macro="">
      <xdr:nvCxnSpPr>
        <xdr:cNvPr id="9" name="Straight Arrow Connector 8"/>
        <xdr:cNvCxnSpPr>
          <a:stCxn id="7" idx="0"/>
        </xdr:cNvCxnSpPr>
      </xdr:nvCxnSpPr>
      <xdr:spPr>
        <a:xfrm flipH="1" flipV="1">
          <a:off x="6115879" y="17645931"/>
          <a:ext cx="526774" cy="21856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847809</xdr:colOff>
      <xdr:row>133</xdr:row>
      <xdr:rowOff>45720</xdr:rowOff>
    </xdr:from>
    <xdr:to>
      <xdr:col>8</xdr:col>
      <xdr:colOff>492981</xdr:colOff>
      <xdr:row>136</xdr:row>
      <xdr:rowOff>47747</xdr:rowOff>
    </xdr:to>
    <xdr:cxnSp macro="">
      <xdr:nvCxnSpPr>
        <xdr:cNvPr id="10" name="Straight Arrow Connector 9"/>
        <xdr:cNvCxnSpPr/>
      </xdr:nvCxnSpPr>
      <xdr:spPr>
        <a:xfrm flipV="1">
          <a:off x="7911549" y="17480280"/>
          <a:ext cx="536712" cy="390647"/>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133</xdr:row>
      <xdr:rowOff>65599</xdr:rowOff>
    </xdr:from>
    <xdr:to>
      <xdr:col>6</xdr:col>
      <xdr:colOff>540028</xdr:colOff>
      <xdr:row>136</xdr:row>
      <xdr:rowOff>21442</xdr:rowOff>
    </xdr:to>
    <xdr:cxnSp macro="">
      <xdr:nvCxnSpPr>
        <xdr:cNvPr id="11" name="Straight Arrow Connector 10"/>
        <xdr:cNvCxnSpPr/>
      </xdr:nvCxnSpPr>
      <xdr:spPr>
        <a:xfrm flipH="1" flipV="1">
          <a:off x="6096000" y="17500159"/>
          <a:ext cx="540028" cy="344463"/>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oneCellAnchor>
    <xdr:from>
      <xdr:col>7</xdr:col>
      <xdr:colOff>220980</xdr:colOff>
      <xdr:row>96</xdr:row>
      <xdr:rowOff>128917</xdr:rowOff>
    </xdr:from>
    <xdr:ext cx="808382" cy="503875"/>
    <xdr:sp macro="" textlink="">
      <xdr:nvSpPr>
        <xdr:cNvPr id="2" name="TextBox 1"/>
        <xdr:cNvSpPr txBox="1"/>
      </xdr:nvSpPr>
      <xdr:spPr>
        <a:xfrm>
          <a:off x="7185660" y="12770497"/>
          <a:ext cx="808382" cy="503875"/>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square" rtlCol="0" anchor="t">
          <a:noAutofit/>
        </a:bodyPr>
        <a:lstStyle/>
        <a:p>
          <a:r>
            <a:rPr lang="en-US" sz="900">
              <a:latin typeface="Arial" panose="020B0604020202020204" pitchFamily="34" charset="0"/>
              <a:cs typeface="Arial" panose="020B0604020202020204" pitchFamily="34" charset="0"/>
            </a:rPr>
            <a:t>Input to Schedule 22, Line 1</a:t>
          </a:r>
        </a:p>
      </xdr:txBody>
    </xdr:sp>
    <xdr:clientData/>
  </xdr:oneCellAnchor>
  <xdr:twoCellAnchor>
    <xdr:from>
      <xdr:col>7</xdr:col>
      <xdr:colOff>638423</xdr:colOff>
      <xdr:row>94</xdr:row>
      <xdr:rowOff>30480</xdr:rowOff>
    </xdr:from>
    <xdr:to>
      <xdr:col>8</xdr:col>
      <xdr:colOff>343230</xdr:colOff>
      <xdr:row>97</xdr:row>
      <xdr:rowOff>32508</xdr:rowOff>
    </xdr:to>
    <xdr:cxnSp macro="">
      <xdr:nvCxnSpPr>
        <xdr:cNvPr id="3" name="Straight Arrow Connector 2"/>
        <xdr:cNvCxnSpPr/>
      </xdr:nvCxnSpPr>
      <xdr:spPr>
        <a:xfrm flipV="1">
          <a:off x="7603103" y="12412980"/>
          <a:ext cx="596347" cy="39064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5"/>
  <sheetViews>
    <sheetView tabSelected="1" zoomScaleNormal="100" zoomScaleSheetLayoutView="99" workbookViewId="0">
      <selection sqref="A1:F1"/>
    </sheetView>
  </sheetViews>
  <sheetFormatPr defaultColWidth="9.140625" defaultRowHeight="11.25" x14ac:dyDescent="0.2"/>
  <cols>
    <col min="1" max="1" width="24.42578125" style="25" customWidth="1"/>
    <col min="2" max="2" width="12" style="26" customWidth="1"/>
    <col min="3" max="4" width="12.7109375" style="26" customWidth="1"/>
    <col min="5" max="5" width="12.42578125" style="26" customWidth="1"/>
    <col min="6" max="6" width="14.7109375" style="26" customWidth="1"/>
    <col min="7" max="7" width="14.140625" style="26" customWidth="1"/>
    <col min="8" max="8" width="13" style="26" customWidth="1"/>
    <col min="9" max="9" width="14.5703125" style="26" customWidth="1"/>
    <col min="10" max="16384" width="9.140625" style="25"/>
  </cols>
  <sheetData>
    <row r="1" spans="1:9" s="22" customFormat="1" ht="12.75" x14ac:dyDescent="0.2">
      <c r="A1" s="299" t="s">
        <v>127</v>
      </c>
      <c r="B1" s="299"/>
      <c r="C1" s="299"/>
      <c r="D1" s="299"/>
      <c r="E1" s="299"/>
      <c r="F1" s="299"/>
      <c r="G1" s="28"/>
      <c r="H1" s="28"/>
      <c r="I1" s="28"/>
    </row>
    <row r="2" spans="1:9" ht="12.75" x14ac:dyDescent="0.2">
      <c r="A2" s="300">
        <v>2017</v>
      </c>
      <c r="B2" s="300"/>
      <c r="C2" s="300"/>
      <c r="D2" s="300"/>
      <c r="E2" s="300"/>
      <c r="F2" s="300"/>
      <c r="G2" s="29"/>
      <c r="H2" s="29"/>
      <c r="I2" s="29"/>
    </row>
    <row r="3" spans="1:9" x14ac:dyDescent="0.2">
      <c r="A3" s="23"/>
      <c r="B3" s="24"/>
      <c r="C3" s="24"/>
      <c r="D3" s="24"/>
      <c r="E3" s="24"/>
      <c r="F3" s="24"/>
      <c r="G3" s="24"/>
      <c r="H3" s="24"/>
      <c r="I3" s="24"/>
    </row>
    <row r="4" spans="1:9" x14ac:dyDescent="0.2">
      <c r="A4" s="23"/>
      <c r="B4" s="301" t="s">
        <v>29</v>
      </c>
      <c r="C4" s="301"/>
      <c r="D4" s="301"/>
      <c r="E4" s="301"/>
      <c r="F4" s="40"/>
      <c r="G4" s="24"/>
      <c r="H4" s="24"/>
      <c r="I4" s="24"/>
    </row>
    <row r="5" spans="1:9" s="72" customFormat="1" ht="32.25" x14ac:dyDescent="0.2">
      <c r="A5" s="277"/>
      <c r="B5" s="278">
        <f>DATE($A$2,3,31)</f>
        <v>42825</v>
      </c>
      <c r="C5" s="278">
        <f>DATE($A$2,6,30)</f>
        <v>42916</v>
      </c>
      <c r="D5" s="278">
        <f>DATE($A$2,9,30)</f>
        <v>43008</v>
      </c>
      <c r="E5" s="278">
        <f>DATE($A$2,12,31)</f>
        <v>43100</v>
      </c>
      <c r="F5" s="279" t="s">
        <v>0</v>
      </c>
      <c r="G5" s="279" t="s">
        <v>26</v>
      </c>
      <c r="H5" s="279" t="s">
        <v>28</v>
      </c>
      <c r="I5" s="279" t="s">
        <v>27</v>
      </c>
    </row>
    <row r="6" spans="1:9" s="22" customFormat="1" x14ac:dyDescent="0.2">
      <c r="A6" s="41"/>
      <c r="B6" s="42"/>
      <c r="C6" s="42"/>
      <c r="D6" s="42"/>
      <c r="E6" s="42"/>
      <c r="F6" s="21"/>
      <c r="G6" s="21"/>
      <c r="H6" s="21"/>
      <c r="I6" s="21"/>
    </row>
    <row r="7" spans="1:9" x14ac:dyDescent="0.2">
      <c r="A7" s="37" t="s">
        <v>42</v>
      </c>
      <c r="B7" s="38"/>
      <c r="C7" s="38"/>
      <c r="D7" s="38"/>
      <c r="E7" s="38"/>
      <c r="F7" s="39"/>
      <c r="G7" s="39"/>
      <c r="H7" s="39"/>
      <c r="I7" s="39"/>
    </row>
    <row r="8" spans="1:9" x14ac:dyDescent="0.2">
      <c r="A8" s="25" t="s">
        <v>30</v>
      </c>
      <c r="B8" s="24">
        <f>+VLOOKUP(B5,'TOT032'!$D$10:$L$33,9,FALSE)</f>
        <v>671684.15</v>
      </c>
      <c r="C8" s="24">
        <f>+VLOOKUP(C5,'TOT032'!$D$10:$L$33,9,FALSE)</f>
        <v>671684.15</v>
      </c>
      <c r="D8" s="24">
        <f>+VLOOKUP(D5,'TOT032'!$D$10:$L$33,9,FALSE)</f>
        <v>671684.15</v>
      </c>
      <c r="E8" s="24">
        <f>+VLOOKUP(E5,'TOT032'!$D$10:$L$33,9,FALSE)</f>
        <v>671684.15</v>
      </c>
      <c r="F8" s="50">
        <f>SUM(B8:E8)</f>
        <v>2686736.6</v>
      </c>
      <c r="G8" s="24">
        <f>'TOT032'!$C$3</f>
        <v>13433683</v>
      </c>
      <c r="H8" s="24">
        <f>SUMPRODUCT(('TOT032'!$D$10:$D$32&lt;=$E$5)*1,'TOT032'!$L$10:$L$32*1)</f>
        <v>12761998.850000003</v>
      </c>
      <c r="I8" s="73">
        <f>G8-H8</f>
        <v>671684.14999999665</v>
      </c>
    </row>
    <row r="9" spans="1:9" x14ac:dyDescent="0.2">
      <c r="A9" s="25" t="s">
        <v>31</v>
      </c>
      <c r="B9" s="24">
        <f>+VLOOKUP(B5,'TOT032'!$D$10:$L$33,8,FALSE)</f>
        <v>45126.461388421347</v>
      </c>
      <c r="C9" s="24">
        <f>+VLOOKUP(C5,'TOT032'!$D$10:$L$33,8,FALSE)</f>
        <v>40898.831949330503</v>
      </c>
      <c r="D9" s="24">
        <f>+VLOOKUP(D5,'TOT032'!$D$10:$L$33,8,FALSE)</f>
        <v>36051.441372303816</v>
      </c>
      <c r="E9" s="24">
        <f>+VLOOKUP(E5,'TOT032'!$D$10:$L$33,8,FALSE)</f>
        <v>30058.659919456477</v>
      </c>
      <c r="F9" s="50">
        <f>SUM(B9:E9)</f>
        <v>152135.39462951216</v>
      </c>
    </row>
    <row r="10" spans="1:9" x14ac:dyDescent="0.2">
      <c r="A10" s="25" t="s">
        <v>32</v>
      </c>
      <c r="B10" s="24">
        <v>0</v>
      </c>
      <c r="C10" s="24">
        <v>0</v>
      </c>
      <c r="D10" s="24">
        <v>0</v>
      </c>
      <c r="E10" s="24">
        <v>0</v>
      </c>
      <c r="F10" s="50">
        <f>SUM(B10:E10)</f>
        <v>0</v>
      </c>
    </row>
    <row r="11" spans="1:9" x14ac:dyDescent="0.2">
      <c r="A11" s="23"/>
      <c r="B11" s="24"/>
      <c r="C11" s="24"/>
      <c r="D11" s="24"/>
      <c r="E11" s="24"/>
      <c r="F11" s="50"/>
      <c r="G11" s="24"/>
      <c r="H11" s="24"/>
      <c r="I11" s="24"/>
    </row>
    <row r="12" spans="1:9" x14ac:dyDescent="0.2">
      <c r="A12" s="37" t="s">
        <v>39</v>
      </c>
      <c r="B12" s="38"/>
      <c r="C12" s="38"/>
      <c r="D12" s="38"/>
      <c r="E12" s="38"/>
      <c r="F12" s="39"/>
      <c r="G12" s="39"/>
      <c r="H12" s="39"/>
      <c r="I12" s="39"/>
    </row>
    <row r="13" spans="1:9" x14ac:dyDescent="0.2">
      <c r="A13" s="25" t="s">
        <v>30</v>
      </c>
      <c r="B13" s="24">
        <f>+VLOOKUP(B5,'TOT041'!$D$9:$L$31,9,FALSE)</f>
        <v>894591.65</v>
      </c>
      <c r="C13" s="24">
        <f>+VLOOKUP(C5,'TOT041'!$D$9:$L$31,9,FALSE)</f>
        <v>894591.65</v>
      </c>
      <c r="D13" s="24">
        <f>+VLOOKUP(D5,'TOT041'!$D$9:$L$31,9,FALSE)</f>
        <v>894591.65</v>
      </c>
      <c r="E13" s="24">
        <f>+VLOOKUP(E5,'TOT041'!$D$9:$L$31,9,FALSE)</f>
        <v>894591.65</v>
      </c>
      <c r="F13" s="50">
        <f>SUM(B13:E13)</f>
        <v>3578366.6</v>
      </c>
      <c r="G13" s="24">
        <f>'TOT041'!$C$5</f>
        <v>17891833</v>
      </c>
      <c r="H13" s="24">
        <f>SUMPRODUCT(('TOT041'!$D$9:$D$31&lt;=$E$5)*1,'TOT041'!$L$9:$L$31*1)</f>
        <v>16102649.700000005</v>
      </c>
      <c r="I13" s="73">
        <f>G13-H13</f>
        <v>1789183.2999999952</v>
      </c>
    </row>
    <row r="14" spans="1:9" x14ac:dyDescent="0.2">
      <c r="A14" s="25" t="s">
        <v>31</v>
      </c>
      <c r="B14" s="24">
        <f>+VLOOKUP(B5,'TOT041'!$D$9:$L$31,8,FALSE)</f>
        <v>67850.555158328265</v>
      </c>
      <c r="C14" s="24">
        <f>+VLOOKUP(C5,'TOT041'!$D$9:$L$31,8,FALSE)</f>
        <v>62787.642854818907</v>
      </c>
      <c r="D14" s="24">
        <f>+VLOOKUP(D5,'TOT041'!$D$9:$L$31,8,FALSE)</f>
        <v>57002.209468927082</v>
      </c>
      <c r="E14" s="24">
        <f>+VLOOKUP(E5,'TOT041'!$D$9:$L$31,8,FALSE)</f>
        <v>49598.499335367356</v>
      </c>
      <c r="F14" s="50">
        <f>SUM(B14:E14)</f>
        <v>237238.9068174416</v>
      </c>
    </row>
    <row r="15" spans="1:9" x14ac:dyDescent="0.2">
      <c r="A15" s="25" t="s">
        <v>32</v>
      </c>
      <c r="B15" s="24">
        <v>0</v>
      </c>
      <c r="C15" s="24">
        <v>0</v>
      </c>
      <c r="D15" s="24">
        <v>0</v>
      </c>
      <c r="E15" s="24">
        <v>0</v>
      </c>
      <c r="F15" s="50">
        <f>SUM(B15:E15)</f>
        <v>0</v>
      </c>
    </row>
    <row r="16" spans="1:9" x14ac:dyDescent="0.2">
      <c r="A16" s="23"/>
      <c r="B16" s="24"/>
      <c r="C16" s="24"/>
      <c r="D16" s="24"/>
      <c r="E16" s="24"/>
      <c r="F16" s="50"/>
      <c r="G16" s="24"/>
      <c r="H16" s="24"/>
      <c r="I16" s="24"/>
    </row>
    <row r="17" spans="1:9" x14ac:dyDescent="0.2">
      <c r="A17" s="37" t="s">
        <v>40</v>
      </c>
      <c r="B17" s="38"/>
      <c r="C17" s="38"/>
      <c r="D17" s="38"/>
      <c r="E17" s="38"/>
      <c r="F17" s="39"/>
      <c r="G17" s="39"/>
      <c r="H17" s="39"/>
      <c r="I17" s="39"/>
    </row>
    <row r="18" spans="1:9" x14ac:dyDescent="0.2">
      <c r="A18" s="25" t="s">
        <v>30</v>
      </c>
      <c r="B18" s="24">
        <f>+VLOOKUP(B5,'TOT135'!$D$37:$L$59,9,FALSE)</f>
        <v>182500</v>
      </c>
      <c r="C18" s="24">
        <f>+VLOOKUP(C5,'TOT135'!$D$37:$L$59,9,FALSE)</f>
        <v>182500</v>
      </c>
      <c r="D18" s="24">
        <f>+VLOOKUP(D5,'TOT135'!$D$37:$L$59,9,FALSE)</f>
        <v>182500</v>
      </c>
      <c r="E18" s="24">
        <f>+VLOOKUP(E5,'TOT135'!$D$37:$L$59,9,FALSE)</f>
        <v>182500</v>
      </c>
      <c r="F18" s="50">
        <f>SUM(B18:E18)</f>
        <v>730000</v>
      </c>
      <c r="G18" s="24">
        <f>'TOT135'!$C$30</f>
        <v>3650000</v>
      </c>
      <c r="H18" s="24">
        <f>SUMPRODUCT(('TOT135'!$D$37:$D$59&lt;=$E$5)*1,'TOT135'!$L$37:$L$59*1)</f>
        <v>3467500</v>
      </c>
      <c r="I18" s="73">
        <f>G18-H18</f>
        <v>182500</v>
      </c>
    </row>
    <row r="19" spans="1:9" x14ac:dyDescent="0.2">
      <c r="A19" s="25" t="s">
        <v>31</v>
      </c>
      <c r="B19" s="24">
        <f>+VLOOKUP(B5,'TOT135'!$D$37:$L$59,8,FALSE)</f>
        <v>17262.682480678195</v>
      </c>
      <c r="C19" s="24">
        <f>+VLOOKUP(C5,'TOT135'!$D$37:$L$59,8,FALSE)</f>
        <v>16084.515495048225</v>
      </c>
      <c r="D19" s="24">
        <f>+VLOOKUP(D5,'TOT135'!$D$37:$L$59,8,FALSE)</f>
        <v>14733.631831617498</v>
      </c>
      <c r="E19" s="24">
        <f>+VLOOKUP(E5,'TOT135'!$D$37:$L$59,8,FALSE)</f>
        <v>13063.547600829592</v>
      </c>
      <c r="F19" s="50">
        <f>SUM(B19:E19)</f>
        <v>61144.377408173517</v>
      </c>
    </row>
    <row r="20" spans="1:9" x14ac:dyDescent="0.2">
      <c r="A20" s="25" t="s">
        <v>32</v>
      </c>
      <c r="B20" s="24">
        <f>+VLOOKUP(B5,'TOT135'!$B$63:$F$85,4,FALSE)</f>
        <v>1199.4514678205919</v>
      </c>
      <c r="C20" s="24">
        <f>+VLOOKUP(C5,'TOT135'!$B$63:$F$85,4,FALSE)</f>
        <v>1133.3989708642218</v>
      </c>
      <c r="D20" s="24">
        <f>+VLOOKUP(D5,'TOT135'!$B$63:$F$85,4,FALSE)</f>
        <v>1057.6633237484125</v>
      </c>
      <c r="E20" s="24">
        <f>+VLOOKUP(E5,'TOT135'!$B$63:$F$85,4,FALSE)</f>
        <v>964.03208563320163</v>
      </c>
      <c r="F20" s="50">
        <f>SUM(B20:E20)</f>
        <v>4354.5458480664274</v>
      </c>
    </row>
    <row r="21" spans="1:9" x14ac:dyDescent="0.2">
      <c r="A21" s="23"/>
      <c r="B21" s="24"/>
      <c r="C21" s="24"/>
      <c r="D21" s="24"/>
      <c r="E21" s="24"/>
      <c r="F21" s="24"/>
      <c r="G21" s="24"/>
      <c r="H21" s="24"/>
      <c r="I21" s="24"/>
    </row>
    <row r="22" spans="1:9" x14ac:dyDescent="0.2">
      <c r="A22" s="37" t="s">
        <v>41</v>
      </c>
      <c r="B22" s="38"/>
      <c r="C22" s="38"/>
      <c r="D22" s="38"/>
      <c r="E22" s="38"/>
      <c r="F22" s="39"/>
      <c r="G22" s="39"/>
      <c r="H22" s="39"/>
      <c r="I22" s="39"/>
    </row>
    <row r="23" spans="1:9" x14ac:dyDescent="0.2">
      <c r="A23" s="25" t="s">
        <v>30</v>
      </c>
      <c r="B23" s="24">
        <f>+VLOOKUP(B5,'TOT175 (adj)'!$D$70:$L$90,9,FALSE)</f>
        <v>1513136</v>
      </c>
      <c r="C23" s="24">
        <f>+VLOOKUP(C5,'TOT175 (adj)'!$D$70:$L$90,9,FALSE)</f>
        <v>401861</v>
      </c>
      <c r="D23" s="24">
        <f>+VLOOKUP(D5,'TOT175 (adj)'!$D$70:$L$90,9,FALSE)</f>
        <v>401861</v>
      </c>
      <c r="E23" s="24">
        <f>+VLOOKUP(E5,'TOT175 (adj)'!$D$70:$L$90,9,FALSE)</f>
        <v>401861</v>
      </c>
      <c r="F23" s="50">
        <f>SUM(B23:E23)</f>
        <v>2718719</v>
      </c>
      <c r="G23" s="24">
        <f>'TOT175 (adj)'!$C$6</f>
        <v>8037220</v>
      </c>
      <c r="H23" s="24">
        <f>SUMPRODUCT(('TOT175 (adj)'!$D$70:$D$90&lt;=$E$5)*1,'TOT175 (adj)'!$L$70:$L$90*1)</f>
        <v>5224193</v>
      </c>
      <c r="I23" s="73">
        <f>G23-H23</f>
        <v>2813027</v>
      </c>
    </row>
    <row r="24" spans="1:9" x14ac:dyDescent="0.2">
      <c r="A24" s="25" t="s">
        <v>31</v>
      </c>
      <c r="B24" s="24">
        <f>+VLOOKUP(B5,'TOT175 (adj)'!$D$70:$L$90,8,FALSE)</f>
        <v>277361.75549142103</v>
      </c>
      <c r="C24" s="24">
        <f>+VLOOKUP(C5,'TOT175 (adj)'!$D$70:$L$90,8,FALSE)</f>
        <v>53632.745983686065</v>
      </c>
      <c r="D24" s="24">
        <f>+VLOOKUP(D5,'TOT175 (adj)'!$D$70:$L$90,8,FALSE)</f>
        <v>52522.228606496879</v>
      </c>
      <c r="E24" s="24">
        <f>+VLOOKUP(E5,'TOT175 (adj)'!$D$70:$L$90,8,FALSE)</f>
        <v>50462.482736770937</v>
      </c>
      <c r="F24" s="50">
        <f>SUM(B24:E24)</f>
        <v>433979.21281837492</v>
      </c>
    </row>
    <row r="25" spans="1:9" x14ac:dyDescent="0.2">
      <c r="A25" s="25" t="s">
        <v>32</v>
      </c>
      <c r="B25" s="24">
        <v>0</v>
      </c>
      <c r="C25" s="24">
        <v>0</v>
      </c>
      <c r="D25" s="24">
        <v>0</v>
      </c>
      <c r="E25" s="24">
        <v>0</v>
      </c>
      <c r="F25" s="50">
        <f>SUM(B25:E25)</f>
        <v>0</v>
      </c>
    </row>
    <row r="26" spans="1:9" x14ac:dyDescent="0.2">
      <c r="A26" s="23"/>
      <c r="B26" s="24"/>
      <c r="C26" s="24"/>
      <c r="D26" s="24"/>
      <c r="E26" s="24"/>
      <c r="F26" s="50"/>
      <c r="G26" s="24"/>
      <c r="H26" s="24"/>
      <c r="I26" s="24"/>
    </row>
    <row r="27" spans="1:9" x14ac:dyDescent="0.2">
      <c r="A27" s="37" t="s">
        <v>113</v>
      </c>
      <c r="B27" s="38"/>
      <c r="C27" s="38"/>
      <c r="D27" s="38"/>
      <c r="E27" s="38"/>
      <c r="F27" s="39"/>
      <c r="G27" s="39"/>
      <c r="H27" s="39"/>
      <c r="I27" s="39"/>
    </row>
    <row r="28" spans="1:9" x14ac:dyDescent="0.2">
      <c r="A28" s="25" t="s">
        <v>30</v>
      </c>
      <c r="B28" s="24">
        <f>+VLOOKUP($B$5,'TOT211'!$D$22:$L$46,9,FALSE)</f>
        <v>1974800</v>
      </c>
      <c r="C28" s="24">
        <f>+VLOOKUP($C$5,'TOT211'!$D$22:$L$46,9,FALSE)</f>
        <v>1974800</v>
      </c>
      <c r="D28" s="24">
        <f>+VLOOKUP($D$5,'TOT211'!$D$22:$L$46,9,FALSE)</f>
        <v>1974800</v>
      </c>
      <c r="E28" s="24">
        <f>+VLOOKUP($E$5,'TOT211'!$D$22:$L$46,9,FALSE)</f>
        <v>1974800</v>
      </c>
      <c r="F28" s="50">
        <f>SUM(B28:E28)</f>
        <v>7899200</v>
      </c>
      <c r="G28" s="24">
        <f>+'TOT211'!G18</f>
        <v>39496000</v>
      </c>
      <c r="H28" s="24">
        <f>SUMPRODUCT(('TOT211'!$D$22:$D$46&lt;=$E$5)*1,'TOT211'!$L$22:$L$46*1)</f>
        <v>11848800</v>
      </c>
      <c r="I28" s="73">
        <f>G28-H28</f>
        <v>27647200</v>
      </c>
    </row>
    <row r="29" spans="1:9" x14ac:dyDescent="0.2">
      <c r="A29" s="25" t="s">
        <v>31</v>
      </c>
      <c r="B29" s="24">
        <f>+VLOOKUP($B$5,'TOT211'!$D$22:$L$46,8,FALSE)</f>
        <v>401169.04435680446</v>
      </c>
      <c r="C29" s="24">
        <f>+VLOOKUP($C$5,'TOT211'!$D$22:$L$46,8,FALSE)</f>
        <v>405077.53315469471</v>
      </c>
      <c r="D29" s="24">
        <f>+VLOOKUP($D$5,'TOT211'!$D$22:$L$46,8,FALSE)</f>
        <v>410134.28491497505</v>
      </c>
      <c r="E29" s="24">
        <f>+VLOOKUP($E$5,'TOT211'!$D$22:$L$46,8,FALSE)</f>
        <v>409045.74514886236</v>
      </c>
      <c r="F29" s="50">
        <f>SUM(B29:E29)</f>
        <v>1625426.6075753365</v>
      </c>
      <c r="G29" s="74"/>
      <c r="H29" s="75"/>
      <c r="I29" s="75"/>
    </row>
    <row r="30" spans="1:9" x14ac:dyDescent="0.2">
      <c r="A30" s="25" t="s">
        <v>32</v>
      </c>
      <c r="B30" s="24">
        <v>0</v>
      </c>
      <c r="C30" s="24">
        <v>0</v>
      </c>
      <c r="D30" s="24">
        <v>0</v>
      </c>
      <c r="E30" s="24">
        <v>0</v>
      </c>
      <c r="F30" s="50">
        <f>SUM(B30:E30)</f>
        <v>0</v>
      </c>
    </row>
    <row r="31" spans="1:9" x14ac:dyDescent="0.2">
      <c r="B31" s="24"/>
      <c r="C31" s="24"/>
      <c r="D31" s="24"/>
      <c r="E31" s="24"/>
      <c r="F31" s="50"/>
    </row>
    <row r="32" spans="1:9" x14ac:dyDescent="0.2">
      <c r="A32" s="37" t="s">
        <v>47</v>
      </c>
      <c r="B32" s="38"/>
      <c r="C32" s="38"/>
      <c r="D32" s="38"/>
      <c r="E32" s="38"/>
      <c r="F32" s="39"/>
      <c r="G32" s="39"/>
      <c r="H32" s="39"/>
      <c r="I32" s="39"/>
    </row>
    <row r="33" spans="1:9" x14ac:dyDescent="0.2">
      <c r="A33" s="25" t="s">
        <v>30</v>
      </c>
      <c r="B33" s="24">
        <f>+VLOOKUP(B5,'TOT219'!$D$40:$L$63,9,FALSE)</f>
        <v>119750</v>
      </c>
      <c r="C33" s="24">
        <f>+VLOOKUP(C5,'TOT219'!$D$40:$L$63,9,FALSE)</f>
        <v>119750</v>
      </c>
      <c r="D33" s="24">
        <f>+VLOOKUP(D5,'TOT219'!$D$40:$L$63,9,FALSE)</f>
        <v>119750</v>
      </c>
      <c r="E33" s="24">
        <f>+VLOOKUP(E5,'TOT219'!$D$40:$L$63,9,FALSE)</f>
        <v>119750</v>
      </c>
      <c r="F33" s="50">
        <f>SUM(B33:E33)</f>
        <v>479000</v>
      </c>
      <c r="G33" s="24">
        <f>+'TOT219'!$F$36</f>
        <v>2395000</v>
      </c>
      <c r="H33" s="24">
        <f>SUMPRODUCT(('TOT219'!$D$40:$D$63&lt;=$E$5)*1,'TOT219'!$L$40:$L$63*1)</f>
        <v>1317250</v>
      </c>
      <c r="I33" s="73">
        <f>G33-H33</f>
        <v>1077750</v>
      </c>
    </row>
    <row r="34" spans="1:9" x14ac:dyDescent="0.2">
      <c r="A34" s="25" t="s">
        <v>31</v>
      </c>
      <c r="B34" s="24">
        <f>+VLOOKUP(B5,'TOT219'!$D$40:$L$63,8,FALSE)</f>
        <v>17136.594126459047</v>
      </c>
      <c r="C34" s="24">
        <f>+VLOOKUP(C5,'TOT219'!$D$40:$L$63,8,FALSE)</f>
        <v>16989.304893020355</v>
      </c>
      <c r="D34" s="24">
        <f>+VLOOKUP(D5,'TOT219'!$D$40:$L$63,8,FALSE)</f>
        <v>16841.611018830456</v>
      </c>
      <c r="E34" s="24">
        <f>+VLOOKUP(E5,'TOT219'!$D$40:$L$63,8,FALSE)</f>
        <v>16388.683137981436</v>
      </c>
      <c r="F34" s="50">
        <f>SUM(B34:E34)</f>
        <v>67356.193176291301</v>
      </c>
    </row>
    <row r="35" spans="1:9" x14ac:dyDescent="0.2">
      <c r="A35" s="25" t="s">
        <v>32</v>
      </c>
      <c r="B35" s="24">
        <v>0</v>
      </c>
      <c r="C35" s="24">
        <v>0</v>
      </c>
      <c r="D35" s="24">
        <v>0</v>
      </c>
      <c r="E35" s="24">
        <v>0</v>
      </c>
      <c r="F35" s="50">
        <f>SUM(B35:E35)</f>
        <v>0</v>
      </c>
    </row>
    <row r="36" spans="1:9" x14ac:dyDescent="0.2">
      <c r="A36" s="23"/>
      <c r="B36" s="24"/>
      <c r="C36" s="24"/>
      <c r="D36" s="24"/>
      <c r="E36" s="24"/>
      <c r="F36" s="50"/>
      <c r="G36" s="24"/>
      <c r="H36" s="24"/>
      <c r="I36" s="24"/>
    </row>
    <row r="37" spans="1:9" x14ac:dyDescent="0.2">
      <c r="A37" s="37" t="s">
        <v>109</v>
      </c>
      <c r="B37" s="38"/>
      <c r="C37" s="38"/>
      <c r="D37" s="38"/>
      <c r="E37" s="38"/>
      <c r="F37" s="39"/>
      <c r="G37" s="39"/>
      <c r="H37" s="39"/>
      <c r="I37" s="39"/>
    </row>
    <row r="38" spans="1:9" x14ac:dyDescent="0.2">
      <c r="A38" s="25" t="s">
        <v>30</v>
      </c>
      <c r="B38" s="24">
        <f>+VLOOKUP($B$5,'TOT223'!$D$10:$L$34,9,FALSE)</f>
        <v>120500</v>
      </c>
      <c r="C38" s="24">
        <f>+VLOOKUP($C$5,'TOT223'!$D$10:$L$34,9,FALSE)</f>
        <v>120500</v>
      </c>
      <c r="D38" s="24">
        <f>+VLOOKUP($D$5,'TOT223'!$D$10:$L$34,9,FALSE)</f>
        <v>120500</v>
      </c>
      <c r="E38" s="24">
        <f>+VLOOKUP($E$5,'TOT223'!$D$10:$L$34,9,FALSE)</f>
        <v>120500</v>
      </c>
      <c r="F38" s="50">
        <f>SUM(B38:E38)</f>
        <v>482000</v>
      </c>
      <c r="G38" s="24">
        <f>+'TOT223'!$C$3</f>
        <v>2410000</v>
      </c>
      <c r="H38" s="24">
        <f>SUMPRODUCT(('TOT223'!$D$10:$D$34&lt;=$E$5)*1,'TOT223'!$L$10:$L$34*1)</f>
        <v>843500</v>
      </c>
      <c r="I38" s="73">
        <f>G38-H38</f>
        <v>1566500</v>
      </c>
    </row>
    <row r="39" spans="1:9" x14ac:dyDescent="0.2">
      <c r="A39" s="25" t="s">
        <v>31</v>
      </c>
      <c r="B39" s="24">
        <f>+VLOOKUP($B$5,'TOT223'!$D$10:$L$34,8,FALSE)</f>
        <v>24343.781528053558</v>
      </c>
      <c r="C39" s="24">
        <f>+VLOOKUP($C$5,'TOT223'!$D$10:$L$34,8,FALSE)</f>
        <v>24505.599595769527</v>
      </c>
      <c r="D39" s="24">
        <f>+VLOOKUP($D$5,'TOT223'!$D$10:$L$34,8,FALSE)</f>
        <v>24723.756374828859</v>
      </c>
      <c r="E39" s="24">
        <f>+VLOOKUP($E$5,'TOT223'!$D$10:$L$34,8,FALSE)</f>
        <v>24577.303410206543</v>
      </c>
      <c r="F39" s="50">
        <f>SUM(B39:E39)</f>
        <v>98150.440908858494</v>
      </c>
      <c r="G39" s="74"/>
      <c r="H39" s="75"/>
      <c r="I39" s="75"/>
    </row>
    <row r="40" spans="1:9" x14ac:dyDescent="0.2">
      <c r="A40" s="25" t="s">
        <v>32</v>
      </c>
      <c r="B40" s="24">
        <v>0</v>
      </c>
      <c r="C40" s="24">
        <v>0</v>
      </c>
      <c r="D40" s="24">
        <v>0</v>
      </c>
      <c r="E40" s="24">
        <v>0</v>
      </c>
      <c r="F40" s="50">
        <f>SUM(B40:E40)</f>
        <v>0</v>
      </c>
    </row>
    <row r="41" spans="1:9" x14ac:dyDescent="0.2">
      <c r="B41" s="24"/>
      <c r="C41" s="24"/>
      <c r="D41" s="24"/>
      <c r="E41" s="24"/>
      <c r="F41" s="50"/>
    </row>
    <row r="42" spans="1:9" x14ac:dyDescent="0.2">
      <c r="A42" s="37" t="s">
        <v>33</v>
      </c>
      <c r="B42" s="38"/>
      <c r="C42" s="38"/>
      <c r="D42" s="38"/>
      <c r="E42" s="38"/>
      <c r="F42" s="39"/>
      <c r="G42" s="39"/>
      <c r="H42" s="39"/>
      <c r="I42" s="39"/>
    </row>
    <row r="43" spans="1:9" x14ac:dyDescent="0.2">
      <c r="A43" s="25" t="s">
        <v>30</v>
      </c>
      <c r="B43" s="24">
        <f>+VLOOKUP(B5,'TOT278'!$D$10:$L$31,9,FALSE)</f>
        <v>459750</v>
      </c>
      <c r="C43" s="24">
        <f>+VLOOKUP(C5,'TOT278'!$D$10:$L$31,9,FALSE)</f>
        <v>459750</v>
      </c>
      <c r="D43" s="24">
        <f>+VLOOKUP(D5,'TOT278'!$D$10:$L$31,9,FALSE)</f>
        <v>459750</v>
      </c>
      <c r="E43" s="24">
        <f>+VLOOKUP(E5,'TOT278'!$D$10:$L$31,9,FALSE)</f>
        <v>459750</v>
      </c>
      <c r="F43" s="50">
        <f>SUM(B43:E43)</f>
        <v>1839000</v>
      </c>
      <c r="G43" s="24">
        <f>'TOT278'!$C$3</f>
        <v>9195000</v>
      </c>
      <c r="H43" s="24">
        <f>SUMPRODUCT(('TOT278'!$D$10:$D$31&lt;=$E$5)*1,'TOT278'!$L$10:$L$31*1)</f>
        <v>9195000</v>
      </c>
      <c r="I43" s="73">
        <f>G43-H43</f>
        <v>0</v>
      </c>
    </row>
    <row r="44" spans="1:9" x14ac:dyDescent="0.2">
      <c r="A44" s="25" t="s">
        <v>31</v>
      </c>
      <c r="B44" s="24">
        <f>+VLOOKUP(B5,'TOT278'!$D$10:$L$31,8,FALSE)</f>
        <v>21512.923094487654</v>
      </c>
      <c r="C44" s="24">
        <f>+VLOOKUP(C5,'TOT278'!$D$10:$L$31,8,FALSE)</f>
        <v>18362.664707271964</v>
      </c>
      <c r="D44" s="24">
        <f>+VLOOKUP(D5,'TOT278'!$D$10:$L$31,8,FALSE)</f>
        <v>14740.574926704636</v>
      </c>
      <c r="E44" s="24">
        <f>+VLOOKUP(E5,'TOT278'!$D$10:$L$31,8,FALSE)</f>
        <v>10390.345559368554</v>
      </c>
      <c r="F44" s="50">
        <f>SUM(B44:E44)</f>
        <v>65006.50828783281</v>
      </c>
    </row>
    <row r="45" spans="1:9" x14ac:dyDescent="0.2">
      <c r="A45" s="25" t="s">
        <v>32</v>
      </c>
      <c r="B45" s="24">
        <v>0</v>
      </c>
      <c r="C45" s="24">
        <v>0</v>
      </c>
      <c r="D45" s="24">
        <v>0</v>
      </c>
      <c r="E45" s="24">
        <v>0</v>
      </c>
      <c r="F45" s="50">
        <f>SUM(B45:E45)</f>
        <v>0</v>
      </c>
    </row>
    <row r="46" spans="1:9" x14ac:dyDescent="0.2">
      <c r="A46" s="23"/>
      <c r="B46" s="24"/>
      <c r="C46" s="24"/>
      <c r="D46" s="24"/>
      <c r="E46" s="24"/>
      <c r="F46" s="50"/>
      <c r="G46" s="24"/>
      <c r="H46" s="24"/>
      <c r="I46" s="24"/>
    </row>
    <row r="47" spans="1:9" x14ac:dyDescent="0.2">
      <c r="A47" s="37" t="s">
        <v>112</v>
      </c>
      <c r="B47" s="38"/>
      <c r="C47" s="38"/>
      <c r="D47" s="38"/>
      <c r="E47" s="38"/>
      <c r="F47" s="39"/>
      <c r="G47" s="39"/>
      <c r="H47" s="39"/>
      <c r="I47" s="39"/>
    </row>
    <row r="48" spans="1:9" x14ac:dyDescent="0.2">
      <c r="A48" s="25" t="s">
        <v>30</v>
      </c>
      <c r="B48" s="24">
        <f>+VLOOKUP($B$5,'TOT381'!$D$26:$L$49,9,FALSE)</f>
        <v>3166350</v>
      </c>
      <c r="C48" s="24">
        <f>+VLOOKUP($C$5,'TOT381'!$D$26:$L$49,9,FALSE)</f>
        <v>3166350</v>
      </c>
      <c r="D48" s="24">
        <f>+VLOOKUP($D$5,'TOT381'!$D$26:$L$49,9,FALSE)</f>
        <v>3166350</v>
      </c>
      <c r="E48" s="24">
        <f>+VLOOKUP($E$5,'TOT381'!$D$26:$L$49,9,FALSE)</f>
        <v>3166350</v>
      </c>
      <c r="F48" s="50">
        <f>SUM(B48:E48)</f>
        <v>12665400</v>
      </c>
      <c r="G48" s="24">
        <f>+'TOT381'!C22</f>
        <v>63327000</v>
      </c>
      <c r="H48" s="24">
        <f>SUMPRODUCT(('TOT381'!$D$26:$D$49&lt;=$E$5)*1,'TOT381'!$L$26:$L$49*1)</f>
        <v>18998100</v>
      </c>
      <c r="I48" s="73">
        <f>G48-H48</f>
        <v>44328900</v>
      </c>
    </row>
    <row r="49" spans="1:9" x14ac:dyDescent="0.2">
      <c r="A49" s="25" t="s">
        <v>31</v>
      </c>
      <c r="B49" s="24">
        <f>+VLOOKUP($B$5,'TOT381'!$D$26:$L$49,8,FALSE)</f>
        <v>608930.77610301855</v>
      </c>
      <c r="C49" s="24">
        <f>+VLOOKUP($C$5,'TOT381'!$D$26:$L$49,8,FALSE)</f>
        <v>615141.1443135537</v>
      </c>
      <c r="D49" s="24">
        <f>+VLOOKUP($D$5,'TOT381'!$D$26:$L$49,8,FALSE)</f>
        <v>623176.03759444645</v>
      </c>
      <c r="E49" s="24">
        <f>+VLOOKUP($E$5,'TOT381'!$D$26:$L$49,8,FALSE)</f>
        <v>621446.40931381308</v>
      </c>
      <c r="F49" s="50">
        <f>SUM(B49:E49)</f>
        <v>2468694.3673248319</v>
      </c>
      <c r="G49" s="74"/>
      <c r="H49" s="75"/>
      <c r="I49" s="75"/>
    </row>
    <row r="50" spans="1:9" x14ac:dyDescent="0.2">
      <c r="A50" s="25" t="s">
        <v>32</v>
      </c>
      <c r="B50" s="24">
        <v>0</v>
      </c>
      <c r="C50" s="24">
        <v>0</v>
      </c>
      <c r="D50" s="24">
        <v>0</v>
      </c>
      <c r="E50" s="24">
        <v>0</v>
      </c>
      <c r="F50" s="50">
        <f>SUM(B50:E50)</f>
        <v>0</v>
      </c>
    </row>
    <row r="51" spans="1:9" x14ac:dyDescent="0.2">
      <c r="B51" s="24"/>
      <c r="C51" s="24"/>
      <c r="D51" s="24"/>
      <c r="E51" s="24"/>
      <c r="F51" s="50"/>
    </row>
    <row r="52" spans="1:9" x14ac:dyDescent="0.2">
      <c r="A52" s="37" t="s">
        <v>114</v>
      </c>
      <c r="B52" s="38"/>
      <c r="C52" s="38"/>
      <c r="D52" s="38"/>
      <c r="E52" s="38"/>
      <c r="F52" s="39"/>
      <c r="G52" s="39"/>
      <c r="H52" s="39"/>
      <c r="I52" s="39"/>
    </row>
    <row r="53" spans="1:9" x14ac:dyDescent="0.2">
      <c r="A53" s="25" t="s">
        <v>30</v>
      </c>
      <c r="B53" s="24">
        <v>0</v>
      </c>
      <c r="C53" s="24">
        <v>0</v>
      </c>
      <c r="D53" s="24">
        <v>3090500</v>
      </c>
      <c r="E53" s="24">
        <v>309050</v>
      </c>
      <c r="F53" s="50">
        <f>SUM(B53:E53)</f>
        <v>3399550</v>
      </c>
      <c r="G53" s="24">
        <v>6181000</v>
      </c>
      <c r="H53" s="24">
        <v>3399550</v>
      </c>
      <c r="I53" s="73">
        <f>G53-H53</f>
        <v>2781450</v>
      </c>
    </row>
    <row r="54" spans="1:9" x14ac:dyDescent="0.2">
      <c r="A54" s="25" t="s">
        <v>31</v>
      </c>
      <c r="B54" s="24">
        <v>0</v>
      </c>
      <c r="C54" s="24">
        <v>0</v>
      </c>
      <c r="D54" s="24">
        <v>245481.54237137488</v>
      </c>
      <c r="E54" s="24">
        <v>52725.906953538957</v>
      </c>
      <c r="F54" s="50">
        <f>SUM(B54:E54)</f>
        <v>298207.44932491385</v>
      </c>
      <c r="G54" s="74"/>
      <c r="H54" s="75"/>
      <c r="I54" s="75"/>
    </row>
    <row r="55" spans="1:9" x14ac:dyDescent="0.2">
      <c r="A55" s="25" t="s">
        <v>32</v>
      </c>
      <c r="B55" s="24">
        <v>0</v>
      </c>
      <c r="C55" s="24">
        <v>0</v>
      </c>
      <c r="D55" s="24">
        <v>0</v>
      </c>
      <c r="E55" s="24">
        <v>0</v>
      </c>
      <c r="F55" s="50">
        <f>SUM(B55:E55)</f>
        <v>0</v>
      </c>
    </row>
    <row r="56" spans="1:9" x14ac:dyDescent="0.2">
      <c r="B56" s="24"/>
      <c r="C56" s="24"/>
      <c r="D56" s="24"/>
      <c r="E56" s="24"/>
      <c r="F56" s="50"/>
    </row>
    <row r="57" spans="1:9" x14ac:dyDescent="0.2">
      <c r="A57" s="37" t="s">
        <v>123</v>
      </c>
      <c r="B57" s="38"/>
      <c r="C57" s="38"/>
      <c r="D57" s="38"/>
      <c r="E57" s="38"/>
      <c r="F57" s="39"/>
      <c r="G57" s="39"/>
      <c r="H57" s="39"/>
      <c r="I57" s="39"/>
    </row>
    <row r="58" spans="1:9" x14ac:dyDescent="0.2">
      <c r="A58" s="25" t="s">
        <v>30</v>
      </c>
      <c r="B58" s="24">
        <f>+VLOOKUP($B$5,'TOT411 (Phase 1&amp;2)'!$D$20:$L$40,9,FALSE)</f>
        <v>0</v>
      </c>
      <c r="C58" s="24">
        <f>+VLOOKUP($C$5,'TOT411 (Phase 1&amp;2)'!$D$20:$L$40,9,FALSE)</f>
        <v>257591.27699999997</v>
      </c>
      <c r="D58" s="24">
        <f>+VLOOKUP($D$5,'TOT411 (Phase 1&amp;2)'!$D$20:$L$40,9,FALSE)</f>
        <v>85863.758999999991</v>
      </c>
      <c r="E58" s="24">
        <f>+VLOOKUP($E$5,'TOT411 (Phase 1&amp;2)'!$D$20:$L$40,9,FALSE)</f>
        <v>85863.758999999991</v>
      </c>
      <c r="F58" s="50">
        <f>SUM(B58:E58)</f>
        <v>429318.79499999993</v>
      </c>
      <c r="G58" s="24">
        <f>+'TOT411 (Phase 1&amp;2)'!C16</f>
        <v>1717275.18</v>
      </c>
      <c r="H58" s="24">
        <f>SUMPRODUCT(('TOT411 (Phase 1&amp;2)'!$D$20:$D$40&lt;=$E$5)*1,'TOT411 (Phase 1&amp;2)'!$L$20:$L$40*1)</f>
        <v>429318.79499999993</v>
      </c>
      <c r="I58" s="73">
        <f>G58-H58</f>
        <v>1287956.385</v>
      </c>
    </row>
    <row r="59" spans="1:9" x14ac:dyDescent="0.2">
      <c r="A59" s="25" t="s">
        <v>31</v>
      </c>
      <c r="B59" s="24">
        <v>0</v>
      </c>
      <c r="C59" s="24">
        <f>+SUM('TOT411 (Phase 1&amp;2)'!J21:J22)</f>
        <v>31092.184054166515</v>
      </c>
      <c r="D59" s="24">
        <f>+VLOOKUP($D$5,'TOT411 (Phase 1&amp;2)'!$D$20:$L$40,8,FALSE)</f>
        <v>15386.009336031009</v>
      </c>
      <c r="E59" s="24">
        <f>+VLOOKUP($E$5,'TOT411 (Phase 1&amp;2)'!$D$20:$L$40,8,FALSE)</f>
        <v>15394.736652159121</v>
      </c>
      <c r="F59" s="50">
        <f>SUM(B59:E59)</f>
        <v>61872.930042356646</v>
      </c>
      <c r="G59" s="74"/>
      <c r="H59" s="75"/>
      <c r="I59" s="75"/>
    </row>
    <row r="60" spans="1:9" x14ac:dyDescent="0.2">
      <c r="A60" s="25" t="s">
        <v>32</v>
      </c>
      <c r="B60" s="24">
        <v>0</v>
      </c>
      <c r="C60" s="24">
        <v>0</v>
      </c>
      <c r="D60" s="24">
        <v>0</v>
      </c>
      <c r="E60" s="24">
        <v>0</v>
      </c>
      <c r="F60" s="50">
        <f>SUM(B60:E60)</f>
        <v>0</v>
      </c>
    </row>
    <row r="61" spans="1:9" x14ac:dyDescent="0.2">
      <c r="A61" s="23"/>
      <c r="B61" s="24"/>
      <c r="C61" s="24"/>
      <c r="D61" s="24"/>
      <c r="E61" s="24"/>
      <c r="F61" s="50"/>
      <c r="G61" s="24"/>
      <c r="H61" s="24"/>
      <c r="I61" s="24"/>
    </row>
    <row r="62" spans="1:9" x14ac:dyDescent="0.2">
      <c r="A62" s="37" t="s">
        <v>21</v>
      </c>
      <c r="B62" s="38"/>
      <c r="C62" s="38"/>
      <c r="D62" s="38"/>
      <c r="E62" s="38"/>
      <c r="F62" s="39"/>
      <c r="G62" s="39"/>
      <c r="H62" s="39"/>
      <c r="I62" s="39"/>
    </row>
    <row r="63" spans="1:9" x14ac:dyDescent="0.2">
      <c r="A63" s="25" t="s">
        <v>30</v>
      </c>
      <c r="B63" s="24">
        <f>+VLOOKUP(B5,'TOT455'!$D$28:$L$55,9,FALSE)</f>
        <v>37319.25</v>
      </c>
      <c r="C63" s="24">
        <f>+VLOOKUP(C5,'TOT455'!$D$28:$L$55,9,FALSE)</f>
        <v>37319.25</v>
      </c>
      <c r="D63" s="24">
        <f>+VLOOKUP(D5,'TOT455'!$D$28:$L$55,9,FALSE)</f>
        <v>37319.25</v>
      </c>
      <c r="E63" s="24">
        <f>+VLOOKUP(E5,'TOT455'!$D$28:$L$55,9,FALSE)</f>
        <v>37319.25</v>
      </c>
      <c r="F63" s="50">
        <f>SUM(B63:E63)</f>
        <v>149277</v>
      </c>
      <c r="G63" s="24">
        <f>'TOT455'!$C$21</f>
        <v>746385</v>
      </c>
      <c r="H63" s="24">
        <f>SUMPRODUCT(('TOT455'!$D$28:$D$55&lt;=$E$5)*1,'TOT455'!$L$28:$L$55*1)</f>
        <v>634427.25</v>
      </c>
      <c r="I63" s="73">
        <f>G63-H63</f>
        <v>111957.75</v>
      </c>
    </row>
    <row r="64" spans="1:9" x14ac:dyDescent="0.2">
      <c r="A64" s="25" t="s">
        <v>31</v>
      </c>
      <c r="B64" s="24">
        <f>+VLOOKUP(B5,'TOT455'!$D$28:$L$55,8,FALSE)</f>
        <v>4613.4582376731869</v>
      </c>
      <c r="C64" s="24">
        <f>+VLOOKUP(C5,'TOT455'!$D$28:$L$55,8,FALSE)</f>
        <v>4445.0288844673814</v>
      </c>
      <c r="D64" s="24">
        <f>+VLOOKUP(D5,'TOT455'!$D$28:$L$55,8,FALSE)</f>
        <v>4254.4403194763172</v>
      </c>
      <c r="E64" s="24">
        <f>+VLOOKUP(E5,'TOT455'!$D$28:$L$55,8,FALSE)</f>
        <v>3986.5094425461098</v>
      </c>
      <c r="F64" s="50">
        <f>SUM(B64:E64)</f>
        <v>17299.436884162995</v>
      </c>
    </row>
    <row r="65" spans="1:9" x14ac:dyDescent="0.2">
      <c r="A65" s="25" t="s">
        <v>32</v>
      </c>
      <c r="B65" s="24">
        <v>0</v>
      </c>
      <c r="C65" s="24">
        <v>0</v>
      </c>
      <c r="D65" s="24">
        <v>0</v>
      </c>
      <c r="E65" s="24">
        <v>0</v>
      </c>
      <c r="F65" s="50">
        <f>SUM(B65:E65)</f>
        <v>0</v>
      </c>
    </row>
    <row r="66" spans="1:9" x14ac:dyDescent="0.2">
      <c r="A66" s="23"/>
      <c r="B66" s="24"/>
      <c r="C66" s="24"/>
      <c r="D66" s="24"/>
      <c r="E66" s="24"/>
      <c r="F66" s="50"/>
      <c r="G66" s="24"/>
      <c r="H66" s="24"/>
      <c r="I66" s="24"/>
    </row>
    <row r="67" spans="1:9" x14ac:dyDescent="0.2">
      <c r="A67" s="37" t="s">
        <v>43</v>
      </c>
      <c r="B67" s="38"/>
      <c r="C67" s="38"/>
      <c r="D67" s="38"/>
      <c r="E67" s="38"/>
      <c r="F67" s="39"/>
      <c r="G67" s="39"/>
      <c r="H67" s="39"/>
      <c r="I67" s="39"/>
    </row>
    <row r="68" spans="1:9" x14ac:dyDescent="0.2">
      <c r="A68" s="25" t="s">
        <v>30</v>
      </c>
      <c r="B68" s="24">
        <f>+VLOOKUP(B5,'TOT508'!$D$10:$L$30,9,FALSE)</f>
        <v>56750</v>
      </c>
      <c r="C68" s="24">
        <f>+VLOOKUP(C5,'TOT508'!$D$10:$L$30,9,FALSE)</f>
        <v>56750</v>
      </c>
      <c r="D68" s="24">
        <f>+VLOOKUP(D5,'TOT508'!$D$10:$L$30,9,FALSE)</f>
        <v>56750</v>
      </c>
      <c r="E68" s="24">
        <f>+VLOOKUP(E5,'TOT508'!$D$10:$L$30,9,FALSE)</f>
        <v>56750</v>
      </c>
      <c r="F68" s="50">
        <f>SUM(B68:E68)</f>
        <v>227000</v>
      </c>
      <c r="G68" s="24">
        <f>'TOT508'!$C$3</f>
        <v>1135000</v>
      </c>
      <c r="H68" s="24">
        <f>SUMPRODUCT(('TOT508'!$D$10:$D$30&lt;=$E$5)*1,'TOT508'!$L$10:$L$30*1)</f>
        <v>737750</v>
      </c>
      <c r="I68" s="73">
        <f>G68-H68</f>
        <v>397250</v>
      </c>
    </row>
    <row r="69" spans="1:9" x14ac:dyDescent="0.2">
      <c r="A69" s="25" t="s">
        <v>31</v>
      </c>
      <c r="B69" s="24">
        <f>+VLOOKUP(B5,'TOT508'!$D$10:$L$30,8,FALSE)</f>
        <v>5691.6658531150288</v>
      </c>
      <c r="C69" s="24">
        <f>+VLOOKUP(C5,'TOT508'!$D$10:$L$30,8,FALSE)</f>
        <v>5552.76771488553</v>
      </c>
      <c r="D69" s="24">
        <f>+VLOOKUP(D5,'TOT508'!$D$10:$L$30,8,FALSE)</f>
        <v>5400.870335822854</v>
      </c>
      <c r="E69" s="24">
        <f>+VLOOKUP(E5,'TOT508'!$D$10:$L$30,8,FALSE)</f>
        <v>5119.1367893038068</v>
      </c>
      <c r="F69" s="50">
        <f>SUM(B69:E69)</f>
        <v>21764.440693127221</v>
      </c>
      <c r="G69" s="48"/>
    </row>
    <row r="70" spans="1:9" x14ac:dyDescent="0.2">
      <c r="A70" s="25" t="s">
        <v>32</v>
      </c>
      <c r="B70" s="24">
        <v>0</v>
      </c>
      <c r="C70" s="24">
        <v>0</v>
      </c>
      <c r="D70" s="24">
        <v>0</v>
      </c>
      <c r="E70" s="24">
        <v>0</v>
      </c>
      <c r="F70" s="50">
        <f>SUM(B70:E70)</f>
        <v>0</v>
      </c>
    </row>
    <row r="71" spans="1:9" x14ac:dyDescent="0.2">
      <c r="A71" s="23"/>
      <c r="B71" s="24"/>
      <c r="C71" s="24"/>
      <c r="D71" s="24"/>
      <c r="E71" s="24"/>
      <c r="F71" s="50"/>
      <c r="G71" s="24"/>
      <c r="H71" s="24"/>
      <c r="I71" s="24"/>
    </row>
    <row r="72" spans="1:9" x14ac:dyDescent="0.2">
      <c r="A72" s="37" t="s">
        <v>18</v>
      </c>
      <c r="B72" s="38"/>
      <c r="C72" s="38"/>
      <c r="D72" s="38"/>
      <c r="E72" s="38"/>
      <c r="F72" s="39"/>
      <c r="G72" s="39"/>
      <c r="H72" s="39"/>
      <c r="I72" s="39"/>
    </row>
    <row r="73" spans="1:9" x14ac:dyDescent="0.2">
      <c r="A73" s="25" t="s">
        <v>30</v>
      </c>
      <c r="B73" s="24">
        <f>+VLOOKUP(B5,'TOT522'!$D$10:$L$30,9,FALSE)</f>
        <v>29050</v>
      </c>
      <c r="C73" s="24">
        <f>+VLOOKUP(C5,'TOT522'!$D$10:$L$30,9,FALSE)</f>
        <v>29050</v>
      </c>
      <c r="D73" s="24">
        <f>+VLOOKUP(D5,'TOT522'!$D$10:$L$30,9,FALSE)</f>
        <v>29050</v>
      </c>
      <c r="E73" s="24">
        <f>+VLOOKUP(E5,'TOT522'!$D$10:$L$30,9,FALSE)</f>
        <v>29050</v>
      </c>
      <c r="F73" s="50">
        <f>SUM(B73:E73)</f>
        <v>116200</v>
      </c>
      <c r="G73" s="24">
        <f>'TOT522'!$C$3</f>
        <v>581000</v>
      </c>
      <c r="H73" s="24">
        <f>SUMPRODUCT(('TOT522'!$D$10:$D$30&lt;=$E$5)*1,'TOT522'!$L$10:$L$30*1)</f>
        <v>377650</v>
      </c>
      <c r="I73" s="73">
        <f>G73-H73</f>
        <v>203350</v>
      </c>
    </row>
    <row r="74" spans="1:9" x14ac:dyDescent="0.2">
      <c r="A74" s="25" t="s">
        <v>31</v>
      </c>
      <c r="B74" s="24">
        <f>+VLOOKUP(B5,'TOT522'!$D$10:$L$30,8,FALSE)</f>
        <v>2907.8667591011458</v>
      </c>
      <c r="C74" s="24">
        <f>+VLOOKUP(C5,'TOT522'!$D$10:$L$30,8,FALSE)</f>
        <v>2836.7781977378504</v>
      </c>
      <c r="D74" s="24">
        <f>+VLOOKUP(D5,'TOT522'!$D$10:$L$30,8,FALSE)</f>
        <v>2759.0365786631655</v>
      </c>
      <c r="E74" s="24">
        <f>+VLOOKUP(E5,'TOT522'!$D$10:$L$30,8,FALSE)</f>
        <v>2614.8443471105284</v>
      </c>
      <c r="F74" s="50">
        <f>SUM(B74:E74)</f>
        <v>11118.525882612688</v>
      </c>
    </row>
    <row r="75" spans="1:9" x14ac:dyDescent="0.2">
      <c r="A75" s="25" t="s">
        <v>32</v>
      </c>
      <c r="B75" s="24">
        <v>0</v>
      </c>
      <c r="C75" s="24">
        <v>0</v>
      </c>
      <c r="D75" s="24">
        <v>0</v>
      </c>
      <c r="E75" s="24">
        <v>0</v>
      </c>
      <c r="F75" s="50">
        <f>SUM(B75:E75)</f>
        <v>0</v>
      </c>
    </row>
    <row r="76" spans="1:9" x14ac:dyDescent="0.2">
      <c r="A76" s="23"/>
      <c r="B76" s="24"/>
      <c r="C76" s="24"/>
      <c r="D76" s="24"/>
      <c r="E76" s="24"/>
      <c r="F76" s="50"/>
      <c r="G76" s="24"/>
      <c r="H76" s="24"/>
      <c r="I76" s="24"/>
    </row>
    <row r="77" spans="1:9" x14ac:dyDescent="0.2">
      <c r="A77" s="37" t="s">
        <v>107</v>
      </c>
      <c r="B77" s="226"/>
      <c r="C77" s="38"/>
      <c r="D77" s="38"/>
      <c r="E77" s="38"/>
      <c r="F77" s="39"/>
      <c r="G77" s="39"/>
      <c r="H77" s="39"/>
      <c r="I77" s="39"/>
    </row>
    <row r="78" spans="1:9" x14ac:dyDescent="0.2">
      <c r="A78" s="25" t="s">
        <v>30</v>
      </c>
      <c r="B78" s="24">
        <f>+VLOOKUP(B5,'TOT544'!$D$23:$L$43,9,FALSE)</f>
        <v>51046.347385620917</v>
      </c>
      <c r="C78" s="24">
        <f>+VLOOKUP(C5,'TOT544'!$D$23:$L$43,9,FALSE)</f>
        <v>51361.159885620917</v>
      </c>
      <c r="D78" s="24">
        <f>+VLOOKUP(D5,'TOT544'!$D$23:$L$43,9,FALSE)</f>
        <v>51361.159885620917</v>
      </c>
      <c r="E78" s="24">
        <f>+VLOOKUP(E5,'TOT544'!$D$23:$L$43,9,FALSE)</f>
        <v>51443.731314192344</v>
      </c>
      <c r="F78" s="50">
        <f>SUM(B78:E78)</f>
        <v>205212.39847105509</v>
      </c>
      <c r="G78" s="24">
        <f>'TOT544'!$C$16</f>
        <v>1021796</v>
      </c>
      <c r="H78" s="24">
        <f>SUMPRODUCT(('TOT544'!$D$23:$D$43&lt;=$E$5)*1,'TOT544'!$L$23:$L$43*1)</f>
        <v>353027.49291549961</v>
      </c>
      <c r="I78" s="73">
        <f>G78-H78</f>
        <v>668768.50708450039</v>
      </c>
    </row>
    <row r="79" spans="1:9" x14ac:dyDescent="0.2">
      <c r="A79" s="25" t="s">
        <v>31</v>
      </c>
      <c r="B79" s="24">
        <f>+VLOOKUP(B5,'TOT544'!$D$23:$L$43,8,FALSE)</f>
        <v>8399.9142794306663</v>
      </c>
      <c r="C79" s="24">
        <f>+VLOOKUP(C5,'TOT544'!$D$23:$L$43,8,FALSE)</f>
        <v>8523.6097712563987</v>
      </c>
      <c r="D79" s="24">
        <f>+VLOOKUP(D5,'TOT544'!$D$23:$L$43,8,FALSE)</f>
        <v>8614.5345472050121</v>
      </c>
      <c r="E79" s="24">
        <f>+VLOOKUP(E5,'TOT544'!$D$23:$L$43,8,FALSE)</f>
        <v>8554.7912787826572</v>
      </c>
      <c r="F79" s="50">
        <f>SUM(B79:E79)</f>
        <v>34092.849876674736</v>
      </c>
      <c r="G79" s="74"/>
      <c r="H79" s="75"/>
      <c r="I79" s="75"/>
    </row>
    <row r="80" spans="1:9" x14ac:dyDescent="0.2">
      <c r="A80" s="25" t="s">
        <v>32</v>
      </c>
      <c r="B80" s="24">
        <f>+VLOOKUP(B$5,'TOT544'!$B$48:$F$67,4,FALSE)</f>
        <v>451.08852997254212</v>
      </c>
      <c r="C80" s="24">
        <f>+VLOOKUP(C$5,'TOT544'!$B$48:$F$67,4,FALSE)</f>
        <v>216.44952812259834</v>
      </c>
      <c r="D80" s="24">
        <f>+VLOOKUP(D$5,'TOT544'!$B$48:$F$67,4,FALSE)</f>
        <v>218.15146069662026</v>
      </c>
      <c r="E80" s="24">
        <f>+VLOOKUP(E$5,'TOT544'!$B$48:$F$67,4,FALSE)</f>
        <v>217.00891966659793</v>
      </c>
      <c r="F80" s="50">
        <f>SUM(B80:E80)</f>
        <v>1102.6984384583586</v>
      </c>
    </row>
    <row r="81" spans="1:9" x14ac:dyDescent="0.2">
      <c r="A81" s="23"/>
      <c r="B81" s="24"/>
      <c r="C81" s="24"/>
      <c r="D81" s="24"/>
      <c r="E81" s="24"/>
      <c r="F81" s="24"/>
      <c r="G81" s="24"/>
      <c r="H81" s="24"/>
      <c r="I81" s="24"/>
    </row>
    <row r="82" spans="1:9" x14ac:dyDescent="0.2">
      <c r="A82" s="37" t="s">
        <v>108</v>
      </c>
      <c r="B82" s="38"/>
      <c r="C82" s="226"/>
      <c r="D82" s="38"/>
      <c r="E82" s="38"/>
      <c r="F82" s="39"/>
      <c r="G82" s="39"/>
      <c r="H82" s="39"/>
      <c r="I82" s="39"/>
    </row>
    <row r="83" spans="1:9" x14ac:dyDescent="0.2">
      <c r="A83" s="25" t="s">
        <v>30</v>
      </c>
      <c r="B83" s="24">
        <f>+VLOOKUP(B5,'TOT545'!$D$23:$L$43,9,FALSE)</f>
        <v>51046.347385620917</v>
      </c>
      <c r="C83" s="24">
        <f>+VLOOKUP(C5,'TOT545'!$D$23:$L$43,9,FALSE)</f>
        <v>51361.159885620917</v>
      </c>
      <c r="D83" s="24">
        <f>+VLOOKUP(D5,'TOT545'!$D$23:$L$43,9,FALSE)</f>
        <v>51438.226552287582</v>
      </c>
      <c r="E83" s="24">
        <f>+VLOOKUP(E5,'TOT545'!$D$23:$L$43,9,FALSE)</f>
        <v>51438.226552287582</v>
      </c>
      <c r="F83" s="50">
        <f>SUM(B83:E83)</f>
        <v>205283.960375817</v>
      </c>
      <c r="G83" s="24">
        <f>'TOT545'!$C$16</f>
        <v>1021796</v>
      </c>
      <c r="H83" s="24">
        <f>SUMPRODUCT(('TOT545'!$D$23:$D$43&lt;=$E$5)*1,'TOT545'!$L$23:$L$43*1)</f>
        <v>353099.05482026149</v>
      </c>
      <c r="I83" s="73">
        <f>G83-H83</f>
        <v>668696.94517973857</v>
      </c>
    </row>
    <row r="84" spans="1:9" x14ac:dyDescent="0.2">
      <c r="A84" s="25" t="s">
        <v>31</v>
      </c>
      <c r="B84" s="24">
        <f>+VLOOKUP(B5,'TOT545'!$D$23:$L$43,8,FALSE)</f>
        <v>8399.9142794306663</v>
      </c>
      <c r="C84" s="24">
        <f>+VLOOKUP(C5,'TOT545'!$D$23:$L$43,8,FALSE)</f>
        <v>8523.6097712563987</v>
      </c>
      <c r="D84" s="24">
        <f>+VLOOKUP(D5,'TOT545'!$D$23:$L$43,8,FALSE)</f>
        <v>8614.5345472050121</v>
      </c>
      <c r="E84" s="24">
        <f>+VLOOKUP(E5,'TOT545'!$D$23:$L$43,8,FALSE)</f>
        <v>8553.9734853214686</v>
      </c>
      <c r="F84" s="50">
        <f>SUM(B84:E84)</f>
        <v>34092.032083213548</v>
      </c>
      <c r="G84" s="74"/>
      <c r="H84" s="75"/>
      <c r="I84" s="75"/>
    </row>
    <row r="85" spans="1:9" x14ac:dyDescent="0.2">
      <c r="A85" s="25" t="s">
        <v>32</v>
      </c>
      <c r="B85" s="24">
        <f>+VLOOKUP(B$5,'TOT545'!$B$48:$F$67,4,FALSE)</f>
        <v>451.08852997254212</v>
      </c>
      <c r="C85" s="24">
        <f>+VLOOKUP(C$5,'TOT545'!$B$48:$F$67,4,FALSE)</f>
        <v>216.44952812259834</v>
      </c>
      <c r="D85" s="24">
        <f>+VLOOKUP(D$5,'TOT545'!$B$48:$F$67,4,FALSE)</f>
        <v>218.15146069662026</v>
      </c>
      <c r="E85" s="24">
        <f>+VLOOKUP(E$5,'TOT545'!$B$48:$F$67,4,FALSE)</f>
        <v>217.00891966659793</v>
      </c>
      <c r="F85" s="50">
        <f>SUM(B85:E85)</f>
        <v>1102.6984384583586</v>
      </c>
    </row>
    <row r="86" spans="1:9" x14ac:dyDescent="0.2">
      <c r="A86" s="23"/>
      <c r="B86" s="24"/>
      <c r="C86" s="24"/>
      <c r="D86" s="24"/>
      <c r="E86" s="24"/>
      <c r="F86" s="24"/>
      <c r="G86" s="24"/>
      <c r="H86" s="24"/>
      <c r="I86" s="24"/>
    </row>
    <row r="87" spans="1:9" x14ac:dyDescent="0.2">
      <c r="A87" s="37" t="s">
        <v>51</v>
      </c>
      <c r="B87" s="38"/>
      <c r="C87" s="38"/>
      <c r="D87" s="38"/>
      <c r="E87" s="38"/>
      <c r="F87" s="39"/>
      <c r="G87" s="39"/>
      <c r="H87" s="39"/>
      <c r="I87" s="39"/>
    </row>
    <row r="88" spans="1:9" x14ac:dyDescent="0.2">
      <c r="A88" s="25" t="s">
        <v>30</v>
      </c>
      <c r="B88" s="24">
        <f>+VLOOKUP(B5,'TOT573'!$D$26:$L$46,9,FALSE)</f>
        <v>284132.8</v>
      </c>
      <c r="C88" s="24">
        <f>+VLOOKUP(C5,'TOT573'!$D$26:$L$46,9,FALSE)</f>
        <v>284132.8</v>
      </c>
      <c r="D88" s="24">
        <f>+VLOOKUP(D5,'TOT573'!$D$26:$L$46,9,FALSE)</f>
        <v>284132.8</v>
      </c>
      <c r="E88" s="24">
        <f>+VLOOKUP(E5,'TOT573'!$D$26:$L$46,9,FALSE)</f>
        <v>284132.8</v>
      </c>
      <c r="F88" s="50">
        <f>SUM(B88:E88)</f>
        <v>1136531.2</v>
      </c>
      <c r="G88" s="24">
        <f>'TOT573'!$C$19</f>
        <v>5682656</v>
      </c>
      <c r="H88" s="24">
        <f>SUMPRODUCT(('TOT573'!$D$26:$D$46&lt;=$E$5)*1,'TOT573'!$L$26:$L$46*1)</f>
        <v>1420664</v>
      </c>
      <c r="I88" s="73">
        <f>G88-H88</f>
        <v>4261992</v>
      </c>
    </row>
    <row r="89" spans="1:9" x14ac:dyDescent="0.2">
      <c r="A89" s="25" t="s">
        <v>31</v>
      </c>
      <c r="B89" s="24">
        <f>+VLOOKUP(B5,'TOT573'!$D$26:$L$46,8,FALSE)</f>
        <v>54375.742151925158</v>
      </c>
      <c r="C89" s="24">
        <f>+VLOOKUP(C5,'TOT573'!$D$26:$L$46,8,FALSE)</f>
        <v>55108.612946491099</v>
      </c>
      <c r="D89" s="24">
        <f>+VLOOKUP(D5,'TOT573'!$D$26:$L$46,8,FALSE)</f>
        <v>56036.533502428814</v>
      </c>
      <c r="E89" s="24">
        <f>+VLOOKUP(E5,'TOT573'!$D$26:$L$46,8,FALSE)</f>
        <v>56065.854708386651</v>
      </c>
      <c r="F89" s="50">
        <f>SUM(B89:E89)</f>
        <v>221586.74330923171</v>
      </c>
      <c r="G89" s="74"/>
      <c r="H89" s="75"/>
      <c r="I89" s="75"/>
    </row>
    <row r="90" spans="1:9" x14ac:dyDescent="0.2">
      <c r="A90" s="25" t="s">
        <v>32</v>
      </c>
      <c r="B90" s="24">
        <f>+VLOOKUP(B5,'TOT573'!$B$53:$F$74,4,FALSE)</f>
        <v>434.18004018333352</v>
      </c>
      <c r="C90" s="24">
        <f>+VLOOKUP(C5,'TOT573'!$B$53:$F$74,4,FALSE)</f>
        <v>439.07051414110828</v>
      </c>
      <c r="D90" s="24">
        <f>+VLOOKUP(D5,'TOT573'!$B$53:$F$74,4,FALSE)</f>
        <v>445.26256238118725</v>
      </c>
      <c r="E90" s="24">
        <f>+VLOOKUP(E5,'TOT573'!$B$53:$F$74,4,FALSE)</f>
        <v>445.45822387460549</v>
      </c>
      <c r="F90" s="50">
        <f>SUM(B90:E90)</f>
        <v>1763.9713405802345</v>
      </c>
    </row>
    <row r="91" spans="1:9" x14ac:dyDescent="0.2">
      <c r="A91" s="23"/>
      <c r="B91" s="24"/>
      <c r="C91" s="24"/>
      <c r="D91" s="24"/>
      <c r="E91" s="24"/>
      <c r="F91" s="50"/>
      <c r="G91" s="24"/>
      <c r="H91" s="24"/>
      <c r="I91" s="24"/>
    </row>
    <row r="92" spans="1:9" x14ac:dyDescent="0.2">
      <c r="A92" s="37" t="s">
        <v>115</v>
      </c>
      <c r="B92" s="38"/>
      <c r="C92" s="38"/>
      <c r="D92" s="38"/>
      <c r="E92" s="38"/>
      <c r="F92" s="39"/>
      <c r="G92" s="39"/>
      <c r="H92" s="39"/>
      <c r="I92" s="39"/>
    </row>
    <row r="93" spans="1:9" x14ac:dyDescent="0.2">
      <c r="A93" s="25" t="s">
        <v>30</v>
      </c>
      <c r="B93" s="24">
        <v>0</v>
      </c>
      <c r="C93" s="24">
        <v>0</v>
      </c>
      <c r="D93" s="24">
        <v>145045.4</v>
      </c>
      <c r="E93" s="24">
        <v>36261.35</v>
      </c>
      <c r="F93" s="50">
        <f>SUM(B93:E93)</f>
        <v>181306.75</v>
      </c>
      <c r="G93" s="24">
        <v>725227</v>
      </c>
      <c r="H93" s="24">
        <v>181306.75</v>
      </c>
      <c r="I93" s="73">
        <f>G93-H93</f>
        <v>543920.25</v>
      </c>
    </row>
    <row r="94" spans="1:9" x14ac:dyDescent="0.2">
      <c r="A94" s="25" t="s">
        <v>31</v>
      </c>
      <c r="B94" s="24">
        <v>0</v>
      </c>
      <c r="C94" s="24">
        <v>0</v>
      </c>
      <c r="D94" s="24">
        <v>24894.425543740515</v>
      </c>
      <c r="E94" s="24">
        <v>11074.494041090104</v>
      </c>
      <c r="F94" s="50">
        <f>SUM(B94:E94)</f>
        <v>35968.919584830619</v>
      </c>
      <c r="G94" s="74"/>
      <c r="H94" s="75"/>
      <c r="I94" s="75"/>
    </row>
    <row r="95" spans="1:9" x14ac:dyDescent="0.2">
      <c r="A95" s="25" t="s">
        <v>32</v>
      </c>
      <c r="B95" s="24">
        <v>0</v>
      </c>
      <c r="C95" s="24">
        <v>0</v>
      </c>
      <c r="D95" s="24">
        <v>0</v>
      </c>
      <c r="E95" s="24">
        <v>0</v>
      </c>
      <c r="F95" s="50">
        <f>SUM(B95:E95)</f>
        <v>0</v>
      </c>
    </row>
    <row r="96" spans="1:9" x14ac:dyDescent="0.2">
      <c r="B96" s="24"/>
      <c r="C96" s="24"/>
      <c r="D96" s="24"/>
      <c r="E96" s="24"/>
      <c r="F96" s="50"/>
    </row>
    <row r="97" spans="1:9" x14ac:dyDescent="0.2">
      <c r="A97" s="37" t="s">
        <v>119</v>
      </c>
      <c r="B97" s="226"/>
      <c r="C97" s="38"/>
      <c r="D97" s="38"/>
      <c r="E97" s="38"/>
      <c r="F97" s="39"/>
      <c r="G97" s="39"/>
      <c r="H97" s="39"/>
      <c r="I97" s="39"/>
    </row>
    <row r="98" spans="1:9" x14ac:dyDescent="0.2">
      <c r="A98" s="25" t="s">
        <v>30</v>
      </c>
      <c r="B98" s="24">
        <f>+VLOOKUP(B$5,'TOT585 (Phase 1&amp;2)'!$D$15:$L$38,9,FALSE)</f>
        <v>123668.0365</v>
      </c>
      <c r="C98" s="24">
        <f>+VLOOKUP(C$5,'TOT585 (Phase 1&amp;2)'!$D$15:$L$38,9,FALSE)</f>
        <v>123668.0365</v>
      </c>
      <c r="D98" s="24">
        <f>+VLOOKUP(D$5,'TOT585 (Phase 1&amp;2)'!$D$15:$L$38,9,FALSE)</f>
        <v>123668.0365</v>
      </c>
      <c r="E98" s="24">
        <f>+VLOOKUP(E$5,'TOT585 (Phase 1&amp;2)'!$D$15:$L$38,9,FALSE)</f>
        <v>123668.0365</v>
      </c>
      <c r="F98" s="50">
        <f>SUM(B98:E98)</f>
        <v>494672.14600000001</v>
      </c>
      <c r="G98" s="24">
        <f>+'TOT585 (Phase 1&amp;2)'!$C$8</f>
        <v>2473360.73</v>
      </c>
      <c r="H98" s="24">
        <f>SUMPRODUCT(('TOT585 (Phase 1&amp;2)'!$D$15:$D$38&lt;=$E$5)*1,'TOT585 (Phase 1&amp;2)'!$L$15:$L$38*1)</f>
        <v>494672.14600000001</v>
      </c>
      <c r="I98" s="73">
        <f>G98-H98</f>
        <v>1978688.584</v>
      </c>
    </row>
    <row r="99" spans="1:9" x14ac:dyDescent="0.2">
      <c r="A99" s="25" t="s">
        <v>31</v>
      </c>
      <c r="B99" s="24">
        <f>+VLOOKUP(B$5,'TOT585 (Phase 1&amp;2)'!$D$15:$L$38,8,FALSE)</f>
        <v>3559.7305258284168</v>
      </c>
      <c r="C99" s="24">
        <f>+VLOOKUP(C$5,'TOT585 (Phase 1&amp;2)'!$D$15:$L$38,8,FALSE)</f>
        <v>25919.017158327286</v>
      </c>
      <c r="D99" s="24">
        <f>+VLOOKUP(D$5,'TOT585 (Phase 1&amp;2)'!$D$15:$L$38,8,FALSE)</f>
        <v>26418.063717370791</v>
      </c>
      <c r="E99" s="24">
        <f>+VLOOKUP(E$5,'TOT585 (Phase 1&amp;2)'!$D$15:$L$38,8,FALSE)</f>
        <v>26511.061986528297</v>
      </c>
      <c r="F99" s="50">
        <f>SUM(B99:E99)</f>
        <v>82407.873388054795</v>
      </c>
      <c r="G99" s="74"/>
      <c r="H99" s="75"/>
      <c r="I99" s="75"/>
    </row>
    <row r="100" spans="1:9" x14ac:dyDescent="0.2">
      <c r="A100" s="25" t="s">
        <v>32</v>
      </c>
      <c r="B100" s="24">
        <f>+VLOOKUP(B$5,'TOT585 (Phase 1&amp;2)'!$B$43:$F$65,4,FALSE)</f>
        <v>36.954252912263364</v>
      </c>
      <c r="C100" s="24">
        <f>+VLOOKUP(C$5,'TOT585 (Phase 1&amp;2)'!$B$43:$F$65,4,FALSE)</f>
        <v>141.46167635057776</v>
      </c>
      <c r="D100" s="24">
        <f>+VLOOKUP(D$5,'TOT585 (Phase 1&amp;2)'!$B$43:$F$65,4,FALSE)</f>
        <v>143.79422259494626</v>
      </c>
      <c r="E100" s="24">
        <f>+VLOOKUP(E$5,'TOT585 (Phase 1&amp;2)'!$B$43:$F$65,4,FALSE)</f>
        <v>144.22889699460924</v>
      </c>
      <c r="F100" s="50">
        <f>SUM(B100:E100)</f>
        <v>466.4390488523967</v>
      </c>
    </row>
    <row r="101" spans="1:9" x14ac:dyDescent="0.2">
      <c r="B101" s="24"/>
      <c r="C101" s="24"/>
      <c r="D101" s="24"/>
      <c r="E101" s="24"/>
      <c r="F101" s="50"/>
    </row>
    <row r="102" spans="1:9" x14ac:dyDescent="0.2">
      <c r="A102" s="37" t="s">
        <v>50</v>
      </c>
      <c r="B102" s="38"/>
      <c r="C102" s="38"/>
      <c r="D102" s="38"/>
      <c r="E102" s="38"/>
      <c r="F102" s="39"/>
      <c r="G102" s="39"/>
      <c r="H102" s="39"/>
      <c r="I102" s="39"/>
    </row>
    <row r="103" spans="1:9" x14ac:dyDescent="0.2">
      <c r="A103" s="25" t="s">
        <v>30</v>
      </c>
      <c r="B103" s="24">
        <f>+VLOOKUP(B5,'TOT672 (part1)'!$D$15:$L$35,9,FALSE)</f>
        <v>0</v>
      </c>
      <c r="C103" s="24">
        <f>+VLOOKUP(C5,'TOT672 (part1)'!$D$15:$L$35,9,FALSE)</f>
        <v>101728.76680255806</v>
      </c>
      <c r="D103" s="24">
        <f>+VLOOKUP(D5,'TOT672 (part1)'!$D$15:$L$35,9,FALSE)</f>
        <v>25432.191700639516</v>
      </c>
      <c r="E103" s="24">
        <f>+VLOOKUP(E5,'TOT672 (part1)'!$D$15:$L$35,9,FALSE)</f>
        <v>25432.191700639516</v>
      </c>
      <c r="F103" s="50">
        <f>SUM(B103:E103)</f>
        <v>152593.15020383711</v>
      </c>
      <c r="G103" s="24">
        <f>'TOT672 (part1)'!$C$7</f>
        <v>508643.83401279029</v>
      </c>
      <c r="H103" s="24">
        <f>SUMPRODUCT(('TOT672 (part1)'!$D$15:$D$35&lt;=$E$5)*1,'TOT672 (part1)'!$L$15:$L$35*1)</f>
        <v>152593.15020383711</v>
      </c>
      <c r="I103" s="73">
        <f>G103-H103</f>
        <v>356050.68380895315</v>
      </c>
    </row>
    <row r="104" spans="1:9" x14ac:dyDescent="0.2">
      <c r="A104" s="25" t="s">
        <v>31</v>
      </c>
      <c r="B104" s="24">
        <v>0</v>
      </c>
      <c r="C104" s="24">
        <f>+SUM('TOT672 (part1)'!J17:J19)</f>
        <v>13890.424337706852</v>
      </c>
      <c r="D104" s="24">
        <f>+VLOOKUP(D5,'TOT672 (part1)'!$D$15:$L$35,8,FALSE)</f>
        <v>4492.62745210292</v>
      </c>
      <c r="E104" s="24">
        <f>+VLOOKUP(E5,'TOT672 (part1)'!$D$15:$L$35,8,FALSE)</f>
        <v>4478.9690650154735</v>
      </c>
      <c r="F104" s="50">
        <f>SUM(B104:E104)</f>
        <v>22862.020854825245</v>
      </c>
    </row>
    <row r="105" spans="1:9" x14ac:dyDescent="0.2">
      <c r="A105" s="25" t="s">
        <v>32</v>
      </c>
      <c r="B105" s="24">
        <v>0</v>
      </c>
      <c r="C105" s="24">
        <f>+SUM('TOT672 (part1)'!E42:E45)</f>
        <v>10158.485519763501</v>
      </c>
      <c r="D105" s="24">
        <f>+VLOOKUP(D$5,'TOT672 (part1)'!$B$41:$F$61,4,FALSE)</f>
        <v>2708.8265938008312</v>
      </c>
      <c r="E105" s="24">
        <f>+VLOOKUP(E$5,'TOT672 (part1)'!$B$41:$F$61,4,FALSE)</f>
        <v>2701.5191939272713</v>
      </c>
      <c r="F105" s="50">
        <f>SUM(B105:E105)</f>
        <v>15568.831307491604</v>
      </c>
    </row>
    <row r="106" spans="1:9" x14ac:dyDescent="0.2">
      <c r="B106" s="24"/>
      <c r="C106" s="24"/>
      <c r="D106" s="24"/>
      <c r="E106" s="24"/>
      <c r="F106" s="50"/>
    </row>
    <row r="107" spans="1:9" x14ac:dyDescent="0.2">
      <c r="A107" s="37" t="s">
        <v>46</v>
      </c>
      <c r="B107" s="38"/>
      <c r="C107" s="38"/>
      <c r="D107" s="38"/>
      <c r="E107" s="38"/>
      <c r="F107" s="39"/>
      <c r="G107" s="39"/>
      <c r="H107" s="39"/>
      <c r="I107" s="39"/>
    </row>
    <row r="108" spans="1:9" x14ac:dyDescent="0.2">
      <c r="A108" s="25" t="s">
        <v>30</v>
      </c>
      <c r="B108" s="24">
        <f>+VLOOKUP(B5,'WDT1099'!$D$31:$L$50,9,FALSE)</f>
        <v>752.65</v>
      </c>
      <c r="C108" s="24">
        <f>+VLOOKUP(C5,'WDT1099'!$D$31:$L$50,9,FALSE)</f>
        <v>752.65</v>
      </c>
      <c r="D108" s="24">
        <f>+VLOOKUP(D5,'WDT1099'!$D$31:$L$50,9,FALSE)</f>
        <v>752.65</v>
      </c>
      <c r="E108" s="24">
        <f>+VLOOKUP(E5,'WDT1099'!$D$31:$L$50,9,FALSE)</f>
        <v>752.65</v>
      </c>
      <c r="F108" s="50">
        <f>SUM(B108:E108)</f>
        <v>3010.6</v>
      </c>
      <c r="G108" s="24">
        <f>'WDT1099'!$C$24</f>
        <v>15053</v>
      </c>
      <c r="H108" s="24">
        <f>SUMPRODUCT(('WDT1099'!$D$31:$D$49&lt;=$E$5)*1,'WDT1099'!$L$31:$L$49*1)</f>
        <v>6773.8499999999985</v>
      </c>
      <c r="I108" s="73">
        <f>G108-H108</f>
        <v>8279.1500000000015</v>
      </c>
    </row>
    <row r="109" spans="1:9" x14ac:dyDescent="0.2">
      <c r="A109" s="25" t="s">
        <v>31</v>
      </c>
      <c r="B109" s="24">
        <f>+VLOOKUP(B5,'WDT1099'!$D$31:$L$50,8,FALSE)</f>
        <v>100.61116315490712</v>
      </c>
      <c r="C109" s="24">
        <f>+VLOOKUP(C5,'WDT1099'!$D$31:$L$50,8,FALSE)</f>
        <v>100.64303755615052</v>
      </c>
      <c r="D109" s="24">
        <f>+VLOOKUP(D5,'WDT1099'!$D$31:$L$50,8,FALSE)</f>
        <v>100.84214907560597</v>
      </c>
      <c r="E109" s="24">
        <f>+VLOOKUP(E5,'WDT1099'!$D$31:$L$50,8,FALSE)</f>
        <v>99.01413146663468</v>
      </c>
      <c r="F109" s="50">
        <f>SUM(B109:E109)</f>
        <v>401.1104812532983</v>
      </c>
      <c r="G109" s="74"/>
      <c r="H109" s="75"/>
      <c r="I109" s="75"/>
    </row>
    <row r="110" spans="1:9" x14ac:dyDescent="0.2">
      <c r="A110" s="25" t="s">
        <v>32</v>
      </c>
      <c r="B110" s="24">
        <v>0</v>
      </c>
      <c r="C110" s="24">
        <v>0</v>
      </c>
      <c r="D110" s="24">
        <v>0</v>
      </c>
      <c r="E110" s="24">
        <v>0</v>
      </c>
      <c r="F110" s="50">
        <f>SUM(B110:E110)</f>
        <v>0</v>
      </c>
    </row>
    <row r="111" spans="1:9" x14ac:dyDescent="0.2">
      <c r="B111" s="24"/>
      <c r="C111" s="24"/>
      <c r="D111" s="24"/>
      <c r="E111" s="24"/>
      <c r="F111" s="50"/>
    </row>
    <row r="112" spans="1:9" x14ac:dyDescent="0.2">
      <c r="A112" s="37" t="s">
        <v>125</v>
      </c>
      <c r="B112" s="38"/>
      <c r="C112" s="38"/>
      <c r="D112" s="38"/>
      <c r="E112" s="38"/>
      <c r="F112" s="39"/>
      <c r="G112" s="39"/>
      <c r="H112" s="39"/>
      <c r="I112" s="39"/>
    </row>
    <row r="113" spans="1:9" x14ac:dyDescent="0.2">
      <c r="A113" s="25" t="s">
        <v>30</v>
      </c>
      <c r="B113" s="24">
        <f>+VLOOKUP(B5,'WDT1007-True-up'!$D$10:$L$31,9,FALSE)</f>
        <v>63310.05</v>
      </c>
      <c r="C113" s="24">
        <f>+VLOOKUP(C5,'WDT1007-True-up'!$D$10:$L$31,9,FALSE)</f>
        <v>633100.5</v>
      </c>
      <c r="D113" s="24">
        <f>+VLOOKUP(D5,'WDT1007-True-up'!$D$10:$L$31,9,FALSE)</f>
        <v>0</v>
      </c>
      <c r="E113" s="24">
        <f>+VLOOKUP(E5,'WDT1007-True-up'!$D$10:$L$31,9,FALSE)</f>
        <v>0</v>
      </c>
      <c r="F113" s="50">
        <f>SUM(B113:E113)</f>
        <v>696410.55</v>
      </c>
      <c r="G113" s="24">
        <f>'WDT1007-True-up'!$C$3</f>
        <v>1266201</v>
      </c>
      <c r="H113" s="24">
        <f>SUMPRODUCT(('WDT1007-True-up'!$D$10:$D$31&lt;=$E$5)*1,'WDT1007-True-up'!$L$10:$L$31*1)</f>
        <v>1266201</v>
      </c>
      <c r="I113" s="73">
        <f>G113-H113</f>
        <v>0</v>
      </c>
    </row>
    <row r="114" spans="1:9" x14ac:dyDescent="0.2">
      <c r="A114" s="25" t="s">
        <v>31</v>
      </c>
      <c r="B114" s="24">
        <f>+VLOOKUP(B5,'WDT1007-True-up'!$D$10:$L$31,8,FALSE)</f>
        <v>6275.5292271292401</v>
      </c>
      <c r="C114" s="24">
        <f>+VLOOKUP(C5,'WDT1007-True-up'!$D$10:$L$31,8,FALSE)</f>
        <v>8302.3347787035018</v>
      </c>
      <c r="D114" s="24">
        <f>+VLOOKUP(D5,'WDT1007-True-up'!$D$10:$L$31,8,FALSE)</f>
        <v>0</v>
      </c>
      <c r="E114" s="24">
        <f>+VLOOKUP(E5,'WDT1007-True-up'!$D$10:$L$31,8,FALSE)</f>
        <v>0</v>
      </c>
      <c r="F114" s="50">
        <f>SUM(B114:E114)</f>
        <v>14577.864005832742</v>
      </c>
      <c r="G114" s="48"/>
    </row>
    <row r="115" spans="1:9" x14ac:dyDescent="0.2">
      <c r="A115" s="25" t="s">
        <v>32</v>
      </c>
      <c r="B115" s="24">
        <v>0</v>
      </c>
      <c r="C115" s="24">
        <v>0</v>
      </c>
      <c r="D115" s="24">
        <v>0</v>
      </c>
      <c r="E115" s="24">
        <v>0</v>
      </c>
      <c r="F115" s="50">
        <f>SUM(B115:E115)</f>
        <v>0</v>
      </c>
    </row>
    <row r="116" spans="1:9" x14ac:dyDescent="0.2">
      <c r="A116" s="23"/>
      <c r="B116" s="24"/>
      <c r="C116" s="24"/>
      <c r="D116" s="24"/>
      <c r="E116" s="24"/>
      <c r="F116" s="50"/>
      <c r="G116" s="24"/>
      <c r="H116" s="24"/>
      <c r="I116" s="24"/>
    </row>
    <row r="117" spans="1:9" x14ac:dyDescent="0.2">
      <c r="A117" s="37" t="s">
        <v>121</v>
      </c>
      <c r="B117" s="38"/>
      <c r="C117" s="38"/>
      <c r="D117" s="38"/>
      <c r="E117" s="38"/>
      <c r="F117" s="39"/>
      <c r="G117" s="39"/>
      <c r="H117" s="39"/>
      <c r="I117" s="39"/>
    </row>
    <row r="118" spans="1:9" x14ac:dyDescent="0.2">
      <c r="A118" s="25" t="s">
        <v>30</v>
      </c>
      <c r="B118" s="24">
        <f>+VLOOKUP($B$5,'TOT516-True-up'!$D$26:$L$59,9,FALSE)</f>
        <v>0</v>
      </c>
      <c r="C118" s="24">
        <f>+VLOOKUP($C$5,'TOT516-True-up'!$D$26:$L$59,9,FALSE)</f>
        <v>563584</v>
      </c>
      <c r="D118" s="24">
        <v>0</v>
      </c>
      <c r="E118" s="24">
        <v>0</v>
      </c>
      <c r="F118" s="50">
        <f>SUM(B118:E118)</f>
        <v>563584</v>
      </c>
      <c r="G118" s="230">
        <f>+'TOT516-True-up'!C18</f>
        <v>563584</v>
      </c>
      <c r="H118" s="24">
        <f>+G118</f>
        <v>563584</v>
      </c>
      <c r="I118" s="73">
        <f>G118-H118</f>
        <v>0</v>
      </c>
    </row>
    <row r="119" spans="1:9" x14ac:dyDescent="0.2">
      <c r="A119" s="25" t="s">
        <v>31</v>
      </c>
      <c r="B119" s="24">
        <f>+VLOOKUP($B$5,'TOT516-True-up'!$D$26:$L$59,8,FALSE)</f>
        <v>0</v>
      </c>
      <c r="C119" s="24">
        <f>+VLOOKUP($C$5,'TOT516-True-up'!$D$26:$L$59,8,FALSE)</f>
        <v>26120.137146600551</v>
      </c>
      <c r="D119" s="24">
        <v>0</v>
      </c>
      <c r="E119" s="24">
        <v>0</v>
      </c>
      <c r="F119" s="50">
        <f>SUM(B119:E119)</f>
        <v>26120.137146600551</v>
      </c>
      <c r="G119" s="74"/>
      <c r="H119" s="75"/>
      <c r="I119" s="75"/>
    </row>
    <row r="120" spans="1:9" x14ac:dyDescent="0.2">
      <c r="A120" s="25" t="s">
        <v>32</v>
      </c>
      <c r="B120" s="24">
        <v>0</v>
      </c>
      <c r="C120" s="24">
        <v>0</v>
      </c>
      <c r="D120" s="24">
        <v>0</v>
      </c>
      <c r="E120" s="24">
        <v>0</v>
      </c>
      <c r="F120" s="50">
        <f>SUM(B120:E120)</f>
        <v>0</v>
      </c>
    </row>
    <row r="121" spans="1:9" x14ac:dyDescent="0.2">
      <c r="A121" s="23"/>
      <c r="B121" s="24"/>
      <c r="C121" s="24"/>
      <c r="D121" s="24"/>
      <c r="E121" s="24"/>
      <c r="F121" s="50"/>
      <c r="G121" s="24"/>
      <c r="H121" s="24"/>
      <c r="I121" s="24"/>
    </row>
    <row r="122" spans="1:9" x14ac:dyDescent="0.2">
      <c r="A122" s="37" t="s">
        <v>122</v>
      </c>
      <c r="B122" s="38"/>
      <c r="C122" s="38"/>
      <c r="D122" s="38"/>
      <c r="E122" s="38"/>
      <c r="F122" s="39"/>
      <c r="G122" s="39"/>
      <c r="H122" s="39"/>
      <c r="I122" s="39"/>
    </row>
    <row r="123" spans="1:9" x14ac:dyDescent="0.2">
      <c r="A123" s="25" t="s">
        <v>30</v>
      </c>
      <c r="B123" s="24">
        <f>+VLOOKUP($B$5,'TOT733-True-up'!$D$15:$L$48,9,FALSE)</f>
        <v>0</v>
      </c>
      <c r="C123" s="24">
        <f>+'TOT733-True-up'!L15</f>
        <v>2101</v>
      </c>
      <c r="D123" s="24">
        <v>0</v>
      </c>
      <c r="E123" s="24">
        <v>0</v>
      </c>
      <c r="F123" s="50">
        <f>SUM(B123:E123)</f>
        <v>2101</v>
      </c>
      <c r="G123" s="24">
        <f>+'TOT733-True-up'!C17</f>
        <v>0</v>
      </c>
      <c r="H123" s="24">
        <f>+G123</f>
        <v>0</v>
      </c>
      <c r="I123" s="73">
        <f>G123-H123</f>
        <v>0</v>
      </c>
    </row>
    <row r="124" spans="1:9" x14ac:dyDescent="0.2">
      <c r="A124" s="25" t="s">
        <v>31</v>
      </c>
      <c r="B124" s="24">
        <f>+VLOOKUP($B$5,'TOT733-True-up'!$D$15:$L$48,8,FALSE)</f>
        <v>0</v>
      </c>
      <c r="C124" s="24">
        <f>+'TOT733-True-up'!K15</f>
        <v>45.913963139138474</v>
      </c>
      <c r="D124" s="24">
        <v>0</v>
      </c>
      <c r="E124" s="24">
        <v>0</v>
      </c>
      <c r="F124" s="50">
        <f>SUM(B124:E124)</f>
        <v>45.913963139138474</v>
      </c>
      <c r="G124" s="74"/>
      <c r="H124" s="75"/>
      <c r="I124" s="75"/>
    </row>
    <row r="125" spans="1:9" x14ac:dyDescent="0.2">
      <c r="A125" s="25" t="s">
        <v>32</v>
      </c>
      <c r="B125" s="24">
        <v>0</v>
      </c>
      <c r="C125" s="24">
        <f>+'TOT733-True-up'!K25+'TOT733-True-up'!K33</f>
        <v>249.16767422809525</v>
      </c>
      <c r="D125" s="24">
        <v>0</v>
      </c>
      <c r="E125" s="24">
        <v>0</v>
      </c>
      <c r="F125" s="50">
        <f>SUM(B125:E125)</f>
        <v>249.16767422809525</v>
      </c>
    </row>
    <row r="126" spans="1:9" x14ac:dyDescent="0.2">
      <c r="A126" s="23"/>
      <c r="B126" s="24"/>
      <c r="C126" s="24"/>
      <c r="D126" s="24"/>
      <c r="E126" s="24"/>
      <c r="F126" s="50"/>
      <c r="G126" s="24"/>
      <c r="H126" s="24"/>
      <c r="I126" s="24"/>
    </row>
    <row r="127" spans="1:9" x14ac:dyDescent="0.2">
      <c r="A127" s="37" t="s">
        <v>124</v>
      </c>
      <c r="B127" s="38"/>
      <c r="C127" s="38"/>
      <c r="D127" s="38"/>
      <c r="E127" s="38"/>
      <c r="F127" s="39"/>
      <c r="G127" s="39"/>
      <c r="H127" s="39"/>
      <c r="I127" s="39"/>
    </row>
    <row r="128" spans="1:9" x14ac:dyDescent="0.2">
      <c r="A128" s="25" t="s">
        <v>30</v>
      </c>
      <c r="B128" s="24">
        <v>0</v>
      </c>
      <c r="C128" s="24">
        <v>0</v>
      </c>
      <c r="D128" s="24">
        <f>+'WDT400-True-up'!L16</f>
        <v>15000</v>
      </c>
      <c r="E128" s="24">
        <v>0</v>
      </c>
      <c r="F128" s="50">
        <f>SUM(B128:E128)</f>
        <v>15000</v>
      </c>
      <c r="G128" s="24">
        <f>+'WDT400-True-up'!F3</f>
        <v>15000</v>
      </c>
      <c r="H128" s="24">
        <f>+G128</f>
        <v>15000</v>
      </c>
      <c r="I128" s="73">
        <f>G128-H128</f>
        <v>0</v>
      </c>
    </row>
    <row r="129" spans="1:9" x14ac:dyDescent="0.2">
      <c r="A129" s="25" t="s">
        <v>31</v>
      </c>
      <c r="B129" s="24">
        <v>0</v>
      </c>
      <c r="C129" s="24">
        <v>0</v>
      </c>
      <c r="D129" s="24">
        <f>+'WDT400-True-up'!K16</f>
        <v>692.32166815887729</v>
      </c>
      <c r="E129" s="24">
        <v>0</v>
      </c>
      <c r="F129" s="50">
        <f>SUM(B129:E129)</f>
        <v>692.32166815887729</v>
      </c>
      <c r="G129" s="74"/>
      <c r="H129" s="75"/>
      <c r="I129" s="75"/>
    </row>
    <row r="130" spans="1:9" x14ac:dyDescent="0.2">
      <c r="A130" s="25" t="s">
        <v>32</v>
      </c>
      <c r="B130" s="24">
        <v>0</v>
      </c>
      <c r="C130" s="24">
        <v>0</v>
      </c>
      <c r="D130" s="24">
        <v>0</v>
      </c>
      <c r="E130" s="24">
        <v>0</v>
      </c>
      <c r="F130" s="50">
        <f>SUM(B130:E130)</f>
        <v>0</v>
      </c>
    </row>
    <row r="131" spans="1:9" x14ac:dyDescent="0.2">
      <c r="A131" s="23"/>
      <c r="B131" s="24"/>
      <c r="C131" s="24"/>
      <c r="D131" s="24"/>
      <c r="E131" s="24"/>
      <c r="F131" s="50"/>
      <c r="G131" s="24"/>
      <c r="H131" s="24"/>
      <c r="I131" s="24"/>
    </row>
    <row r="132" spans="1:9" x14ac:dyDescent="0.2">
      <c r="A132" s="52" t="str">
        <f>CONCATENATE(A2," Total")</f>
        <v>2017 Total</v>
      </c>
      <c r="B132" s="53"/>
      <c r="C132" s="53"/>
      <c r="D132" s="53"/>
      <c r="E132" s="53"/>
      <c r="F132" s="54"/>
      <c r="G132" s="280"/>
      <c r="H132" s="280"/>
      <c r="I132" s="280"/>
    </row>
    <row r="133" spans="1:9" x14ac:dyDescent="0.2">
      <c r="A133" s="49" t="s">
        <v>30</v>
      </c>
      <c r="B133" s="50">
        <f t="shared" ref="B133:E135" si="0">SUMPRODUCT((($A$6:$A$132)=$A133)*1,B$6:B$132)</f>
        <v>9800137.2812712435</v>
      </c>
      <c r="C133" s="50">
        <f t="shared" si="0"/>
        <v>10184287.4000738</v>
      </c>
      <c r="D133" s="50">
        <f t="shared" si="0"/>
        <v>11988100.273638548</v>
      </c>
      <c r="E133" s="50">
        <f t="shared" si="0"/>
        <v>9082948.7950671185</v>
      </c>
      <c r="F133" s="50">
        <f>SUM(B133:E133)</f>
        <v>41055473.750050709</v>
      </c>
      <c r="G133" s="50">
        <f>SUM(G5:G132)</f>
        <v>183489713.74401277</v>
      </c>
      <c r="H133" s="50">
        <f>SUM(H5:H132)</f>
        <v>90144609.038939595</v>
      </c>
      <c r="I133" s="50">
        <f>SUM(I5:I132)</f>
        <v>93345104.705073208</v>
      </c>
    </row>
    <row r="134" spans="1:9" x14ac:dyDescent="0.2">
      <c r="A134" s="49" t="s">
        <v>31</v>
      </c>
      <c r="B134" s="50">
        <f t="shared" si="0"/>
        <v>1575019.0062044605</v>
      </c>
      <c r="C134" s="50">
        <f t="shared" si="0"/>
        <v>1443941.0447094885</v>
      </c>
      <c r="D134" s="50">
        <f t="shared" si="0"/>
        <v>1653071.5581777869</v>
      </c>
      <c r="E134" s="50">
        <f t="shared" si="0"/>
        <v>1420210.9690439063</v>
      </c>
      <c r="F134" s="50">
        <f>SUM(B134:E134)</f>
        <v>6092242.5781356432</v>
      </c>
      <c r="G134" s="51"/>
      <c r="H134" s="51"/>
      <c r="I134" s="51"/>
    </row>
    <row r="135" spans="1:9" x14ac:dyDescent="0.2">
      <c r="A135" s="49" t="s">
        <v>32</v>
      </c>
      <c r="B135" s="50">
        <f t="shared" si="0"/>
        <v>2572.7628208612728</v>
      </c>
      <c r="C135" s="50">
        <f t="shared" si="0"/>
        <v>12554.483411592702</v>
      </c>
      <c r="D135" s="50">
        <f t="shared" si="0"/>
        <v>4791.8496239186179</v>
      </c>
      <c r="E135" s="50">
        <f t="shared" si="0"/>
        <v>4689.2562397628835</v>
      </c>
      <c r="F135" s="50">
        <f>SUM(B135:E135)</f>
        <v>24608.352096135477</v>
      </c>
      <c r="G135" s="40"/>
      <c r="H135" s="51"/>
      <c r="I135" s="51"/>
    </row>
    <row r="137" spans="1:9" x14ac:dyDescent="0.2">
      <c r="A137" s="27" t="s">
        <v>12</v>
      </c>
      <c r="I137" s="77"/>
    </row>
    <row r="138" spans="1:9" x14ac:dyDescent="0.2">
      <c r="A138" s="45" t="s">
        <v>36</v>
      </c>
      <c r="I138" s="77"/>
    </row>
    <row r="139" spans="1:9" s="26" customFormat="1" x14ac:dyDescent="0.2">
      <c r="A139" s="302" t="s">
        <v>34</v>
      </c>
      <c r="B139" s="302"/>
      <c r="C139" s="302"/>
      <c r="D139" s="302"/>
      <c r="E139" s="302"/>
      <c r="F139" s="302"/>
      <c r="I139" s="75"/>
    </row>
    <row r="140" spans="1:9" s="26" customFormat="1" x14ac:dyDescent="0.2">
      <c r="A140" s="302" t="s">
        <v>44</v>
      </c>
      <c r="B140" s="302"/>
      <c r="C140" s="302"/>
      <c r="D140" s="302"/>
      <c r="E140" s="302"/>
      <c r="F140" s="302"/>
    </row>
    <row r="141" spans="1:9" s="26" customFormat="1" x14ac:dyDescent="0.2">
      <c r="A141" s="302" t="s">
        <v>35</v>
      </c>
      <c r="B141" s="302"/>
      <c r="C141" s="302"/>
      <c r="D141" s="302"/>
      <c r="E141" s="302"/>
      <c r="F141" s="302"/>
    </row>
    <row r="142" spans="1:9" s="26" customFormat="1" x14ac:dyDescent="0.2">
      <c r="A142" s="297" t="s">
        <v>45</v>
      </c>
      <c r="B142" s="297"/>
      <c r="C142" s="297"/>
      <c r="D142" s="297"/>
      <c r="E142" s="297"/>
      <c r="F142" s="297"/>
    </row>
    <row r="143" spans="1:9" s="26" customFormat="1" ht="8.4499999999999993" customHeight="1" x14ac:dyDescent="0.2">
      <c r="A143" s="297"/>
      <c r="B143" s="297"/>
      <c r="C143" s="297"/>
      <c r="D143" s="297"/>
      <c r="E143" s="297"/>
      <c r="F143" s="297"/>
    </row>
    <row r="144" spans="1:9" s="26" customFormat="1" ht="10.9" customHeight="1" x14ac:dyDescent="0.2">
      <c r="A144" s="298" t="s">
        <v>37</v>
      </c>
      <c r="B144" s="298"/>
      <c r="C144" s="298"/>
      <c r="D144" s="298"/>
      <c r="E144" s="298"/>
      <c r="F144" s="298"/>
    </row>
    <row r="145" spans="1:6" s="26" customFormat="1" x14ac:dyDescent="0.2">
      <c r="A145" s="298"/>
      <c r="B145" s="298"/>
      <c r="C145" s="298"/>
      <c r="D145" s="298"/>
      <c r="E145" s="298"/>
      <c r="F145" s="298"/>
    </row>
  </sheetData>
  <mergeCells count="8">
    <mergeCell ref="A142:F143"/>
    <mergeCell ref="A144:F145"/>
    <mergeCell ref="A1:F1"/>
    <mergeCell ref="A2:F2"/>
    <mergeCell ref="B4:E4"/>
    <mergeCell ref="A139:F139"/>
    <mergeCell ref="A140:F140"/>
    <mergeCell ref="A141:F141"/>
  </mergeCells>
  <printOptions horizontalCentered="1"/>
  <pageMargins left="0.7" right="0.7" top="0.75" bottom="0.75" header="0.3" footer="0.3"/>
  <pageSetup scale="60" orientation="portrait" r:id="rId1"/>
  <headerFooter alignWithMargins="0">
    <oddHeader>&amp;RTO2019 Annual Update
Attachment 4
WP Schedule 22
Page &amp;P of &amp;N</oddHeader>
    <oddFooter>&amp;R&amp;A</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3"/>
  <sheetViews>
    <sheetView zoomScale="80" zoomScaleNormal="80" workbookViewId="0"/>
  </sheetViews>
  <sheetFormatPr defaultColWidth="9.140625" defaultRowHeight="12.75" x14ac:dyDescent="0.2"/>
  <cols>
    <col min="1" max="1" width="10.28515625" style="6" bestFit="1" customWidth="1"/>
    <col min="2" max="2" width="13.28515625" style="6" bestFit="1" customWidth="1"/>
    <col min="3" max="4" width="15.140625" style="6" customWidth="1"/>
    <col min="5" max="5" width="9.7109375" style="6" bestFit="1" customWidth="1"/>
    <col min="6" max="6" width="15.140625" style="6" bestFit="1" customWidth="1"/>
    <col min="7" max="7" width="17" style="6" bestFit="1" customWidth="1"/>
    <col min="8" max="9" width="16.28515625" style="6" customWidth="1"/>
    <col min="10" max="10" width="17.42578125" style="6" customWidth="1"/>
    <col min="11" max="13" width="16.28515625" style="6" customWidth="1"/>
    <col min="14" max="14" width="18" style="6" bestFit="1" customWidth="1"/>
    <col min="15" max="15" width="16.28515625" style="6" customWidth="1"/>
    <col min="16" max="16384" width="9.140625" style="6"/>
  </cols>
  <sheetData>
    <row r="1" spans="1:15" ht="38.25" x14ac:dyDescent="0.2">
      <c r="A1" s="101" t="s">
        <v>8</v>
      </c>
      <c r="B1" s="102" t="s">
        <v>88</v>
      </c>
      <c r="C1" s="101" t="s">
        <v>2</v>
      </c>
      <c r="D1" s="101" t="s">
        <v>1</v>
      </c>
      <c r="E1" s="102" t="s">
        <v>74</v>
      </c>
      <c r="F1" s="102" t="s">
        <v>48</v>
      </c>
    </row>
    <row r="2" spans="1:15" ht="12.75" customHeight="1" thickBot="1" x14ac:dyDescent="0.25">
      <c r="A2" s="96" t="s">
        <v>54</v>
      </c>
      <c r="B2" s="76">
        <v>41232</v>
      </c>
      <c r="C2" s="55">
        <v>9195000</v>
      </c>
      <c r="D2" s="55">
        <v>0</v>
      </c>
      <c r="E2" s="55">
        <v>0</v>
      </c>
      <c r="F2" s="7">
        <f>SUM(C2:E2)</f>
        <v>9195000</v>
      </c>
    </row>
    <row r="3" spans="1:15" x14ac:dyDescent="0.2">
      <c r="B3" s="44" t="s">
        <v>0</v>
      </c>
      <c r="C3" s="124">
        <f>SUM(C2:C2)</f>
        <v>9195000</v>
      </c>
      <c r="D3" s="124">
        <f>SUM(D2:D2)</f>
        <v>0</v>
      </c>
      <c r="E3" s="124">
        <f>SUM(E2:E2)</f>
        <v>0</v>
      </c>
      <c r="F3" s="124">
        <f>SUM(F2:F2)</f>
        <v>9195000</v>
      </c>
      <c r="J3" s="159"/>
      <c r="K3" s="158" t="s">
        <v>14</v>
      </c>
      <c r="L3" s="250" t="s">
        <v>13</v>
      </c>
    </row>
    <row r="4" spans="1:15" x14ac:dyDescent="0.2">
      <c r="A4" s="17" t="s">
        <v>19</v>
      </c>
      <c r="B4" s="18" t="s">
        <v>22</v>
      </c>
      <c r="C4" s="8">
        <v>0</v>
      </c>
      <c r="D4" s="8">
        <v>0</v>
      </c>
      <c r="E4" s="8">
        <v>0</v>
      </c>
      <c r="F4" s="8">
        <f>SUM(C4:E4)</f>
        <v>0</v>
      </c>
      <c r="J4" s="156" t="s">
        <v>11</v>
      </c>
      <c r="K4" s="103">
        <v>41244</v>
      </c>
      <c r="L4" s="251">
        <v>41232</v>
      </c>
    </row>
    <row r="5" spans="1:15" ht="13.5" thickBot="1" x14ac:dyDescent="0.25">
      <c r="A5" s="17" t="s">
        <v>20</v>
      </c>
      <c r="B5" s="18" t="s">
        <v>22</v>
      </c>
      <c r="C5" s="8">
        <v>0</v>
      </c>
      <c r="D5" s="8">
        <v>0</v>
      </c>
      <c r="E5" s="8">
        <v>0</v>
      </c>
      <c r="F5" s="8">
        <f>SUM(C5:E5)</f>
        <v>0</v>
      </c>
      <c r="J5" s="157" t="s">
        <v>17</v>
      </c>
      <c r="K5" s="104">
        <v>41335</v>
      </c>
      <c r="L5" s="252">
        <v>41291</v>
      </c>
    </row>
    <row r="6" spans="1:15" ht="13.5" thickBot="1" x14ac:dyDescent="0.25">
      <c r="A6" s="44"/>
      <c r="B6" s="80" t="s">
        <v>52</v>
      </c>
      <c r="C6" s="79">
        <f>+SUM(C3:C5)</f>
        <v>9195000</v>
      </c>
      <c r="D6" s="79">
        <f>+SUM(D3:D5)</f>
        <v>0</v>
      </c>
      <c r="E6" s="79">
        <f>+SUM(E3:E5)</f>
        <v>0</v>
      </c>
      <c r="F6" s="79">
        <f>+SUM(F3:F5)</f>
        <v>9195000</v>
      </c>
      <c r="H6" s="43"/>
      <c r="I6" s="5"/>
      <c r="J6" s="17"/>
    </row>
    <row r="7" spans="1:15" ht="14.25" thickTop="1" thickBot="1" x14ac:dyDescent="0.25">
      <c r="B7" s="44"/>
      <c r="C7" s="13"/>
      <c r="D7" s="13"/>
      <c r="E7" s="13"/>
      <c r="F7" s="13"/>
    </row>
    <row r="8" spans="1:15" x14ac:dyDescent="0.2">
      <c r="I8" s="143"/>
      <c r="J8" s="128"/>
      <c r="K8" s="128"/>
      <c r="L8" s="128"/>
      <c r="M8" s="108"/>
    </row>
    <row r="9" spans="1:15" ht="38.25" x14ac:dyDescent="0.2">
      <c r="A9" s="90" t="s">
        <v>53</v>
      </c>
      <c r="B9" s="90" t="s">
        <v>3</v>
      </c>
      <c r="C9" s="90" t="s">
        <v>4</v>
      </c>
      <c r="D9" s="90" t="s">
        <v>5</v>
      </c>
      <c r="E9" s="90" t="s">
        <v>6</v>
      </c>
      <c r="F9" s="90" t="s">
        <v>7</v>
      </c>
      <c r="G9" s="90" t="s">
        <v>93</v>
      </c>
      <c r="H9" s="90" t="s">
        <v>94</v>
      </c>
      <c r="I9" s="105" t="s">
        <v>95</v>
      </c>
      <c r="J9" s="106" t="s">
        <v>96</v>
      </c>
      <c r="K9" s="106" t="s">
        <v>97</v>
      </c>
      <c r="L9" s="106" t="s">
        <v>98</v>
      </c>
      <c r="M9" s="107" t="s">
        <v>99</v>
      </c>
      <c r="N9" s="90" t="s">
        <v>100</v>
      </c>
      <c r="O9" s="90" t="s">
        <v>101</v>
      </c>
    </row>
    <row r="10" spans="1:15" x14ac:dyDescent="0.2">
      <c r="A10" s="309" t="s">
        <v>2</v>
      </c>
      <c r="B10" s="309"/>
      <c r="C10" s="282">
        <f>$L$4</f>
        <v>41232</v>
      </c>
      <c r="D10" s="282">
        <f>DATE(YEAR(C10),IF(MONTH(C10)&lt;=3,3,IF(MONTH(C10)&lt;=6,6,IF(MONTH(C10)&lt;=9,9,12))),IF(OR(MONTH(C10)&lt;=3,MONTH(C10)&gt;=10),31,30))</f>
        <v>41274</v>
      </c>
      <c r="E10" s="283">
        <f>D10-C10+1</f>
        <v>43</v>
      </c>
      <c r="F10" s="284">
        <f>VLOOKUP(D10,'FERC Interest Rate'!$A:$B,2,TRUE)</f>
        <v>3.2500000000000001E-2</v>
      </c>
      <c r="G10" s="167">
        <f>$C$3</f>
        <v>9195000</v>
      </c>
      <c r="H10" s="167">
        <f>G10*F10*(E10/(DATE(YEAR(D10),12,31)-DATE(YEAR(D10),1,1)+1))</f>
        <v>35109.323770491806</v>
      </c>
      <c r="I10" s="285">
        <v>0</v>
      </c>
      <c r="J10" s="286">
        <v>0</v>
      </c>
      <c r="K10" s="288">
        <f>+SUM(I10:J10)</f>
        <v>0</v>
      </c>
      <c r="L10" s="286">
        <v>0</v>
      </c>
      <c r="M10" s="289">
        <f>+SUM(K10:L10)</f>
        <v>0</v>
      </c>
      <c r="N10" s="290">
        <f>+G10+H10+J10</f>
        <v>9230109.3237704914</v>
      </c>
      <c r="O10" s="167">
        <f t="shared" ref="O10:O30" si="0">G10+H10-L10-I10</f>
        <v>9230109.3237704914</v>
      </c>
    </row>
    <row r="11" spans="1:15" x14ac:dyDescent="0.2">
      <c r="A11" s="96" t="s">
        <v>54</v>
      </c>
      <c r="B11" s="81" t="str">
        <f t="shared" ref="B11:B30" si="1">+IF(MONTH(C11)&lt;4,"Q1",IF(MONTH(C11)&lt;7,"Q2",IF(MONTH(C11)&lt;10,"Q3","Q4")))&amp;"/"&amp;YEAR(C11)</f>
        <v>Q1/2013</v>
      </c>
      <c r="C11" s="82">
        <f>D10+1</f>
        <v>41275</v>
      </c>
      <c r="D11" s="82">
        <f t="shared" ref="D11:D20" si="2">EOMONTH(D10,3)</f>
        <v>41364</v>
      </c>
      <c r="E11" s="81">
        <f>D11-C11+1</f>
        <v>90</v>
      </c>
      <c r="F11" s="83">
        <f>VLOOKUP(D11,'FERC Interest Rate'!$A:$B,2,TRUE)</f>
        <v>3.2500000000000001E-2</v>
      </c>
      <c r="G11" s="84">
        <f t="shared" ref="G11:G30" si="3">O10</f>
        <v>9230109.3237704914</v>
      </c>
      <c r="H11" s="167">
        <f>G11*F11*(E11/(DATE(YEAR(D11),12,31)-DATE(YEAR(D11),1,1)+1))</f>
        <v>73967.314443914205</v>
      </c>
      <c r="I11" s="109">
        <f t="shared" ref="I11:I30" si="4">SUM($H$10:$H$31)/20</f>
        <v>5453.8319107203006</v>
      </c>
      <c r="J11" s="286">
        <v>0</v>
      </c>
      <c r="K11" s="129">
        <f t="shared" ref="K11:K30" si="5">+SUM(I11:J11)</f>
        <v>5453.8319107203006</v>
      </c>
      <c r="L11" s="85">
        <f t="shared" ref="L11:L30" si="6">$C$3/20</f>
        <v>459750</v>
      </c>
      <c r="M11" s="130">
        <f t="shared" ref="M11:M30" si="7">+SUM(K11:L11)</f>
        <v>465203.83191072033</v>
      </c>
      <c r="N11" s="8">
        <f t="shared" ref="N11:N30" si="8">+G11+H11+J11</f>
        <v>9304076.6382144056</v>
      </c>
      <c r="O11" s="84">
        <f t="shared" si="0"/>
        <v>8838872.8063036855</v>
      </c>
    </row>
    <row r="12" spans="1:15" x14ac:dyDescent="0.2">
      <c r="A12" s="96" t="s">
        <v>55</v>
      </c>
      <c r="B12" s="81" t="str">
        <f t="shared" si="1"/>
        <v>Q2/2013</v>
      </c>
      <c r="C12" s="82">
        <f>D11+1</f>
        <v>41365</v>
      </c>
      <c r="D12" s="82">
        <f t="shared" si="2"/>
        <v>41455</v>
      </c>
      <c r="E12" s="81">
        <f>D12-C12+1</f>
        <v>91</v>
      </c>
      <c r="F12" s="83">
        <f>VLOOKUP(D12,'FERC Interest Rate'!$A:$B,2,TRUE)</f>
        <v>3.2500000000000001E-2</v>
      </c>
      <c r="G12" s="84">
        <f t="shared" si="3"/>
        <v>8838872.8063036855</v>
      </c>
      <c r="H12" s="84">
        <v>0</v>
      </c>
      <c r="I12" s="109">
        <f t="shared" si="4"/>
        <v>5453.8319107203006</v>
      </c>
      <c r="J12" s="85">
        <f t="shared" ref="J12:J30" si="9">G12*F12*(E12/(DATE(YEAR(D12),12,31)-DATE(YEAR(D12),1,1)+1))</f>
        <v>71619.085820940149</v>
      </c>
      <c r="K12" s="129">
        <f t="shared" si="5"/>
        <v>77072.917731660447</v>
      </c>
      <c r="L12" s="85">
        <f t="shared" si="6"/>
        <v>459750</v>
      </c>
      <c r="M12" s="130">
        <f t="shared" si="7"/>
        <v>536822.91773166042</v>
      </c>
      <c r="N12" s="8">
        <f t="shared" si="8"/>
        <v>8910491.8921246249</v>
      </c>
      <c r="O12" s="84">
        <f t="shared" si="0"/>
        <v>8373668.9743929654</v>
      </c>
    </row>
    <row r="13" spans="1:15" x14ac:dyDescent="0.2">
      <c r="A13" s="96" t="s">
        <v>56</v>
      </c>
      <c r="B13" s="81" t="str">
        <f t="shared" si="1"/>
        <v>Q3/2013</v>
      </c>
      <c r="C13" s="82">
        <f t="shared" ref="C13:C30" si="10">D12+1</f>
        <v>41456</v>
      </c>
      <c r="D13" s="82">
        <f t="shared" si="2"/>
        <v>41547</v>
      </c>
      <c r="E13" s="81">
        <f t="shared" ref="E13:E30" si="11">D13-C13+1</f>
        <v>92</v>
      </c>
      <c r="F13" s="83">
        <f>VLOOKUP(D13,'FERC Interest Rate'!$A:$B,2,TRUE)</f>
        <v>3.2500000000000001E-2</v>
      </c>
      <c r="G13" s="84">
        <f t="shared" si="3"/>
        <v>8373668.9743929654</v>
      </c>
      <c r="H13" s="84">
        <v>0</v>
      </c>
      <c r="I13" s="109">
        <f t="shared" si="4"/>
        <v>5453.8319107203006</v>
      </c>
      <c r="J13" s="85">
        <f t="shared" si="9"/>
        <v>68595.260913520455</v>
      </c>
      <c r="K13" s="129">
        <f t="shared" si="5"/>
        <v>74049.092824240754</v>
      </c>
      <c r="L13" s="85">
        <f t="shared" si="6"/>
        <v>459750</v>
      </c>
      <c r="M13" s="130">
        <f t="shared" si="7"/>
        <v>533799.0928242408</v>
      </c>
      <c r="N13" s="8">
        <f t="shared" si="8"/>
        <v>8442264.2353064865</v>
      </c>
      <c r="O13" s="84">
        <f t="shared" si="0"/>
        <v>7908465.1424822453</v>
      </c>
    </row>
    <row r="14" spans="1:15" x14ac:dyDescent="0.2">
      <c r="A14" s="96" t="s">
        <v>57</v>
      </c>
      <c r="B14" s="81" t="str">
        <f t="shared" si="1"/>
        <v>Q4/2013</v>
      </c>
      <c r="C14" s="82">
        <f t="shared" si="10"/>
        <v>41548</v>
      </c>
      <c r="D14" s="82">
        <f t="shared" si="2"/>
        <v>41639</v>
      </c>
      <c r="E14" s="81">
        <f t="shared" si="11"/>
        <v>92</v>
      </c>
      <c r="F14" s="83">
        <f>VLOOKUP(D14,'FERC Interest Rate'!$A:$B,2,TRUE)</f>
        <v>3.2500000000000001E-2</v>
      </c>
      <c r="G14" s="84">
        <f t="shared" si="3"/>
        <v>7908465.1424822453</v>
      </c>
      <c r="H14" s="84">
        <v>0</v>
      </c>
      <c r="I14" s="109">
        <f t="shared" si="4"/>
        <v>5453.8319107203006</v>
      </c>
      <c r="J14" s="85">
        <f t="shared" si="9"/>
        <v>64784.413084991553</v>
      </c>
      <c r="K14" s="129">
        <f t="shared" si="5"/>
        <v>70238.244995711852</v>
      </c>
      <c r="L14" s="85">
        <f t="shared" si="6"/>
        <v>459750</v>
      </c>
      <c r="M14" s="130">
        <f t="shared" si="7"/>
        <v>529988.24499571184</v>
      </c>
      <c r="N14" s="8">
        <f t="shared" si="8"/>
        <v>7973249.5555672366</v>
      </c>
      <c r="O14" s="84">
        <f t="shared" si="0"/>
        <v>7443261.3105715252</v>
      </c>
    </row>
    <row r="15" spans="1:15" x14ac:dyDescent="0.2">
      <c r="A15" s="96" t="s">
        <v>58</v>
      </c>
      <c r="B15" s="81" t="str">
        <f t="shared" si="1"/>
        <v>Q1/2014</v>
      </c>
      <c r="C15" s="82">
        <f t="shared" si="10"/>
        <v>41640</v>
      </c>
      <c r="D15" s="82">
        <f t="shared" si="2"/>
        <v>41729</v>
      </c>
      <c r="E15" s="81">
        <f t="shared" si="11"/>
        <v>90</v>
      </c>
      <c r="F15" s="83">
        <f>VLOOKUP(D15,'FERC Interest Rate'!$A:$B,2,TRUE)</f>
        <v>3.2500000000000001E-2</v>
      </c>
      <c r="G15" s="84">
        <f t="shared" si="3"/>
        <v>7443261.3105715252</v>
      </c>
      <c r="H15" s="84">
        <v>0</v>
      </c>
      <c r="I15" s="109">
        <f t="shared" si="4"/>
        <v>5453.8319107203006</v>
      </c>
      <c r="J15" s="85">
        <f t="shared" si="9"/>
        <v>59648.052968278658</v>
      </c>
      <c r="K15" s="129">
        <f t="shared" si="5"/>
        <v>65101.884878998957</v>
      </c>
      <c r="L15" s="85">
        <f t="shared" si="6"/>
        <v>459750</v>
      </c>
      <c r="M15" s="130">
        <f t="shared" si="7"/>
        <v>524851.88487899897</v>
      </c>
      <c r="N15" s="8">
        <f t="shared" si="8"/>
        <v>7502909.3635398038</v>
      </c>
      <c r="O15" s="84">
        <f t="shared" si="0"/>
        <v>6978057.4786608052</v>
      </c>
    </row>
    <row r="16" spans="1:15" x14ac:dyDescent="0.2">
      <c r="A16" s="96" t="s">
        <v>59</v>
      </c>
      <c r="B16" s="81" t="str">
        <f t="shared" si="1"/>
        <v>Q2/2014</v>
      </c>
      <c r="C16" s="82">
        <f t="shared" si="10"/>
        <v>41730</v>
      </c>
      <c r="D16" s="82">
        <f t="shared" si="2"/>
        <v>41820</v>
      </c>
      <c r="E16" s="81">
        <f t="shared" si="11"/>
        <v>91</v>
      </c>
      <c r="F16" s="83">
        <f>VLOOKUP(D16,'FERC Interest Rate'!$A:$B,2,TRUE)</f>
        <v>3.2500000000000001E-2</v>
      </c>
      <c r="G16" s="84">
        <f t="shared" si="3"/>
        <v>6978057.4786608052</v>
      </c>
      <c r="H16" s="84">
        <v>0</v>
      </c>
      <c r="I16" s="109">
        <f t="shared" si="4"/>
        <v>5453.8319107203006</v>
      </c>
      <c r="J16" s="85">
        <f t="shared" si="9"/>
        <v>56541.383542847485</v>
      </c>
      <c r="K16" s="129">
        <f t="shared" si="5"/>
        <v>61995.215453567784</v>
      </c>
      <c r="L16" s="85">
        <f t="shared" si="6"/>
        <v>459750</v>
      </c>
      <c r="M16" s="130">
        <f t="shared" si="7"/>
        <v>521745.2154535678</v>
      </c>
      <c r="N16" s="8">
        <f t="shared" si="8"/>
        <v>7034598.862203653</v>
      </c>
      <c r="O16" s="84">
        <f t="shared" si="0"/>
        <v>6512853.6467500851</v>
      </c>
    </row>
    <row r="17" spans="1:15" x14ac:dyDescent="0.2">
      <c r="A17" s="96" t="s">
        <v>60</v>
      </c>
      <c r="B17" s="81" t="str">
        <f t="shared" si="1"/>
        <v>Q3/2014</v>
      </c>
      <c r="C17" s="82">
        <f t="shared" si="10"/>
        <v>41821</v>
      </c>
      <c r="D17" s="82">
        <f t="shared" si="2"/>
        <v>41912</v>
      </c>
      <c r="E17" s="81">
        <f t="shared" si="11"/>
        <v>92</v>
      </c>
      <c r="F17" s="83">
        <f>VLOOKUP(D17,'FERC Interest Rate'!$A:$B,2,TRUE)</f>
        <v>3.2500000000000001E-2</v>
      </c>
      <c r="G17" s="84">
        <f t="shared" si="3"/>
        <v>6512853.6467500851</v>
      </c>
      <c r="H17" s="84">
        <v>0</v>
      </c>
      <c r="I17" s="109">
        <f t="shared" si="4"/>
        <v>5453.8319107203006</v>
      </c>
      <c r="J17" s="85">
        <f t="shared" si="9"/>
        <v>53351.869599404818</v>
      </c>
      <c r="K17" s="129">
        <f t="shared" si="5"/>
        <v>58805.701510125116</v>
      </c>
      <c r="L17" s="85">
        <f t="shared" si="6"/>
        <v>459750</v>
      </c>
      <c r="M17" s="130">
        <f t="shared" si="7"/>
        <v>518555.70151012513</v>
      </c>
      <c r="N17" s="8">
        <f t="shared" si="8"/>
        <v>6566205.5163494898</v>
      </c>
      <c r="O17" s="84">
        <f t="shared" si="0"/>
        <v>6047649.814839365</v>
      </c>
    </row>
    <row r="18" spans="1:15" x14ac:dyDescent="0.2">
      <c r="A18" s="96" t="s">
        <v>61</v>
      </c>
      <c r="B18" s="81" t="str">
        <f t="shared" si="1"/>
        <v>Q4/2014</v>
      </c>
      <c r="C18" s="82">
        <f t="shared" si="10"/>
        <v>41913</v>
      </c>
      <c r="D18" s="82">
        <f t="shared" si="2"/>
        <v>42004</v>
      </c>
      <c r="E18" s="81">
        <f t="shared" si="11"/>
        <v>92</v>
      </c>
      <c r="F18" s="83">
        <f>VLOOKUP(D18,'FERC Interest Rate'!$A:$B,2,TRUE)</f>
        <v>3.2500000000000001E-2</v>
      </c>
      <c r="G18" s="84">
        <f t="shared" si="3"/>
        <v>6047649.814839365</v>
      </c>
      <c r="H18" s="84">
        <v>0</v>
      </c>
      <c r="I18" s="109">
        <f t="shared" si="4"/>
        <v>5453.8319107203006</v>
      </c>
      <c r="J18" s="85">
        <f>G18*F18*(E18/(DATE(YEAR(D18),12,31)-DATE(YEAR(D18),1,1)+1))</f>
        <v>49541.021770875901</v>
      </c>
      <c r="K18" s="129">
        <f t="shared" si="5"/>
        <v>54994.8536815962</v>
      </c>
      <c r="L18" s="85">
        <f t="shared" si="6"/>
        <v>459750</v>
      </c>
      <c r="M18" s="130">
        <f t="shared" si="7"/>
        <v>514744.85368159623</v>
      </c>
      <c r="N18" s="8">
        <f t="shared" si="8"/>
        <v>6097190.8366102409</v>
      </c>
      <c r="O18" s="84">
        <f t="shared" si="0"/>
        <v>5582445.9829286449</v>
      </c>
    </row>
    <row r="19" spans="1:15" x14ac:dyDescent="0.2">
      <c r="A19" s="96" t="s">
        <v>62</v>
      </c>
      <c r="B19" s="81" t="str">
        <f t="shared" si="1"/>
        <v>Q1/2015</v>
      </c>
      <c r="C19" s="82">
        <f t="shared" si="10"/>
        <v>42005</v>
      </c>
      <c r="D19" s="82">
        <f t="shared" si="2"/>
        <v>42094</v>
      </c>
      <c r="E19" s="81">
        <f t="shared" si="11"/>
        <v>90</v>
      </c>
      <c r="F19" s="83">
        <f>VLOOKUP(D19,'FERC Interest Rate'!$A:$B,2,TRUE)</f>
        <v>3.2500000000000001E-2</v>
      </c>
      <c r="G19" s="84">
        <f t="shared" si="3"/>
        <v>5582445.9829286449</v>
      </c>
      <c r="H19" s="84">
        <v>0</v>
      </c>
      <c r="I19" s="109">
        <f t="shared" si="4"/>
        <v>5453.8319107203006</v>
      </c>
      <c r="J19" s="85">
        <f t="shared" si="9"/>
        <v>44736.039726208997</v>
      </c>
      <c r="K19" s="129">
        <f t="shared" si="5"/>
        <v>50189.871636929296</v>
      </c>
      <c r="L19" s="85">
        <f t="shared" si="6"/>
        <v>459750</v>
      </c>
      <c r="M19" s="130">
        <f t="shared" si="7"/>
        <v>509939.87163692928</v>
      </c>
      <c r="N19" s="8">
        <f t="shared" si="8"/>
        <v>5627182.0226548538</v>
      </c>
      <c r="O19" s="84">
        <f t="shared" si="0"/>
        <v>5117242.1510179248</v>
      </c>
    </row>
    <row r="20" spans="1:15" x14ac:dyDescent="0.2">
      <c r="A20" s="96" t="s">
        <v>63</v>
      </c>
      <c r="B20" s="81" t="str">
        <f t="shared" si="1"/>
        <v>Q2/2015</v>
      </c>
      <c r="C20" s="82">
        <f t="shared" si="10"/>
        <v>42095</v>
      </c>
      <c r="D20" s="82">
        <f t="shared" si="2"/>
        <v>42185</v>
      </c>
      <c r="E20" s="81">
        <f t="shared" si="11"/>
        <v>91</v>
      </c>
      <c r="F20" s="83">
        <f>VLOOKUP(D20,'FERC Interest Rate'!$A:$B,2,TRUE)</f>
        <v>3.2500000000000001E-2</v>
      </c>
      <c r="G20" s="84">
        <f t="shared" si="3"/>
        <v>5117242.1510179248</v>
      </c>
      <c r="H20" s="84">
        <v>0</v>
      </c>
      <c r="I20" s="109">
        <f t="shared" si="4"/>
        <v>5453.8319107203006</v>
      </c>
      <c r="J20" s="85">
        <f t="shared" si="9"/>
        <v>41463.681264754829</v>
      </c>
      <c r="K20" s="129">
        <f t="shared" si="5"/>
        <v>46917.513175475127</v>
      </c>
      <c r="L20" s="85">
        <f t="shared" si="6"/>
        <v>459750</v>
      </c>
      <c r="M20" s="130">
        <f t="shared" si="7"/>
        <v>506667.51317547512</v>
      </c>
      <c r="N20" s="8">
        <f t="shared" si="8"/>
        <v>5158705.8322826792</v>
      </c>
      <c r="O20" s="84">
        <f t="shared" si="0"/>
        <v>4652038.3191072047</v>
      </c>
    </row>
    <row r="21" spans="1:15" x14ac:dyDescent="0.2">
      <c r="A21" s="96" t="s">
        <v>64</v>
      </c>
      <c r="B21" s="81" t="str">
        <f t="shared" si="1"/>
        <v>Q3/2015</v>
      </c>
      <c r="C21" s="82">
        <f t="shared" si="10"/>
        <v>42186</v>
      </c>
      <c r="D21" s="82">
        <f t="shared" ref="D21:D30" si="12">EOMONTH(D20,3)</f>
        <v>42277</v>
      </c>
      <c r="E21" s="81">
        <f t="shared" si="11"/>
        <v>92</v>
      </c>
      <c r="F21" s="83">
        <f>VLOOKUP(D21,'FERC Interest Rate'!$A:$B,2,TRUE)</f>
        <v>3.2500000000000001E-2</v>
      </c>
      <c r="G21" s="84">
        <f t="shared" si="3"/>
        <v>4652038.3191072047</v>
      </c>
      <c r="H21" s="84">
        <v>0</v>
      </c>
      <c r="I21" s="109">
        <f t="shared" si="4"/>
        <v>5453.8319107203006</v>
      </c>
      <c r="J21" s="85">
        <f t="shared" si="9"/>
        <v>38108.478285289166</v>
      </c>
      <c r="K21" s="129">
        <f t="shared" si="5"/>
        <v>43562.310196009465</v>
      </c>
      <c r="L21" s="85">
        <f t="shared" si="6"/>
        <v>459750</v>
      </c>
      <c r="M21" s="130">
        <f t="shared" si="7"/>
        <v>503312.31019600946</v>
      </c>
      <c r="N21" s="8">
        <f t="shared" si="8"/>
        <v>4690146.797392494</v>
      </c>
      <c r="O21" s="84">
        <f t="shared" si="0"/>
        <v>4186834.4871964846</v>
      </c>
    </row>
    <row r="22" spans="1:15" x14ac:dyDescent="0.2">
      <c r="A22" s="96" t="s">
        <v>65</v>
      </c>
      <c r="B22" s="81" t="str">
        <f t="shared" si="1"/>
        <v>Q4/2015</v>
      </c>
      <c r="C22" s="82">
        <f t="shared" si="10"/>
        <v>42278</v>
      </c>
      <c r="D22" s="82">
        <f t="shared" si="12"/>
        <v>42369</v>
      </c>
      <c r="E22" s="81">
        <f t="shared" si="11"/>
        <v>92</v>
      </c>
      <c r="F22" s="83">
        <f>VLOOKUP(D22,'FERC Interest Rate'!$A:$B,2,TRUE)</f>
        <v>3.2500000000000001E-2</v>
      </c>
      <c r="G22" s="84">
        <f t="shared" si="3"/>
        <v>4186834.4871964846</v>
      </c>
      <c r="H22" s="84">
        <v>0</v>
      </c>
      <c r="I22" s="109">
        <f t="shared" si="4"/>
        <v>5453.8319107203006</v>
      </c>
      <c r="J22" s="85">
        <f t="shared" si="9"/>
        <v>34297.630456760242</v>
      </c>
      <c r="K22" s="129">
        <f t="shared" si="5"/>
        <v>39751.462367480541</v>
      </c>
      <c r="L22" s="85">
        <f t="shared" si="6"/>
        <v>459750</v>
      </c>
      <c r="M22" s="130">
        <f t="shared" si="7"/>
        <v>499501.46236748056</v>
      </c>
      <c r="N22" s="8">
        <f t="shared" si="8"/>
        <v>4221132.1176532451</v>
      </c>
      <c r="O22" s="84">
        <f t="shared" si="0"/>
        <v>3721630.6552857645</v>
      </c>
    </row>
    <row r="23" spans="1:15" x14ac:dyDescent="0.2">
      <c r="A23" s="96" t="s">
        <v>66</v>
      </c>
      <c r="B23" s="81" t="str">
        <f t="shared" si="1"/>
        <v>Q1/2016</v>
      </c>
      <c r="C23" s="82">
        <f t="shared" si="10"/>
        <v>42370</v>
      </c>
      <c r="D23" s="82">
        <f t="shared" si="12"/>
        <v>42460</v>
      </c>
      <c r="E23" s="81">
        <f t="shared" si="11"/>
        <v>91</v>
      </c>
      <c r="F23" s="83">
        <f>VLOOKUP(D23,'FERC Interest Rate'!$A:$B,2,TRUE)</f>
        <v>3.2500000000000001E-2</v>
      </c>
      <c r="G23" s="84">
        <f t="shared" si="3"/>
        <v>3721630.6552857645</v>
      </c>
      <c r="H23" s="84">
        <v>0</v>
      </c>
      <c r="I23" s="109">
        <f t="shared" si="4"/>
        <v>5453.8319107203006</v>
      </c>
      <c r="J23" s="85">
        <f t="shared" si="9"/>
        <v>30073.012740458056</v>
      </c>
      <c r="K23" s="129">
        <f t="shared" si="5"/>
        <v>35526.844651178355</v>
      </c>
      <c r="L23" s="85">
        <f t="shared" si="6"/>
        <v>459750</v>
      </c>
      <c r="M23" s="130">
        <f t="shared" si="7"/>
        <v>495276.84465117834</v>
      </c>
      <c r="N23" s="8">
        <f t="shared" si="8"/>
        <v>3751703.6680262224</v>
      </c>
      <c r="O23" s="84">
        <f t="shared" si="0"/>
        <v>3256426.8233750444</v>
      </c>
    </row>
    <row r="24" spans="1:15" x14ac:dyDescent="0.2">
      <c r="A24" s="96" t="s">
        <v>67</v>
      </c>
      <c r="B24" s="81" t="str">
        <f t="shared" si="1"/>
        <v>Q2/2016</v>
      </c>
      <c r="C24" s="82">
        <f t="shared" si="10"/>
        <v>42461</v>
      </c>
      <c r="D24" s="82">
        <f t="shared" si="12"/>
        <v>42551</v>
      </c>
      <c r="E24" s="81">
        <f t="shared" si="11"/>
        <v>91</v>
      </c>
      <c r="F24" s="83">
        <f>VLOOKUP(D24,'FERC Interest Rate'!$A:$B,2,TRUE)</f>
        <v>3.4599999999999999E-2</v>
      </c>
      <c r="G24" s="84">
        <f t="shared" si="3"/>
        <v>3256426.8233750444</v>
      </c>
      <c r="H24" s="84">
        <v>0</v>
      </c>
      <c r="I24" s="109">
        <f t="shared" si="4"/>
        <v>5453.8319107203006</v>
      </c>
      <c r="J24" s="85">
        <f t="shared" si="9"/>
        <v>28014.168022072856</v>
      </c>
      <c r="K24" s="129">
        <f t="shared" si="5"/>
        <v>33467.999932793158</v>
      </c>
      <c r="L24" s="85">
        <f t="shared" si="6"/>
        <v>459750</v>
      </c>
      <c r="M24" s="130">
        <f t="shared" si="7"/>
        <v>493217.99993279314</v>
      </c>
      <c r="N24" s="8">
        <f t="shared" si="8"/>
        <v>3284440.9913971173</v>
      </c>
      <c r="O24" s="84">
        <f t="shared" si="0"/>
        <v>2791222.9914643243</v>
      </c>
    </row>
    <row r="25" spans="1:15" x14ac:dyDescent="0.2">
      <c r="A25" s="96" t="s">
        <v>68</v>
      </c>
      <c r="B25" s="81" t="str">
        <f t="shared" si="1"/>
        <v>Q3/2016</v>
      </c>
      <c r="C25" s="82">
        <f t="shared" si="10"/>
        <v>42552</v>
      </c>
      <c r="D25" s="82">
        <f t="shared" si="12"/>
        <v>42643</v>
      </c>
      <c r="E25" s="81">
        <f t="shared" si="11"/>
        <v>92</v>
      </c>
      <c r="F25" s="83">
        <f>VLOOKUP(D25,'FERC Interest Rate'!$A:$B,2,TRUE)</f>
        <v>3.5000000000000003E-2</v>
      </c>
      <c r="G25" s="84">
        <f t="shared" si="3"/>
        <v>2791222.9914643243</v>
      </c>
      <c r="H25" s="84">
        <v>0</v>
      </c>
      <c r="I25" s="109">
        <f t="shared" si="4"/>
        <v>5453.8319107203006</v>
      </c>
      <c r="J25" s="85">
        <f t="shared" si="9"/>
        <v>24556.661291024931</v>
      </c>
      <c r="K25" s="129">
        <f t="shared" si="5"/>
        <v>30010.49320174523</v>
      </c>
      <c r="L25" s="85">
        <f t="shared" si="6"/>
        <v>459750</v>
      </c>
      <c r="M25" s="130">
        <f t="shared" si="7"/>
        <v>489760.49320174521</v>
      </c>
      <c r="N25" s="8">
        <f t="shared" si="8"/>
        <v>2815779.6527553494</v>
      </c>
      <c r="O25" s="84">
        <f t="shared" si="0"/>
        <v>2326019.1595536042</v>
      </c>
    </row>
    <row r="26" spans="1:15" x14ac:dyDescent="0.2">
      <c r="A26" s="96" t="s">
        <v>69</v>
      </c>
      <c r="B26" s="81" t="str">
        <f t="shared" si="1"/>
        <v>Q4/2016</v>
      </c>
      <c r="C26" s="82">
        <f t="shared" si="10"/>
        <v>42644</v>
      </c>
      <c r="D26" s="82">
        <f t="shared" si="12"/>
        <v>42735</v>
      </c>
      <c r="E26" s="81">
        <f t="shared" si="11"/>
        <v>92</v>
      </c>
      <c r="F26" s="83">
        <f>VLOOKUP(D26,'FERC Interest Rate'!$A:$B,2,TRUE)</f>
        <v>3.5000000000000003E-2</v>
      </c>
      <c r="G26" s="84">
        <f t="shared" si="3"/>
        <v>2326019.1595536042</v>
      </c>
      <c r="H26" s="84">
        <v>0</v>
      </c>
      <c r="I26" s="109">
        <f t="shared" si="4"/>
        <v>5453.8319107203006</v>
      </c>
      <c r="J26" s="85">
        <f t="shared" si="9"/>
        <v>20463.884409187449</v>
      </c>
      <c r="K26" s="129">
        <f t="shared" si="5"/>
        <v>25917.716319907748</v>
      </c>
      <c r="L26" s="85">
        <f t="shared" si="6"/>
        <v>459750</v>
      </c>
      <c r="M26" s="130">
        <f t="shared" si="7"/>
        <v>485667.71631990775</v>
      </c>
      <c r="N26" s="8">
        <f t="shared" si="8"/>
        <v>2346483.0439627916</v>
      </c>
      <c r="O26" s="84">
        <f t="shared" si="0"/>
        <v>1860815.3276428839</v>
      </c>
    </row>
    <row r="27" spans="1:15" x14ac:dyDescent="0.2">
      <c r="A27" s="96" t="s">
        <v>70</v>
      </c>
      <c r="B27" s="81" t="str">
        <f t="shared" si="1"/>
        <v>Q1/2017</v>
      </c>
      <c r="C27" s="82">
        <f t="shared" si="10"/>
        <v>42736</v>
      </c>
      <c r="D27" s="82">
        <f t="shared" si="12"/>
        <v>42825</v>
      </c>
      <c r="E27" s="81">
        <f t="shared" si="11"/>
        <v>90</v>
      </c>
      <c r="F27" s="83">
        <f>VLOOKUP(D27,'FERC Interest Rate'!$A:$B,2,TRUE)</f>
        <v>3.5000000000000003E-2</v>
      </c>
      <c r="G27" s="84">
        <f t="shared" si="3"/>
        <v>1860815.3276428839</v>
      </c>
      <c r="H27" s="84">
        <v>0</v>
      </c>
      <c r="I27" s="109">
        <f t="shared" si="4"/>
        <v>5453.8319107203006</v>
      </c>
      <c r="J27" s="85">
        <f t="shared" si="9"/>
        <v>16059.091183767354</v>
      </c>
      <c r="K27" s="129">
        <f t="shared" si="5"/>
        <v>21512.923094487654</v>
      </c>
      <c r="L27" s="85">
        <f t="shared" si="6"/>
        <v>459750</v>
      </c>
      <c r="M27" s="130">
        <f t="shared" si="7"/>
        <v>481262.92309448763</v>
      </c>
      <c r="N27" s="8">
        <f t="shared" si="8"/>
        <v>1876874.4188266513</v>
      </c>
      <c r="O27" s="84">
        <f t="shared" si="0"/>
        <v>1395611.4957321635</v>
      </c>
    </row>
    <row r="28" spans="1:15" x14ac:dyDescent="0.2">
      <c r="A28" s="96" t="s">
        <v>71</v>
      </c>
      <c r="B28" s="81" t="str">
        <f t="shared" si="1"/>
        <v>Q2/2017</v>
      </c>
      <c r="C28" s="82">
        <f t="shared" si="10"/>
        <v>42826</v>
      </c>
      <c r="D28" s="82">
        <f t="shared" si="12"/>
        <v>42916</v>
      </c>
      <c r="E28" s="81">
        <f t="shared" si="11"/>
        <v>91</v>
      </c>
      <c r="F28" s="83">
        <f>VLOOKUP(D28,'FERC Interest Rate'!$A:$B,2,TRUE)</f>
        <v>3.7100000000000001E-2</v>
      </c>
      <c r="G28" s="84">
        <f t="shared" si="3"/>
        <v>1395611.4957321635</v>
      </c>
      <c r="H28" s="84">
        <v>0</v>
      </c>
      <c r="I28" s="109">
        <f t="shared" si="4"/>
        <v>5453.8319107203006</v>
      </c>
      <c r="J28" s="85">
        <f t="shared" si="9"/>
        <v>12908.832796551664</v>
      </c>
      <c r="K28" s="129">
        <f t="shared" si="5"/>
        <v>18362.664707271964</v>
      </c>
      <c r="L28" s="85">
        <f t="shared" si="6"/>
        <v>459750</v>
      </c>
      <c r="M28" s="130">
        <f t="shared" si="7"/>
        <v>478112.66470727196</v>
      </c>
      <c r="N28" s="8">
        <f t="shared" si="8"/>
        <v>1408520.3285287153</v>
      </c>
      <c r="O28" s="84">
        <f t="shared" si="0"/>
        <v>930407.66382144322</v>
      </c>
    </row>
    <row r="29" spans="1:15" x14ac:dyDescent="0.2">
      <c r="A29" s="96" t="s">
        <v>72</v>
      </c>
      <c r="B29" s="81" t="str">
        <f t="shared" si="1"/>
        <v>Q3/2017</v>
      </c>
      <c r="C29" s="82">
        <f t="shared" si="10"/>
        <v>42917</v>
      </c>
      <c r="D29" s="82">
        <f t="shared" si="12"/>
        <v>43008</v>
      </c>
      <c r="E29" s="81">
        <f t="shared" si="11"/>
        <v>92</v>
      </c>
      <c r="F29" s="83">
        <f>VLOOKUP(D29,'FERC Interest Rate'!$A:$B,2,TRUE)</f>
        <v>3.9600000000000003E-2</v>
      </c>
      <c r="G29" s="84">
        <f t="shared" si="3"/>
        <v>930407.66382144322</v>
      </c>
      <c r="H29" s="84">
        <v>0</v>
      </c>
      <c r="I29" s="109">
        <f t="shared" si="4"/>
        <v>5453.8319107203006</v>
      </c>
      <c r="J29" s="85">
        <f t="shared" si="9"/>
        <v>9286.7430159843352</v>
      </c>
      <c r="K29" s="129">
        <f t="shared" si="5"/>
        <v>14740.574926704636</v>
      </c>
      <c r="L29" s="85">
        <f t="shared" si="6"/>
        <v>459750</v>
      </c>
      <c r="M29" s="130">
        <f t="shared" si="7"/>
        <v>474490.57492670463</v>
      </c>
      <c r="N29" s="8">
        <f t="shared" si="8"/>
        <v>939694.40683742752</v>
      </c>
      <c r="O29" s="84">
        <f t="shared" si="0"/>
        <v>465203.83191072289</v>
      </c>
    </row>
    <row r="30" spans="1:15" x14ac:dyDescent="0.2">
      <c r="A30" s="96" t="s">
        <v>73</v>
      </c>
      <c r="B30" s="81" t="str">
        <f t="shared" si="1"/>
        <v>Q4/2017</v>
      </c>
      <c r="C30" s="82">
        <f t="shared" si="10"/>
        <v>43009</v>
      </c>
      <c r="D30" s="82">
        <f t="shared" si="12"/>
        <v>43100</v>
      </c>
      <c r="E30" s="81">
        <f t="shared" si="11"/>
        <v>92</v>
      </c>
      <c r="F30" s="83">
        <f>VLOOKUP(D30,'FERC Interest Rate'!$A:$B,2,TRUE)</f>
        <v>4.2099999999999999E-2</v>
      </c>
      <c r="G30" s="84">
        <f t="shared" si="3"/>
        <v>465203.83191072289</v>
      </c>
      <c r="H30" s="84">
        <v>0</v>
      </c>
      <c r="I30" s="109">
        <f t="shared" si="4"/>
        <v>5453.8319107203006</v>
      </c>
      <c r="J30" s="85">
        <f t="shared" si="9"/>
        <v>4936.5136486482525</v>
      </c>
      <c r="K30" s="129">
        <f t="shared" si="5"/>
        <v>10390.345559368554</v>
      </c>
      <c r="L30" s="85">
        <f t="shared" si="6"/>
        <v>459750</v>
      </c>
      <c r="M30" s="130">
        <f t="shared" si="7"/>
        <v>470140.34555936855</v>
      </c>
      <c r="N30" s="8">
        <f t="shared" si="8"/>
        <v>470140.34555937117</v>
      </c>
      <c r="O30" s="84">
        <f t="shared" si="0"/>
        <v>2.5884219212457538E-9</v>
      </c>
    </row>
    <row r="31" spans="1:15" x14ac:dyDescent="0.2">
      <c r="B31" s="11"/>
      <c r="C31" s="125"/>
      <c r="D31" s="125"/>
      <c r="E31" s="10"/>
      <c r="F31" s="11"/>
      <c r="G31" s="85"/>
      <c r="H31" s="12"/>
      <c r="I31" s="115"/>
      <c r="J31" s="85"/>
      <c r="K31" s="117"/>
      <c r="L31" s="70"/>
      <c r="M31" s="131"/>
      <c r="O31" s="85"/>
    </row>
    <row r="32" spans="1:15" ht="13.5" thickBot="1" x14ac:dyDescent="0.25">
      <c r="A32" s="151"/>
      <c r="B32" s="152"/>
      <c r="C32" s="155"/>
      <c r="D32" s="155"/>
      <c r="E32" s="154"/>
      <c r="F32" s="152"/>
      <c r="G32" s="144">
        <f>+SUM(G10:G31)</f>
        <v>106813837.38680738</v>
      </c>
      <c r="H32" s="137">
        <f t="shared" ref="H32:O32" si="13">+SUM(H10:H31)</f>
        <v>109076.638214406</v>
      </c>
      <c r="I32" s="138">
        <f t="shared" si="13"/>
        <v>109076.63821440599</v>
      </c>
      <c r="J32" s="144">
        <f t="shared" si="13"/>
        <v>728985.82454156713</v>
      </c>
      <c r="K32" s="137">
        <f t="shared" si="13"/>
        <v>838062.46275597322</v>
      </c>
      <c r="L32" s="137">
        <f t="shared" si="13"/>
        <v>9195000</v>
      </c>
      <c r="M32" s="139">
        <f t="shared" si="13"/>
        <v>10033062.462755971</v>
      </c>
      <c r="N32" s="137">
        <f t="shared" si="13"/>
        <v>107651899.84956336</v>
      </c>
      <c r="O32" s="137">
        <f t="shared" si="13"/>
        <v>97618837.386807382</v>
      </c>
    </row>
    <row r="33" spans="9:13" ht="14.25" thickTop="1" thickBot="1" x14ac:dyDescent="0.25">
      <c r="I33" s="121"/>
      <c r="J33" s="122"/>
      <c r="K33" s="122"/>
      <c r="L33" s="122"/>
      <c r="M33" s="123"/>
    </row>
  </sheetData>
  <mergeCells count="1">
    <mergeCell ref="A10:B10"/>
  </mergeCells>
  <pageMargins left="0.7" right="0.7" top="0.75" bottom="0.75" header="0.3" footer="0.3"/>
  <pageSetup scale="54" fitToHeight="0" orientation="landscape" r:id="rId1"/>
  <headerFooter alignWithMargins="0">
    <oddHeader>&amp;RTO2019 Annual Update
Attachment 4
WP Schedule 22
Page &amp;P of &amp;N</oddHeader>
    <oddFooter>&amp;L&amp;D&amp;R&amp;A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1"/>
  <sheetViews>
    <sheetView zoomScale="80" zoomScaleNormal="80" workbookViewId="0"/>
  </sheetViews>
  <sheetFormatPr defaultColWidth="9.140625" defaultRowHeight="12.75" x14ac:dyDescent="0.2"/>
  <cols>
    <col min="1" max="1" width="10.28515625" style="59" customWidth="1"/>
    <col min="2" max="2" width="13.5703125" style="59" customWidth="1"/>
    <col min="3" max="3" width="16.28515625" style="59" bestFit="1" customWidth="1"/>
    <col min="4" max="4" width="13.5703125" style="59" customWidth="1"/>
    <col min="5" max="5" width="12.42578125" style="59" customWidth="1"/>
    <col min="6" max="6" width="18.7109375" style="59" bestFit="1" customWidth="1"/>
    <col min="7" max="7" width="17" style="59" bestFit="1" customWidth="1"/>
    <col min="8" max="9" width="16.140625" style="59" customWidth="1"/>
    <col min="10" max="10" width="17.28515625" style="59" bestFit="1" customWidth="1"/>
    <col min="11" max="11" width="16.140625" style="59" customWidth="1"/>
    <col min="12" max="12" width="17.85546875" style="59" customWidth="1"/>
    <col min="13" max="13" width="16.140625" style="59" customWidth="1"/>
    <col min="14" max="14" width="17" style="59" bestFit="1" customWidth="1"/>
    <col min="15" max="15" width="17.28515625" style="59" customWidth="1"/>
    <col min="16" max="18" width="16.140625" style="59" customWidth="1"/>
    <col min="19" max="19" width="16" style="59" customWidth="1"/>
    <col min="20" max="16384" width="9.140625" style="59"/>
  </cols>
  <sheetData>
    <row r="1" spans="1:13" ht="38.25" x14ac:dyDescent="0.2">
      <c r="A1" s="190" t="s">
        <v>8</v>
      </c>
      <c r="B1" s="191" t="s">
        <v>88</v>
      </c>
      <c r="C1" s="190" t="s">
        <v>2</v>
      </c>
      <c r="D1" s="190" t="s">
        <v>1</v>
      </c>
      <c r="E1" s="191" t="s">
        <v>74</v>
      </c>
      <c r="F1" s="191" t="s">
        <v>48</v>
      </c>
      <c r="G1"/>
      <c r="H1"/>
      <c r="I1"/>
      <c r="J1"/>
      <c r="K1"/>
      <c r="L1"/>
      <c r="M1"/>
    </row>
    <row r="2" spans="1:13" ht="12.75" customHeight="1" x14ac:dyDescent="0.2">
      <c r="A2" s="195" t="s">
        <v>54</v>
      </c>
      <c r="B2" s="61">
        <v>40869</v>
      </c>
      <c r="C2" s="55">
        <v>91000</v>
      </c>
      <c r="D2" s="55">
        <v>0</v>
      </c>
      <c r="E2" s="55">
        <v>0</v>
      </c>
      <c r="F2" s="7">
        <f>SUM(C2:E2)</f>
        <v>91000</v>
      </c>
      <c r="G2"/>
      <c r="H2"/>
      <c r="I2"/>
      <c r="J2"/>
      <c r="K2"/>
      <c r="L2"/>
      <c r="M2"/>
    </row>
    <row r="3" spans="1:13" ht="12.75" customHeight="1" x14ac:dyDescent="0.2">
      <c r="A3" s="195" t="s">
        <v>55</v>
      </c>
      <c r="B3" s="61">
        <v>40897</v>
      </c>
      <c r="C3" s="55">
        <v>214000</v>
      </c>
      <c r="D3" s="55">
        <v>0</v>
      </c>
      <c r="E3" s="55">
        <v>0</v>
      </c>
      <c r="F3" s="7">
        <f t="shared" ref="F3:F18" si="0">SUM(C3:E3)</f>
        <v>214000</v>
      </c>
      <c r="G3"/>
      <c r="H3"/>
      <c r="I3"/>
      <c r="J3"/>
      <c r="K3"/>
      <c r="L3"/>
      <c r="M3"/>
    </row>
    <row r="4" spans="1:13" collapsed="1" x14ac:dyDescent="0.2">
      <c r="A4" s="195" t="s">
        <v>56</v>
      </c>
      <c r="B4" s="61">
        <v>41002</v>
      </c>
      <c r="C4" s="55">
        <v>265000</v>
      </c>
      <c r="D4" s="55">
        <v>0</v>
      </c>
      <c r="E4" s="55">
        <v>0</v>
      </c>
      <c r="F4" s="7">
        <f t="shared" si="0"/>
        <v>265000</v>
      </c>
      <c r="G4"/>
      <c r="H4"/>
      <c r="I4"/>
      <c r="J4"/>
      <c r="K4"/>
      <c r="L4"/>
      <c r="M4"/>
    </row>
    <row r="5" spans="1:13" x14ac:dyDescent="0.2">
      <c r="A5" s="195" t="s">
        <v>57</v>
      </c>
      <c r="B5" s="61">
        <v>41086</v>
      </c>
      <c r="C5" s="55">
        <v>297000</v>
      </c>
      <c r="D5" s="55">
        <v>0</v>
      </c>
      <c r="E5" s="55">
        <v>0</v>
      </c>
      <c r="F5" s="7">
        <f t="shared" si="0"/>
        <v>297000</v>
      </c>
      <c r="G5"/>
      <c r="H5"/>
      <c r="I5"/>
      <c r="J5"/>
      <c r="K5"/>
      <c r="L5"/>
      <c r="M5"/>
    </row>
    <row r="6" spans="1:13" ht="12.75" customHeight="1" x14ac:dyDescent="0.2">
      <c r="A6" s="195" t="s">
        <v>58</v>
      </c>
      <c r="B6" s="61">
        <v>41166</v>
      </c>
      <c r="C6" s="55">
        <v>741985</v>
      </c>
      <c r="D6" s="55">
        <v>0</v>
      </c>
      <c r="E6" s="55">
        <v>0</v>
      </c>
      <c r="F6" s="7">
        <f t="shared" si="0"/>
        <v>741985</v>
      </c>
      <c r="G6"/>
      <c r="H6"/>
      <c r="I6"/>
      <c r="J6"/>
      <c r="K6"/>
      <c r="L6"/>
      <c r="M6"/>
    </row>
    <row r="7" spans="1:13" x14ac:dyDescent="0.2">
      <c r="A7" s="195" t="s">
        <v>59</v>
      </c>
      <c r="B7" s="61">
        <v>41288</v>
      </c>
      <c r="C7" s="55">
        <v>781673</v>
      </c>
      <c r="D7" s="55">
        <v>0</v>
      </c>
      <c r="E7" s="55">
        <v>0</v>
      </c>
      <c r="F7" s="7">
        <f t="shared" si="0"/>
        <v>781673</v>
      </c>
      <c r="G7"/>
      <c r="H7"/>
      <c r="I7"/>
      <c r="J7"/>
      <c r="K7"/>
      <c r="L7"/>
      <c r="M7"/>
    </row>
    <row r="8" spans="1:13" x14ac:dyDescent="0.2">
      <c r="A8" s="195" t="s">
        <v>60</v>
      </c>
      <c r="B8" s="61">
        <v>41387</v>
      </c>
      <c r="C8" s="55">
        <v>819534</v>
      </c>
      <c r="D8" s="55">
        <v>0</v>
      </c>
      <c r="E8" s="55">
        <v>0</v>
      </c>
      <c r="F8" s="7">
        <f t="shared" si="0"/>
        <v>819534</v>
      </c>
      <c r="G8"/>
      <c r="H8"/>
      <c r="I8"/>
      <c r="J8"/>
      <c r="K8"/>
      <c r="L8"/>
      <c r="M8"/>
    </row>
    <row r="9" spans="1:13" x14ac:dyDescent="0.2">
      <c r="A9" s="195" t="s">
        <v>61</v>
      </c>
      <c r="B9" s="61">
        <v>41506</v>
      </c>
      <c r="C9" s="55">
        <v>788835</v>
      </c>
      <c r="D9" s="55">
        <v>0</v>
      </c>
      <c r="E9" s="55">
        <v>0</v>
      </c>
      <c r="F9" s="7">
        <f t="shared" si="0"/>
        <v>788835</v>
      </c>
      <c r="G9"/>
      <c r="H9"/>
      <c r="I9"/>
      <c r="J9"/>
      <c r="K9"/>
      <c r="L9"/>
      <c r="M9"/>
    </row>
    <row r="10" spans="1:13" x14ac:dyDescent="0.2">
      <c r="A10" s="195" t="s">
        <v>62</v>
      </c>
      <c r="B10" s="61">
        <v>41540</v>
      </c>
      <c r="C10" s="55">
        <v>983920</v>
      </c>
      <c r="D10" s="55">
        <v>0</v>
      </c>
      <c r="E10" s="55">
        <v>0</v>
      </c>
      <c r="F10" s="7">
        <f t="shared" si="0"/>
        <v>983920</v>
      </c>
      <c r="G10"/>
      <c r="H10"/>
      <c r="I10"/>
      <c r="J10"/>
      <c r="K10"/>
      <c r="L10"/>
      <c r="M10"/>
    </row>
    <row r="11" spans="1:13" x14ac:dyDescent="0.2">
      <c r="A11" s="195" t="s">
        <v>63</v>
      </c>
      <c r="B11" s="61">
        <v>41652</v>
      </c>
      <c r="C11" s="55">
        <v>2233611</v>
      </c>
      <c r="D11" s="55">
        <v>0</v>
      </c>
      <c r="E11" s="55">
        <v>0</v>
      </c>
      <c r="F11" s="7">
        <f t="shared" si="0"/>
        <v>2233611</v>
      </c>
      <c r="G11"/>
      <c r="H11"/>
      <c r="I11"/>
      <c r="J11"/>
      <c r="K11"/>
      <c r="L11"/>
      <c r="M11"/>
    </row>
    <row r="12" spans="1:13" collapsed="1" x14ac:dyDescent="0.2">
      <c r="A12" s="195" t="s">
        <v>64</v>
      </c>
      <c r="B12" s="61">
        <v>41724</v>
      </c>
      <c r="C12" s="55">
        <v>3766542</v>
      </c>
      <c r="D12" s="55">
        <v>0</v>
      </c>
      <c r="E12" s="55">
        <v>0</v>
      </c>
      <c r="F12" s="7">
        <f t="shared" si="0"/>
        <v>3766542</v>
      </c>
      <c r="G12"/>
      <c r="H12"/>
      <c r="I12"/>
      <c r="J12"/>
      <c r="K12"/>
      <c r="L12"/>
      <c r="M12"/>
    </row>
    <row r="13" spans="1:13" x14ac:dyDescent="0.2">
      <c r="A13" s="195" t="s">
        <v>65</v>
      </c>
      <c r="B13" s="61">
        <v>41800</v>
      </c>
      <c r="C13" s="55">
        <v>8973966</v>
      </c>
      <c r="D13" s="55">
        <v>0</v>
      </c>
      <c r="E13" s="55">
        <v>0</v>
      </c>
      <c r="F13" s="7">
        <f t="shared" si="0"/>
        <v>8973966</v>
      </c>
      <c r="G13"/>
      <c r="H13"/>
      <c r="I13"/>
      <c r="J13"/>
      <c r="K13"/>
      <c r="L13"/>
      <c r="M13"/>
    </row>
    <row r="14" spans="1:13" x14ac:dyDescent="0.2">
      <c r="A14" s="195" t="s">
        <v>66</v>
      </c>
      <c r="B14" s="61">
        <v>41912</v>
      </c>
      <c r="C14" s="55">
        <v>18500660</v>
      </c>
      <c r="D14" s="55">
        <v>0</v>
      </c>
      <c r="E14" s="55">
        <v>0</v>
      </c>
      <c r="F14" s="7">
        <f t="shared" si="0"/>
        <v>18500660</v>
      </c>
      <c r="G14"/>
      <c r="H14"/>
      <c r="I14"/>
      <c r="J14"/>
      <c r="K14"/>
      <c r="L14"/>
      <c r="M14"/>
    </row>
    <row r="15" spans="1:13" x14ac:dyDescent="0.2">
      <c r="A15" s="195" t="s">
        <v>67</v>
      </c>
      <c r="B15" s="61">
        <v>41992</v>
      </c>
      <c r="C15" s="55">
        <v>9211791</v>
      </c>
      <c r="D15" s="55">
        <v>0</v>
      </c>
      <c r="E15" s="55">
        <v>0</v>
      </c>
      <c r="F15" s="7">
        <f t="shared" si="0"/>
        <v>9211791</v>
      </c>
      <c r="G15"/>
      <c r="H15"/>
      <c r="I15"/>
      <c r="J15"/>
      <c r="K15"/>
      <c r="L15"/>
      <c r="M15"/>
    </row>
    <row r="16" spans="1:13" x14ac:dyDescent="0.2">
      <c r="A16" s="195" t="s">
        <v>68</v>
      </c>
      <c r="B16" s="61">
        <v>42093</v>
      </c>
      <c r="C16" s="55">
        <v>11141790</v>
      </c>
      <c r="D16" s="55">
        <v>0</v>
      </c>
      <c r="E16" s="55">
        <v>0</v>
      </c>
      <c r="F16" s="7">
        <f t="shared" si="0"/>
        <v>11141790</v>
      </c>
      <c r="G16"/>
      <c r="H16"/>
      <c r="I16"/>
      <c r="J16"/>
      <c r="K16"/>
      <c r="L16"/>
      <c r="M16"/>
    </row>
    <row r="17" spans="1:18" x14ac:dyDescent="0.2">
      <c r="A17" s="195" t="s">
        <v>69</v>
      </c>
      <c r="B17" s="61">
        <v>42233</v>
      </c>
      <c r="C17" s="55">
        <v>4526487</v>
      </c>
      <c r="D17" s="55">
        <v>0</v>
      </c>
      <c r="E17" s="55">
        <v>0</v>
      </c>
      <c r="F17" s="7">
        <f t="shared" si="0"/>
        <v>4526487</v>
      </c>
      <c r="G17"/>
      <c r="H17"/>
      <c r="I17"/>
      <c r="J17"/>
      <c r="K17"/>
      <c r="L17"/>
      <c r="M17"/>
    </row>
    <row r="18" spans="1:18" x14ac:dyDescent="0.2">
      <c r="A18" s="195" t="s">
        <v>70</v>
      </c>
      <c r="B18" s="61">
        <v>42341</v>
      </c>
      <c r="C18" s="55">
        <v>-10794</v>
      </c>
      <c r="D18" s="55">
        <v>0</v>
      </c>
      <c r="E18" s="55">
        <v>0</v>
      </c>
      <c r="F18" s="7">
        <f t="shared" si="0"/>
        <v>-10794</v>
      </c>
      <c r="G18"/>
      <c r="H18"/>
      <c r="I18"/>
      <c r="J18"/>
      <c r="K18"/>
      <c r="L18"/>
      <c r="M18"/>
    </row>
    <row r="19" spans="1:18" ht="13.5" thickBot="1" x14ac:dyDescent="0.25">
      <c r="B19" s="58" t="s">
        <v>0</v>
      </c>
      <c r="C19" s="196">
        <f>SUM(C2:C18)</f>
        <v>63327000</v>
      </c>
      <c r="D19" s="196">
        <f>SUM(D2:D18)</f>
        <v>0</v>
      </c>
      <c r="E19" s="196">
        <f>SUM(E2:E18)</f>
        <v>0</v>
      </c>
      <c r="F19" s="196">
        <f>SUM(F2:F18)</f>
        <v>63327000</v>
      </c>
      <c r="G19"/>
      <c r="H19"/>
      <c r="I19"/>
      <c r="J19"/>
      <c r="K19"/>
      <c r="L19"/>
      <c r="M19"/>
    </row>
    <row r="20" spans="1:18" ht="13.5" thickTop="1" x14ac:dyDescent="0.2">
      <c r="A20" s="60" t="s">
        <v>19</v>
      </c>
      <c r="B20" s="62" t="s">
        <v>22</v>
      </c>
      <c r="C20" s="64">
        <v>0</v>
      </c>
      <c r="D20" s="64">
        <v>0</v>
      </c>
      <c r="E20" s="64">
        <v>0</v>
      </c>
      <c r="F20" s="64">
        <f>SUM(C20:E20)</f>
        <v>0</v>
      </c>
      <c r="J20" s="198"/>
      <c r="K20" s="199" t="s">
        <v>14</v>
      </c>
      <c r="L20" s="259" t="s">
        <v>13</v>
      </c>
      <c r="M20"/>
      <c r="Q20" s="200"/>
    </row>
    <row r="21" spans="1:18" x14ac:dyDescent="0.2">
      <c r="A21" s="60" t="s">
        <v>20</v>
      </c>
      <c r="B21" s="62" t="s">
        <v>22</v>
      </c>
      <c r="C21" s="64">
        <v>0</v>
      </c>
      <c r="D21" s="64">
        <v>0</v>
      </c>
      <c r="E21" s="64">
        <v>0</v>
      </c>
      <c r="F21" s="64">
        <f>SUM(C21:E21)</f>
        <v>0</v>
      </c>
      <c r="J21" s="201" t="s">
        <v>11</v>
      </c>
      <c r="K21" s="202">
        <v>42301</v>
      </c>
      <c r="L21" s="260">
        <f>K21</f>
        <v>42301</v>
      </c>
      <c r="M21"/>
    </row>
    <row r="22" spans="1:18" ht="13.5" thickBot="1" x14ac:dyDescent="0.25">
      <c r="B22" s="58" t="s">
        <v>52</v>
      </c>
      <c r="C22" s="196">
        <f>+SUM(C19:C21)</f>
        <v>63327000</v>
      </c>
      <c r="D22" s="196">
        <f>+SUM(D19:D21)</f>
        <v>0</v>
      </c>
      <c r="E22" s="196">
        <f>+SUM(E19:E21)</f>
        <v>0</v>
      </c>
      <c r="F22" s="196">
        <f>+SUM(F19:F21)</f>
        <v>63327000</v>
      </c>
      <c r="J22" s="203" t="s">
        <v>17</v>
      </c>
      <c r="K22" s="204">
        <v>42602</v>
      </c>
      <c r="L22" s="261">
        <v>42605</v>
      </c>
      <c r="M22"/>
    </row>
    <row r="23" spans="1:18" ht="14.25" thickTop="1" thickBot="1" x14ac:dyDescent="0.25">
      <c r="B23" s="58"/>
      <c r="C23" s="63"/>
      <c r="D23" s="63"/>
      <c r="E23" s="63"/>
      <c r="F23" s="63"/>
      <c r="I23" s="64"/>
      <c r="J23" s="64"/>
      <c r="K23"/>
      <c r="L23"/>
      <c r="M23"/>
      <c r="N23" s="64"/>
      <c r="O23" s="64"/>
      <c r="P23" s="64"/>
      <c r="Q23" s="64"/>
      <c r="R23" s="64"/>
    </row>
    <row r="24" spans="1:18" x14ac:dyDescent="0.2">
      <c r="B24" s="189"/>
      <c r="C24" s="65"/>
      <c r="D24" s="60"/>
      <c r="I24" s="205"/>
      <c r="J24" s="313" t="s">
        <v>2</v>
      </c>
      <c r="K24" s="313"/>
      <c r="L24" s="206" t="s">
        <v>54</v>
      </c>
      <c r="M24" s="207"/>
    </row>
    <row r="25" spans="1:18" ht="36.75" x14ac:dyDescent="0.2">
      <c r="A25" s="208" t="s">
        <v>53</v>
      </c>
      <c r="B25" s="208" t="s">
        <v>3</v>
      </c>
      <c r="C25" s="208" t="s">
        <v>4</v>
      </c>
      <c r="D25" s="208" t="s">
        <v>5</v>
      </c>
      <c r="E25" s="208" t="s">
        <v>6</v>
      </c>
      <c r="F25" s="208" t="s">
        <v>7</v>
      </c>
      <c r="G25" s="208" t="s">
        <v>80</v>
      </c>
      <c r="H25" s="208" t="s">
        <v>81</v>
      </c>
      <c r="I25" s="192" t="s">
        <v>82</v>
      </c>
      <c r="J25" s="193" t="s">
        <v>83</v>
      </c>
      <c r="K25" s="193" t="s">
        <v>84</v>
      </c>
      <c r="L25" s="193" t="s">
        <v>85</v>
      </c>
      <c r="M25" s="194" t="s">
        <v>75</v>
      </c>
      <c r="N25" s="208" t="s">
        <v>86</v>
      </c>
      <c r="O25" s="208" t="s">
        <v>87</v>
      </c>
    </row>
    <row r="26" spans="1:18" x14ac:dyDescent="0.2">
      <c r="A26" s="195" t="s">
        <v>22</v>
      </c>
      <c r="B26" s="209" t="str">
        <f t="shared" ref="B26:B48" si="1">+IF(MONTH(C26)&lt;4,"Q1",IF(MONTH(C26)&lt;7,"Q2",IF(MONTH(C26)&lt;10,"Q3","Q4")))&amp;"/"&amp;YEAR(C26)</f>
        <v>Q4/2015</v>
      </c>
      <c r="C26" s="210">
        <f>+L21</f>
        <v>42301</v>
      </c>
      <c r="D26" s="210">
        <f t="shared" ref="D26:D48" si="2">DATE(YEAR(C26),IF(MONTH(C26)&lt;=3,3,IF(MONTH(C26)&lt;=6,6,IF(MONTH(C26)&lt;=9,9,12))),IF(OR(MONTH(C26)&lt;=3,MONTH(C26)&gt;=10),31,30))</f>
        <v>42369</v>
      </c>
      <c r="E26" s="209">
        <f t="shared" ref="E26:E48" si="3">D26-C26+1</f>
        <v>69</v>
      </c>
      <c r="F26" s="83">
        <f>VLOOKUP(D26,'FERC Interest Rate'!$A:$B,2,TRUE)</f>
        <v>3.2500000000000001E-2</v>
      </c>
      <c r="G26" s="84">
        <f>+C22</f>
        <v>63327000</v>
      </c>
      <c r="H26" s="84">
        <f>G26*F26*(E26/(DATE(YEAR(D26),12,31)-DATE(YEAR(D26),1,1)+1))</f>
        <v>389070.67808219179</v>
      </c>
      <c r="I26" s="109">
        <v>0</v>
      </c>
      <c r="J26" s="69">
        <v>0</v>
      </c>
      <c r="K26" s="211">
        <f t="shared" ref="K26:K45" si="4">+SUM(I26:J26)</f>
        <v>0</v>
      </c>
      <c r="L26" s="69">
        <v>0</v>
      </c>
      <c r="M26" s="212">
        <v>0</v>
      </c>
      <c r="N26" s="64">
        <f t="shared" ref="N26:N48" si="5">+G26+H26+J26</f>
        <v>63716070.67808219</v>
      </c>
      <c r="O26" s="84">
        <f>+N26-M26</f>
        <v>63716070.67808219</v>
      </c>
    </row>
    <row r="27" spans="1:18" x14ac:dyDescent="0.2">
      <c r="A27" s="195" t="s">
        <v>22</v>
      </c>
      <c r="B27" s="209" t="str">
        <f t="shared" si="1"/>
        <v>Q1/2016</v>
      </c>
      <c r="C27" s="210">
        <f t="shared" ref="C27:C48" si="6">D26+1</f>
        <v>42370</v>
      </c>
      <c r="D27" s="210">
        <f t="shared" si="2"/>
        <v>42460</v>
      </c>
      <c r="E27" s="209">
        <f t="shared" si="3"/>
        <v>91</v>
      </c>
      <c r="F27" s="83">
        <f>VLOOKUP(D27,'FERC Interest Rate'!$A:$B,2,TRUE)</f>
        <v>3.2500000000000001E-2</v>
      </c>
      <c r="G27" s="84">
        <f>O26</f>
        <v>63716070.67808219</v>
      </c>
      <c r="H27" s="84">
        <f t="shared" ref="H27:H29" si="7">G27*F27*(E27/(DATE(YEAR(D27),12,31)-DATE(YEAR(D27),1,1)+1))</f>
        <v>514864.15035636089</v>
      </c>
      <c r="I27" s="109">
        <v>0</v>
      </c>
      <c r="J27" s="69">
        <v>0</v>
      </c>
      <c r="K27" s="211">
        <f t="shared" si="4"/>
        <v>0</v>
      </c>
      <c r="L27" s="69">
        <v>0</v>
      </c>
      <c r="M27" s="212">
        <v>0</v>
      </c>
      <c r="N27" s="64">
        <f t="shared" si="5"/>
        <v>64230934.82843855</v>
      </c>
      <c r="O27" s="84">
        <f t="shared" ref="O27:O48" si="8">+N27-M27</f>
        <v>64230934.82843855</v>
      </c>
    </row>
    <row r="28" spans="1:18" x14ac:dyDescent="0.2">
      <c r="A28" s="195" t="s">
        <v>22</v>
      </c>
      <c r="B28" s="209" t="str">
        <f t="shared" si="1"/>
        <v>Q2/2016</v>
      </c>
      <c r="C28" s="210">
        <f t="shared" si="6"/>
        <v>42461</v>
      </c>
      <c r="D28" s="210">
        <f t="shared" si="2"/>
        <v>42551</v>
      </c>
      <c r="E28" s="209">
        <f t="shared" si="3"/>
        <v>91</v>
      </c>
      <c r="F28" s="83">
        <f>VLOOKUP(D28,'FERC Interest Rate'!$A:$B,2,TRUE)</f>
        <v>3.4599999999999999E-2</v>
      </c>
      <c r="G28" s="84">
        <f>O27</f>
        <v>64230934.82843855</v>
      </c>
      <c r="H28" s="84">
        <f t="shared" si="7"/>
        <v>552561.53388202621</v>
      </c>
      <c r="I28" s="109">
        <v>0</v>
      </c>
      <c r="J28" s="69">
        <v>0</v>
      </c>
      <c r="K28" s="211">
        <f t="shared" si="4"/>
        <v>0</v>
      </c>
      <c r="L28" s="69">
        <v>0</v>
      </c>
      <c r="M28" s="212">
        <v>0</v>
      </c>
      <c r="N28" s="64">
        <f t="shared" si="5"/>
        <v>64783496.36232058</v>
      </c>
      <c r="O28" s="84">
        <f t="shared" si="8"/>
        <v>64783496.36232058</v>
      </c>
    </row>
    <row r="29" spans="1:18" x14ac:dyDescent="0.2">
      <c r="A29" s="60" t="s">
        <v>54</v>
      </c>
      <c r="B29" s="209" t="str">
        <f t="shared" si="1"/>
        <v>Q3/2016</v>
      </c>
      <c r="C29" s="210">
        <f t="shared" si="6"/>
        <v>42552</v>
      </c>
      <c r="D29" s="210">
        <f t="shared" si="2"/>
        <v>42643</v>
      </c>
      <c r="E29" s="209">
        <f t="shared" si="3"/>
        <v>92</v>
      </c>
      <c r="F29" s="83">
        <f>VLOOKUP(D29,'FERC Interest Rate'!$A:$B,2,TRUE)</f>
        <v>3.5000000000000003E-2</v>
      </c>
      <c r="G29" s="84">
        <f>O28</f>
        <v>64783496.36232058</v>
      </c>
      <c r="H29" s="84">
        <f t="shared" si="7"/>
        <v>569953.1647176838</v>
      </c>
      <c r="I29" s="109">
        <f t="shared" ref="I29:I48" si="9">(SUM($H$26:$H$49)/20)</f>
        <v>101322.47635191314</v>
      </c>
      <c r="J29" s="69">
        <v>0</v>
      </c>
      <c r="K29" s="211">
        <f t="shared" si="4"/>
        <v>101322.47635191314</v>
      </c>
      <c r="L29" s="69">
        <f>+$C$22/20</f>
        <v>3166350</v>
      </c>
      <c r="M29" s="212">
        <f t="shared" ref="M29:M31" si="10">+SUM(K29:L29)</f>
        <v>3267672.4763519131</v>
      </c>
      <c r="N29" s="64">
        <f t="shared" si="5"/>
        <v>65353449.527038261</v>
      </c>
      <c r="O29" s="84">
        <f t="shared" si="8"/>
        <v>62085777.050686345</v>
      </c>
    </row>
    <row r="30" spans="1:18" x14ac:dyDescent="0.2">
      <c r="A30" s="60" t="s">
        <v>55</v>
      </c>
      <c r="B30" s="209" t="str">
        <f t="shared" si="1"/>
        <v>Q4/2016</v>
      </c>
      <c r="C30" s="210">
        <f t="shared" si="6"/>
        <v>42644</v>
      </c>
      <c r="D30" s="210">
        <f t="shared" si="2"/>
        <v>42735</v>
      </c>
      <c r="E30" s="209">
        <f t="shared" si="3"/>
        <v>92</v>
      </c>
      <c r="F30" s="83">
        <f>VLOOKUP(D30,'FERC Interest Rate'!$A:$B,2,TRUE)</f>
        <v>3.5000000000000003E-2</v>
      </c>
      <c r="G30" s="84">
        <f>O29</f>
        <v>62085777.050686345</v>
      </c>
      <c r="H30" s="84">
        <v>0</v>
      </c>
      <c r="I30" s="109">
        <f t="shared" si="9"/>
        <v>101322.47635191314</v>
      </c>
      <c r="J30" s="69">
        <f t="shared" ref="J30:J45" si="11">G30*F30*(E30/(DATE(YEAR(D30),12,31)-DATE(YEAR(D30),1,1)+1))</f>
        <v>546219.13142953569</v>
      </c>
      <c r="K30" s="211">
        <f t="shared" si="4"/>
        <v>647541.60778144887</v>
      </c>
      <c r="L30" s="69">
        <f t="shared" ref="L30:L48" si="12">+$C$22/20</f>
        <v>3166350</v>
      </c>
      <c r="M30" s="212">
        <f t="shared" si="10"/>
        <v>3813891.6077814489</v>
      </c>
      <c r="N30" s="64">
        <f t="shared" si="5"/>
        <v>62631996.182115883</v>
      </c>
      <c r="O30" s="84">
        <f t="shared" si="8"/>
        <v>58818104.574334435</v>
      </c>
    </row>
    <row r="31" spans="1:18" x14ac:dyDescent="0.2">
      <c r="A31" s="60" t="s">
        <v>56</v>
      </c>
      <c r="B31" s="209" t="str">
        <f t="shared" si="1"/>
        <v>Q1/2017</v>
      </c>
      <c r="C31" s="210">
        <f t="shared" si="6"/>
        <v>42736</v>
      </c>
      <c r="D31" s="210">
        <f t="shared" si="2"/>
        <v>42825</v>
      </c>
      <c r="E31" s="209">
        <f t="shared" si="3"/>
        <v>90</v>
      </c>
      <c r="F31" s="83">
        <f>VLOOKUP(D31,'FERC Interest Rate'!$A:$B,2,TRUE)</f>
        <v>3.5000000000000003E-2</v>
      </c>
      <c r="G31" s="84">
        <f t="shared" ref="G31:G48" si="13">O30</f>
        <v>58818104.574334435</v>
      </c>
      <c r="H31" s="84">
        <v>0</v>
      </c>
      <c r="I31" s="109">
        <f t="shared" si="9"/>
        <v>101322.47635191314</v>
      </c>
      <c r="J31" s="69">
        <f t="shared" si="11"/>
        <v>507608.29975110543</v>
      </c>
      <c r="K31" s="211">
        <f t="shared" si="4"/>
        <v>608930.77610301855</v>
      </c>
      <c r="L31" s="69">
        <f t="shared" si="12"/>
        <v>3166350</v>
      </c>
      <c r="M31" s="212">
        <f t="shared" si="10"/>
        <v>3775280.7761030188</v>
      </c>
      <c r="N31" s="64">
        <f t="shared" si="5"/>
        <v>59325712.874085538</v>
      </c>
      <c r="O31" s="84">
        <f t="shared" si="8"/>
        <v>55550432.097982518</v>
      </c>
    </row>
    <row r="32" spans="1:18" x14ac:dyDescent="0.2">
      <c r="A32" s="60" t="s">
        <v>57</v>
      </c>
      <c r="B32" s="209" t="str">
        <f t="shared" si="1"/>
        <v>Q2/2017</v>
      </c>
      <c r="C32" s="210">
        <f t="shared" si="6"/>
        <v>42826</v>
      </c>
      <c r="D32" s="210">
        <f t="shared" si="2"/>
        <v>42916</v>
      </c>
      <c r="E32" s="209">
        <f t="shared" si="3"/>
        <v>91</v>
      </c>
      <c r="F32" s="83">
        <f>VLOOKUP(D32,'FERC Interest Rate'!$A:$B,2,TRUE)</f>
        <v>3.7100000000000001E-2</v>
      </c>
      <c r="G32" s="84">
        <f t="shared" si="13"/>
        <v>55550432.097982518</v>
      </c>
      <c r="H32" s="84">
        <v>0</v>
      </c>
      <c r="I32" s="109">
        <f t="shared" si="9"/>
        <v>101322.47635191314</v>
      </c>
      <c r="J32" s="69">
        <f t="shared" si="11"/>
        <v>513818.66796164052</v>
      </c>
      <c r="K32" s="211">
        <f t="shared" si="4"/>
        <v>615141.1443135537</v>
      </c>
      <c r="L32" s="69">
        <f t="shared" si="12"/>
        <v>3166350</v>
      </c>
      <c r="M32" s="212">
        <f t="shared" ref="M32:M45" si="14">+SUM(K32:L32)</f>
        <v>3781491.1443135538</v>
      </c>
      <c r="N32" s="64">
        <f t="shared" si="5"/>
        <v>56064250.765944161</v>
      </c>
      <c r="O32" s="84">
        <f t="shared" si="8"/>
        <v>52282759.621630609</v>
      </c>
    </row>
    <row r="33" spans="1:15" x14ac:dyDescent="0.2">
      <c r="A33" s="60" t="s">
        <v>58</v>
      </c>
      <c r="B33" s="209" t="str">
        <f t="shared" si="1"/>
        <v>Q3/2017</v>
      </c>
      <c r="C33" s="210">
        <f t="shared" si="6"/>
        <v>42917</v>
      </c>
      <c r="D33" s="210">
        <f t="shared" si="2"/>
        <v>43008</v>
      </c>
      <c r="E33" s="209">
        <f t="shared" si="3"/>
        <v>92</v>
      </c>
      <c r="F33" s="83">
        <f>VLOOKUP(D33,'FERC Interest Rate'!$A:$B,2,TRUE)</f>
        <v>3.9600000000000003E-2</v>
      </c>
      <c r="G33" s="84">
        <f t="shared" si="13"/>
        <v>52282759.621630609</v>
      </c>
      <c r="H33" s="84">
        <v>0</v>
      </c>
      <c r="I33" s="109">
        <f t="shared" si="9"/>
        <v>101322.47635191314</v>
      </c>
      <c r="J33" s="69">
        <f t="shared" si="11"/>
        <v>521853.56124253332</v>
      </c>
      <c r="K33" s="211">
        <f t="shared" si="4"/>
        <v>623176.03759444645</v>
      </c>
      <c r="L33" s="69">
        <f t="shared" si="12"/>
        <v>3166350</v>
      </c>
      <c r="M33" s="212">
        <f t="shared" si="14"/>
        <v>3789526.0375944464</v>
      </c>
      <c r="N33" s="64">
        <f t="shared" si="5"/>
        <v>52804613.182873145</v>
      </c>
      <c r="O33" s="84">
        <f t="shared" si="8"/>
        <v>49015087.1452787</v>
      </c>
    </row>
    <row r="34" spans="1:15" x14ac:dyDescent="0.2">
      <c r="A34" s="60" t="s">
        <v>59</v>
      </c>
      <c r="B34" s="209" t="str">
        <f t="shared" si="1"/>
        <v>Q4/2017</v>
      </c>
      <c r="C34" s="210">
        <f t="shared" si="6"/>
        <v>43009</v>
      </c>
      <c r="D34" s="210">
        <f t="shared" si="2"/>
        <v>43100</v>
      </c>
      <c r="E34" s="209">
        <f t="shared" si="3"/>
        <v>92</v>
      </c>
      <c r="F34" s="83">
        <f>VLOOKUP(D34,'FERC Interest Rate'!$A:$B,2,TRUE)</f>
        <v>4.2099999999999999E-2</v>
      </c>
      <c r="G34" s="84">
        <f t="shared" si="13"/>
        <v>49015087.1452787</v>
      </c>
      <c r="H34" s="84">
        <v>0</v>
      </c>
      <c r="I34" s="109">
        <f t="shared" si="9"/>
        <v>101322.47635191314</v>
      </c>
      <c r="J34" s="69">
        <f t="shared" si="11"/>
        <v>520123.93296189996</v>
      </c>
      <c r="K34" s="211">
        <f t="shared" si="4"/>
        <v>621446.40931381308</v>
      </c>
      <c r="L34" s="69">
        <f t="shared" si="12"/>
        <v>3166350</v>
      </c>
      <c r="M34" s="212">
        <f t="shared" si="14"/>
        <v>3787796.4093138129</v>
      </c>
      <c r="N34" s="64">
        <f t="shared" si="5"/>
        <v>49535211.078240603</v>
      </c>
      <c r="O34" s="84">
        <f t="shared" si="8"/>
        <v>45747414.66892679</v>
      </c>
    </row>
    <row r="35" spans="1:15" x14ac:dyDescent="0.2">
      <c r="A35" s="60" t="s">
        <v>60</v>
      </c>
      <c r="B35" s="209" t="str">
        <f t="shared" si="1"/>
        <v>Q1/2018</v>
      </c>
      <c r="C35" s="210">
        <f t="shared" si="6"/>
        <v>43101</v>
      </c>
      <c r="D35" s="210">
        <f t="shared" si="2"/>
        <v>43190</v>
      </c>
      <c r="E35" s="209">
        <f t="shared" si="3"/>
        <v>90</v>
      </c>
      <c r="F35" s="83">
        <f>VLOOKUP(D35,'FERC Interest Rate'!$A:$B,2,TRUE)</f>
        <v>4.2500000000000003E-2</v>
      </c>
      <c r="G35" s="84">
        <f t="shared" si="13"/>
        <v>45747414.66892679</v>
      </c>
      <c r="H35" s="84">
        <v>0</v>
      </c>
      <c r="I35" s="109">
        <f t="shared" si="9"/>
        <v>101322.47635191314</v>
      </c>
      <c r="J35" s="69">
        <f t="shared" si="11"/>
        <v>479407.83865382185</v>
      </c>
      <c r="K35" s="211">
        <f t="shared" si="4"/>
        <v>580730.31500573503</v>
      </c>
      <c r="L35" s="69">
        <f t="shared" si="12"/>
        <v>3166350</v>
      </c>
      <c r="M35" s="212">
        <f t="shared" si="14"/>
        <v>3747080.315005735</v>
      </c>
      <c r="N35" s="64">
        <f t="shared" si="5"/>
        <v>46226822.507580616</v>
      </c>
      <c r="O35" s="84">
        <f t="shared" si="8"/>
        <v>42479742.192574881</v>
      </c>
    </row>
    <row r="36" spans="1:15" x14ac:dyDescent="0.2">
      <c r="A36" s="60" t="s">
        <v>61</v>
      </c>
      <c r="B36" s="209" t="str">
        <f t="shared" si="1"/>
        <v>Q2/2018</v>
      </c>
      <c r="C36" s="210">
        <f t="shared" si="6"/>
        <v>43191</v>
      </c>
      <c r="D36" s="210">
        <f t="shared" si="2"/>
        <v>43281</v>
      </c>
      <c r="E36" s="209">
        <f t="shared" si="3"/>
        <v>91</v>
      </c>
      <c r="F36" s="83">
        <f>VLOOKUP(D36,'FERC Interest Rate'!$A:$B,2,TRUE)</f>
        <v>4.4699999999999997E-2</v>
      </c>
      <c r="G36" s="84">
        <f t="shared" si="13"/>
        <v>42479742.192574881</v>
      </c>
      <c r="H36" s="84">
        <v>0</v>
      </c>
      <c r="I36" s="109">
        <f t="shared" si="9"/>
        <v>101322.47635191314</v>
      </c>
      <c r="J36" s="69">
        <f t="shared" si="11"/>
        <v>473410.54059379949</v>
      </c>
      <c r="K36" s="211">
        <f t="shared" si="4"/>
        <v>574733.01694571262</v>
      </c>
      <c r="L36" s="69">
        <f t="shared" si="12"/>
        <v>3166350</v>
      </c>
      <c r="M36" s="212">
        <f t="shared" si="14"/>
        <v>3741083.0169457127</v>
      </c>
      <c r="N36" s="64">
        <f t="shared" si="5"/>
        <v>42953152.733168684</v>
      </c>
      <c r="O36" s="84">
        <f t="shared" si="8"/>
        <v>39212069.716222972</v>
      </c>
    </row>
    <row r="37" spans="1:15" x14ac:dyDescent="0.2">
      <c r="A37" s="60" t="s">
        <v>62</v>
      </c>
      <c r="B37" s="209" t="str">
        <f t="shared" si="1"/>
        <v>Q3/2018</v>
      </c>
      <c r="C37" s="210">
        <f t="shared" si="6"/>
        <v>43282</v>
      </c>
      <c r="D37" s="210">
        <f t="shared" si="2"/>
        <v>43373</v>
      </c>
      <c r="E37" s="209">
        <f t="shared" si="3"/>
        <v>92</v>
      </c>
      <c r="F37" s="83">
        <f>VLOOKUP(D37,'FERC Interest Rate'!$A:$B,2,TRUE)</f>
        <v>5.011111E-2</v>
      </c>
      <c r="G37" s="84">
        <f t="shared" si="13"/>
        <v>39212069.716222972</v>
      </c>
      <c r="H37" s="84">
        <v>0</v>
      </c>
      <c r="I37" s="109">
        <f t="shared" si="9"/>
        <v>101322.47635191314</v>
      </c>
      <c r="J37" s="69">
        <f t="shared" si="11"/>
        <v>495277.67445674876</v>
      </c>
      <c r="K37" s="211">
        <f t="shared" si="4"/>
        <v>596600.15080866194</v>
      </c>
      <c r="L37" s="69">
        <f t="shared" si="12"/>
        <v>3166350</v>
      </c>
      <c r="M37" s="212">
        <f t="shared" si="14"/>
        <v>3762950.1508086622</v>
      </c>
      <c r="N37" s="64">
        <f t="shared" si="5"/>
        <v>39707347.390679717</v>
      </c>
      <c r="O37" s="84">
        <f t="shared" si="8"/>
        <v>35944397.239871055</v>
      </c>
    </row>
    <row r="38" spans="1:15" x14ac:dyDescent="0.2">
      <c r="A38" s="60" t="s">
        <v>63</v>
      </c>
      <c r="B38" s="209" t="str">
        <f t="shared" si="1"/>
        <v>Q4/2018</v>
      </c>
      <c r="C38" s="210">
        <f t="shared" si="6"/>
        <v>43374</v>
      </c>
      <c r="D38" s="210">
        <f t="shared" si="2"/>
        <v>43465</v>
      </c>
      <c r="E38" s="209">
        <f t="shared" si="3"/>
        <v>92</v>
      </c>
      <c r="F38" s="83">
        <f>VLOOKUP(D38,'FERC Interest Rate'!$A:$B,2,TRUE)</f>
        <v>5.2822580000000001E-2</v>
      </c>
      <c r="G38" s="84">
        <f t="shared" si="13"/>
        <v>35944397.239871055</v>
      </c>
      <c r="H38" s="84">
        <v>0</v>
      </c>
      <c r="I38" s="109">
        <f t="shared" si="9"/>
        <v>101322.47635191314</v>
      </c>
      <c r="J38" s="69">
        <f t="shared" si="11"/>
        <v>478570.33831629553</v>
      </c>
      <c r="K38" s="211">
        <f t="shared" si="4"/>
        <v>579892.81466820871</v>
      </c>
      <c r="L38" s="69">
        <f t="shared" si="12"/>
        <v>3166350</v>
      </c>
      <c r="M38" s="212">
        <f t="shared" si="14"/>
        <v>3746242.8146682088</v>
      </c>
      <c r="N38" s="64">
        <f t="shared" si="5"/>
        <v>36422967.578187354</v>
      </c>
      <c r="O38" s="84">
        <f t="shared" si="8"/>
        <v>32676724.763519146</v>
      </c>
    </row>
    <row r="39" spans="1:15" x14ac:dyDescent="0.2">
      <c r="A39" s="60" t="s">
        <v>64</v>
      </c>
      <c r="B39" s="209" t="str">
        <f t="shared" si="1"/>
        <v>Q1/2019</v>
      </c>
      <c r="C39" s="210">
        <f t="shared" si="6"/>
        <v>43466</v>
      </c>
      <c r="D39" s="210">
        <f t="shared" si="2"/>
        <v>43555</v>
      </c>
      <c r="E39" s="209">
        <f t="shared" si="3"/>
        <v>90</v>
      </c>
      <c r="F39" s="83">
        <f>VLOOKUP(D39,'FERC Interest Rate'!$A:$B,2,TRUE)</f>
        <v>5.5296770000000002E-2</v>
      </c>
      <c r="G39" s="84">
        <f t="shared" si="13"/>
        <v>32676724.763519146</v>
      </c>
      <c r="H39" s="84">
        <v>0</v>
      </c>
      <c r="I39" s="109">
        <f t="shared" si="9"/>
        <v>101322.47635191314</v>
      </c>
      <c r="J39" s="69">
        <f t="shared" si="11"/>
        <v>445541.26034012611</v>
      </c>
      <c r="K39" s="211">
        <f t="shared" si="4"/>
        <v>546863.7366920393</v>
      </c>
      <c r="L39" s="69">
        <f t="shared" si="12"/>
        <v>3166350</v>
      </c>
      <c r="M39" s="212">
        <f t="shared" si="14"/>
        <v>3713213.7366920393</v>
      </c>
      <c r="N39" s="64">
        <f t="shared" si="5"/>
        <v>33122266.02385927</v>
      </c>
      <c r="O39" s="84">
        <f t="shared" si="8"/>
        <v>29409052.287167229</v>
      </c>
    </row>
    <row r="40" spans="1:15" x14ac:dyDescent="0.2">
      <c r="A40" s="60" t="s">
        <v>65</v>
      </c>
      <c r="B40" s="209" t="str">
        <f t="shared" si="1"/>
        <v>Q2/2019</v>
      </c>
      <c r="C40" s="210">
        <f t="shared" si="6"/>
        <v>43556</v>
      </c>
      <c r="D40" s="210">
        <f t="shared" si="2"/>
        <v>43646</v>
      </c>
      <c r="E40" s="209">
        <f t="shared" si="3"/>
        <v>91</v>
      </c>
      <c r="F40" s="83">
        <f>VLOOKUP(D40,'FERC Interest Rate'!$A:$B,2,TRUE)</f>
        <v>5.7999999999999996E-2</v>
      </c>
      <c r="G40" s="84">
        <f t="shared" si="13"/>
        <v>29409052.287167229</v>
      </c>
      <c r="H40" s="84">
        <v>0</v>
      </c>
      <c r="I40" s="109">
        <f t="shared" si="9"/>
        <v>101322.47635191314</v>
      </c>
      <c r="J40" s="69">
        <f t="shared" si="11"/>
        <v>425262.95334703731</v>
      </c>
      <c r="K40" s="211">
        <f t="shared" si="4"/>
        <v>526585.42969895049</v>
      </c>
      <c r="L40" s="69">
        <f t="shared" si="12"/>
        <v>3166350</v>
      </c>
      <c r="M40" s="212">
        <f t="shared" si="14"/>
        <v>3692935.4296989506</v>
      </c>
      <c r="N40" s="64">
        <f t="shared" si="5"/>
        <v>29834315.240514267</v>
      </c>
      <c r="O40" s="84">
        <f t="shared" si="8"/>
        <v>26141379.810815316</v>
      </c>
    </row>
    <row r="41" spans="1:15" x14ac:dyDescent="0.2">
      <c r="A41" s="60" t="s">
        <v>66</v>
      </c>
      <c r="B41" s="209" t="str">
        <f t="shared" si="1"/>
        <v>Q3/2019</v>
      </c>
      <c r="C41" s="210">
        <f t="shared" si="6"/>
        <v>43647</v>
      </c>
      <c r="D41" s="210">
        <f t="shared" si="2"/>
        <v>43738</v>
      </c>
      <c r="E41" s="209">
        <f t="shared" si="3"/>
        <v>92</v>
      </c>
      <c r="F41" s="83">
        <f>VLOOKUP(D41,'FERC Interest Rate'!$A:$B,2,TRUE)</f>
        <v>0.06</v>
      </c>
      <c r="G41" s="84">
        <f t="shared" si="13"/>
        <v>26141379.810815316</v>
      </c>
      <c r="H41" s="84">
        <v>0</v>
      </c>
      <c r="I41" s="109">
        <f t="shared" si="9"/>
        <v>101322.47635191314</v>
      </c>
      <c r="J41" s="69">
        <f t="shared" si="11"/>
        <v>395343.60700191936</v>
      </c>
      <c r="K41" s="211">
        <f t="shared" si="4"/>
        <v>496666.08335383248</v>
      </c>
      <c r="L41" s="69">
        <f t="shared" si="12"/>
        <v>3166350</v>
      </c>
      <c r="M41" s="212">
        <f t="shared" si="14"/>
        <v>3663016.0833538324</v>
      </c>
      <c r="N41" s="64">
        <f t="shared" si="5"/>
        <v>26536723.417817235</v>
      </c>
      <c r="O41" s="84">
        <f t="shared" si="8"/>
        <v>22873707.334463403</v>
      </c>
    </row>
    <row r="42" spans="1:15" x14ac:dyDescent="0.2">
      <c r="A42" s="60" t="s">
        <v>67</v>
      </c>
      <c r="B42" s="209" t="str">
        <f t="shared" si="1"/>
        <v>Q4/2019</v>
      </c>
      <c r="C42" s="210">
        <f>D41+1</f>
        <v>43739</v>
      </c>
      <c r="D42" s="210">
        <f t="shared" si="2"/>
        <v>43830</v>
      </c>
      <c r="E42" s="209">
        <f t="shared" si="3"/>
        <v>92</v>
      </c>
      <c r="F42" s="83">
        <f>VLOOKUP(D42,'FERC Interest Rate'!$A:$B,2,TRUE)</f>
        <v>6.0349460000000001E-2</v>
      </c>
      <c r="G42" s="84">
        <f>O41</f>
        <v>22873707.334463403</v>
      </c>
      <c r="H42" s="84">
        <v>0</v>
      </c>
      <c r="I42" s="109">
        <f t="shared" si="9"/>
        <v>101322.47635191314</v>
      </c>
      <c r="J42" s="69">
        <f t="shared" si="11"/>
        <v>347940.44245651324</v>
      </c>
      <c r="K42" s="211">
        <f t="shared" si="4"/>
        <v>449262.91880842636</v>
      </c>
      <c r="L42" s="69">
        <f t="shared" si="12"/>
        <v>3166350</v>
      </c>
      <c r="M42" s="212">
        <f t="shared" si="14"/>
        <v>3615612.9188084262</v>
      </c>
      <c r="N42" s="64">
        <f t="shared" si="5"/>
        <v>23221647.776919916</v>
      </c>
      <c r="O42" s="84">
        <f t="shared" si="8"/>
        <v>19606034.85811149</v>
      </c>
    </row>
    <row r="43" spans="1:15" x14ac:dyDescent="0.2">
      <c r="A43" s="60" t="s">
        <v>68</v>
      </c>
      <c r="B43" s="209" t="str">
        <f t="shared" si="1"/>
        <v>Q1/2020</v>
      </c>
      <c r="C43" s="210">
        <f t="shared" si="6"/>
        <v>43831</v>
      </c>
      <c r="D43" s="210">
        <f t="shared" si="2"/>
        <v>43921</v>
      </c>
      <c r="E43" s="209">
        <f t="shared" si="3"/>
        <v>91</v>
      </c>
      <c r="F43" s="83">
        <f>VLOOKUP(D43,'FERC Interest Rate'!$A:$B,2,TRUE)</f>
        <v>6.2501040000000008E-2</v>
      </c>
      <c r="G43" s="84">
        <f t="shared" si="13"/>
        <v>19606034.85811149</v>
      </c>
      <c r="H43" s="84">
        <v>0</v>
      </c>
      <c r="I43" s="109">
        <f t="shared" si="9"/>
        <v>101322.47635191314</v>
      </c>
      <c r="J43" s="69">
        <f t="shared" si="11"/>
        <v>304675.35183237179</v>
      </c>
      <c r="K43" s="211">
        <f t="shared" si="4"/>
        <v>405997.82818428491</v>
      </c>
      <c r="L43" s="69">
        <f t="shared" si="12"/>
        <v>3166350</v>
      </c>
      <c r="M43" s="212">
        <f t="shared" si="14"/>
        <v>3572347.8281842847</v>
      </c>
      <c r="N43" s="64">
        <f t="shared" si="5"/>
        <v>19910710.209943861</v>
      </c>
      <c r="O43" s="84">
        <f t="shared" si="8"/>
        <v>16338362.381759576</v>
      </c>
    </row>
    <row r="44" spans="1:15" x14ac:dyDescent="0.2">
      <c r="A44" s="60" t="s">
        <v>69</v>
      </c>
      <c r="B44" s="209" t="str">
        <f t="shared" si="1"/>
        <v>Q2/2020</v>
      </c>
      <c r="C44" s="210">
        <f t="shared" si="6"/>
        <v>43922</v>
      </c>
      <c r="D44" s="210">
        <f t="shared" si="2"/>
        <v>44012</v>
      </c>
      <c r="E44" s="209">
        <f t="shared" si="3"/>
        <v>91</v>
      </c>
      <c r="F44" s="83">
        <f>VLOOKUP(D44,'FERC Interest Rate'!$A:$B,2,TRUE)</f>
        <v>6.3055559999999997E-2</v>
      </c>
      <c r="G44" s="84">
        <f t="shared" si="13"/>
        <v>16338362.381759576</v>
      </c>
      <c r="H44" s="84">
        <v>0</v>
      </c>
      <c r="I44" s="109">
        <f t="shared" si="9"/>
        <v>101322.47635191314</v>
      </c>
      <c r="J44" s="69">
        <f t="shared" si="11"/>
        <v>256148.73672485061</v>
      </c>
      <c r="K44" s="211">
        <f t="shared" si="4"/>
        <v>357471.21307676373</v>
      </c>
      <c r="L44" s="69">
        <f t="shared" si="12"/>
        <v>3166350</v>
      </c>
      <c r="M44" s="212">
        <f t="shared" si="14"/>
        <v>3523821.2130767638</v>
      </c>
      <c r="N44" s="64">
        <f t="shared" si="5"/>
        <v>16594511.118484426</v>
      </c>
      <c r="O44" s="84">
        <f t="shared" si="8"/>
        <v>13070689.905407663</v>
      </c>
    </row>
    <row r="45" spans="1:15" x14ac:dyDescent="0.2">
      <c r="A45" s="60" t="s">
        <v>70</v>
      </c>
      <c r="B45" s="209" t="str">
        <f t="shared" si="1"/>
        <v>Q3/2020</v>
      </c>
      <c r="C45" s="210">
        <f t="shared" si="6"/>
        <v>44013</v>
      </c>
      <c r="D45" s="210">
        <f t="shared" si="2"/>
        <v>44104</v>
      </c>
      <c r="E45" s="209">
        <f t="shared" si="3"/>
        <v>92</v>
      </c>
      <c r="F45" s="83">
        <f>VLOOKUP(D45,'FERC Interest Rate'!$A:$B,2,TRUE)</f>
        <v>6.5000000000000002E-2</v>
      </c>
      <c r="G45" s="84">
        <f t="shared" si="13"/>
        <v>13070689.905407663</v>
      </c>
      <c r="H45" s="84">
        <v>0</v>
      </c>
      <c r="I45" s="109">
        <f t="shared" si="9"/>
        <v>101322.47635191314</v>
      </c>
      <c r="J45" s="69">
        <f t="shared" si="11"/>
        <v>213559.35965666073</v>
      </c>
      <c r="K45" s="211">
        <f t="shared" si="4"/>
        <v>314881.83600857388</v>
      </c>
      <c r="L45" s="69">
        <f t="shared" si="12"/>
        <v>3166350</v>
      </c>
      <c r="M45" s="212">
        <f t="shared" si="14"/>
        <v>3481231.8360085739</v>
      </c>
      <c r="N45" s="64">
        <f t="shared" si="5"/>
        <v>13284249.265064323</v>
      </c>
      <c r="O45" s="84">
        <f t="shared" si="8"/>
        <v>9803017.4290557504</v>
      </c>
    </row>
    <row r="46" spans="1:15" x14ac:dyDescent="0.2">
      <c r="A46" s="60" t="s">
        <v>71</v>
      </c>
      <c r="B46" s="209" t="str">
        <f t="shared" si="1"/>
        <v>Q4/2020</v>
      </c>
      <c r="C46" s="210">
        <f t="shared" si="6"/>
        <v>44105</v>
      </c>
      <c r="D46" s="210">
        <f t="shared" si="2"/>
        <v>44196</v>
      </c>
      <c r="E46" s="209">
        <f t="shared" si="3"/>
        <v>92</v>
      </c>
      <c r="F46" s="83">
        <f>VLOOKUP(D46,'FERC Interest Rate'!$A:$B,2,TRUE)</f>
        <v>6.5000000000000002E-2</v>
      </c>
      <c r="G46" s="84">
        <f t="shared" si="13"/>
        <v>9803017.4290557504</v>
      </c>
      <c r="H46" s="84">
        <v>0</v>
      </c>
      <c r="I46" s="109">
        <f t="shared" si="9"/>
        <v>101322.47635191314</v>
      </c>
      <c r="J46" s="69">
        <f t="shared" ref="J46:J48" si="15">G46*F46*(E46/(DATE(YEAR(D46),12,31)-DATE(YEAR(D46),1,1)+1))</f>
        <v>160169.51974249558</v>
      </c>
      <c r="K46" s="211">
        <f t="shared" ref="K46:K48" si="16">+SUM(I46:J46)</f>
        <v>261491.99609440874</v>
      </c>
      <c r="L46" s="69">
        <f t="shared" si="12"/>
        <v>3166350</v>
      </c>
      <c r="M46" s="212">
        <f t="shared" ref="M46:M48" si="17">+SUM(K46:L46)</f>
        <v>3427841.9960944089</v>
      </c>
      <c r="N46" s="64">
        <f t="shared" si="5"/>
        <v>9963186.9487982467</v>
      </c>
      <c r="O46" s="84">
        <f t="shared" si="8"/>
        <v>6535344.9527038373</v>
      </c>
    </row>
    <row r="47" spans="1:15" x14ac:dyDescent="0.2">
      <c r="A47" s="60" t="s">
        <v>72</v>
      </c>
      <c r="B47" s="209" t="str">
        <f t="shared" si="1"/>
        <v>Q1/2021</v>
      </c>
      <c r="C47" s="210">
        <f t="shared" si="6"/>
        <v>44197</v>
      </c>
      <c r="D47" s="210">
        <f t="shared" si="2"/>
        <v>44286</v>
      </c>
      <c r="E47" s="209">
        <f t="shared" si="3"/>
        <v>90</v>
      </c>
      <c r="F47" s="83">
        <f>VLOOKUP(D47,'FERC Interest Rate'!$A:$B,2,TRUE)</f>
        <v>6.5000000000000002E-2</v>
      </c>
      <c r="G47" s="84">
        <f t="shared" si="13"/>
        <v>6535344.9527038373</v>
      </c>
      <c r="H47" s="84">
        <v>0</v>
      </c>
      <c r="I47" s="109">
        <f t="shared" si="9"/>
        <v>101322.47635191314</v>
      </c>
      <c r="J47" s="69">
        <f t="shared" si="15"/>
        <v>104744.56978991082</v>
      </c>
      <c r="K47" s="211">
        <f t="shared" si="16"/>
        <v>206067.04614182396</v>
      </c>
      <c r="L47" s="69">
        <f t="shared" si="12"/>
        <v>3166350</v>
      </c>
      <c r="M47" s="212">
        <f t="shared" si="17"/>
        <v>3372417.0461418238</v>
      </c>
      <c r="N47" s="64">
        <f t="shared" si="5"/>
        <v>6640089.522493748</v>
      </c>
      <c r="O47" s="84">
        <f t="shared" si="8"/>
        <v>3267672.4763519242</v>
      </c>
    </row>
    <row r="48" spans="1:15" x14ac:dyDescent="0.2">
      <c r="A48" s="60" t="s">
        <v>73</v>
      </c>
      <c r="B48" s="209" t="str">
        <f t="shared" si="1"/>
        <v>Q2/2021</v>
      </c>
      <c r="C48" s="210">
        <f t="shared" si="6"/>
        <v>44287</v>
      </c>
      <c r="D48" s="210">
        <f t="shared" si="2"/>
        <v>44377</v>
      </c>
      <c r="E48" s="209">
        <f t="shared" si="3"/>
        <v>91</v>
      </c>
      <c r="F48" s="83">
        <f>VLOOKUP(D48,'FERC Interest Rate'!$A:$B,2,TRUE)</f>
        <v>6.5000000000000002E-2</v>
      </c>
      <c r="G48" s="84">
        <f t="shared" si="13"/>
        <v>3267672.4763519242</v>
      </c>
      <c r="H48" s="84">
        <v>0</v>
      </c>
      <c r="I48" s="109">
        <f t="shared" si="9"/>
        <v>101322.47635191314</v>
      </c>
      <c r="J48" s="69">
        <f t="shared" si="15"/>
        <v>52954.199171566113</v>
      </c>
      <c r="K48" s="211">
        <f t="shared" si="16"/>
        <v>154276.67552347924</v>
      </c>
      <c r="L48" s="69">
        <f t="shared" si="12"/>
        <v>3166350</v>
      </c>
      <c r="M48" s="212">
        <f t="shared" si="17"/>
        <v>3320626.6755234795</v>
      </c>
      <c r="N48" s="64">
        <f t="shared" si="5"/>
        <v>3320626.6755234902</v>
      </c>
      <c r="O48" s="84">
        <f t="shared" si="8"/>
        <v>1.0710209608078003E-8</v>
      </c>
    </row>
    <row r="49" spans="1:15" x14ac:dyDescent="0.2">
      <c r="B49" s="66"/>
      <c r="C49" s="67"/>
      <c r="D49" s="67"/>
      <c r="E49" s="68"/>
      <c r="F49" s="66"/>
      <c r="G49" s="69"/>
      <c r="H49" s="71"/>
      <c r="I49" s="213"/>
      <c r="J49" s="69"/>
      <c r="K49" s="214"/>
      <c r="L49" s="70"/>
      <c r="M49" s="215"/>
      <c r="O49" s="69"/>
    </row>
    <row r="50" spans="1:15" ht="13.5" thickBot="1" x14ac:dyDescent="0.25">
      <c r="A50" s="197"/>
      <c r="B50" s="216"/>
      <c r="C50" s="217"/>
      <c r="D50" s="217"/>
      <c r="E50" s="218"/>
      <c r="F50" s="216"/>
      <c r="G50" s="219">
        <f t="shared" ref="G50:O50" si="18">+SUM(G26:G49)</f>
        <v>876915272.37570488</v>
      </c>
      <c r="H50" s="219">
        <f t="shared" si="18"/>
        <v>2026449.5270382627</v>
      </c>
      <c r="I50" s="220">
        <f t="shared" si="18"/>
        <v>2026449.5270382622</v>
      </c>
      <c r="J50" s="219">
        <f t="shared" si="18"/>
        <v>7242629.9854308339</v>
      </c>
      <c r="K50" s="219">
        <f t="shared" si="18"/>
        <v>9269079.5124690961</v>
      </c>
      <c r="L50" s="219">
        <f t="shared" si="18"/>
        <v>63327000</v>
      </c>
      <c r="M50" s="221">
        <f t="shared" si="18"/>
        <v>72596079.512469083</v>
      </c>
      <c r="N50" s="219">
        <f t="shared" si="18"/>
        <v>886184351.88817418</v>
      </c>
      <c r="O50" s="219">
        <f t="shared" si="18"/>
        <v>813588272.37570488</v>
      </c>
    </row>
    <row r="51" spans="1:15" ht="14.25" thickTop="1" thickBot="1" x14ac:dyDescent="0.25">
      <c r="H51" s="211"/>
      <c r="I51" s="222"/>
      <c r="J51" s="223"/>
      <c r="K51" s="223"/>
      <c r="L51" s="223"/>
      <c r="M51" s="224"/>
    </row>
  </sheetData>
  <mergeCells count="1">
    <mergeCell ref="J24:K24"/>
  </mergeCells>
  <pageMargins left="0.7" right="0.7" top="0.75" bottom="0.75" header="0.3" footer="0.3"/>
  <pageSetup scale="53" fitToHeight="0" orientation="landscape" r:id="rId1"/>
  <headerFooter alignWithMargins="0">
    <oddHeader>&amp;RTO2019 Annual Update
Attachment 4
WP Schedule 22
Page &amp;P of &amp;N</oddHeader>
    <oddFooter>&amp;R&amp;A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2"/>
  <sheetViews>
    <sheetView zoomScale="80" zoomScaleNormal="80" workbookViewId="0"/>
  </sheetViews>
  <sheetFormatPr defaultColWidth="9.140625" defaultRowHeight="12.75" x14ac:dyDescent="0.2"/>
  <cols>
    <col min="1" max="1" width="10.28515625" style="59" customWidth="1"/>
    <col min="2" max="2" width="13.5703125" style="59" customWidth="1"/>
    <col min="3" max="3" width="15.42578125" style="59" bestFit="1" customWidth="1"/>
    <col min="4" max="4" width="13.5703125" style="59" customWidth="1"/>
    <col min="5" max="5" width="12.42578125" style="59" customWidth="1"/>
    <col min="6" max="6" width="15.42578125" style="59" bestFit="1" customWidth="1"/>
    <col min="7" max="7" width="17.28515625" style="59" customWidth="1"/>
    <col min="8" max="9" width="16.140625" style="59" customWidth="1"/>
    <col min="10" max="10" width="17.28515625" style="59" bestFit="1" customWidth="1"/>
    <col min="11" max="11" width="16.140625" style="59" customWidth="1"/>
    <col min="12" max="12" width="17.85546875" style="59" customWidth="1"/>
    <col min="13" max="13" width="16.140625" style="59" customWidth="1"/>
    <col min="14" max="14" width="17" style="59" customWidth="1"/>
    <col min="15" max="15" width="17.28515625" style="59" customWidth="1"/>
    <col min="16" max="18" width="16.140625" style="59" customWidth="1"/>
    <col min="19" max="19" width="16" style="59" customWidth="1"/>
    <col min="20" max="16384" width="9.140625" style="59"/>
  </cols>
  <sheetData>
    <row r="1" spans="1:13" ht="38.25" x14ac:dyDescent="0.2">
      <c r="A1" s="190" t="s">
        <v>8</v>
      </c>
      <c r="B1" s="191" t="s">
        <v>88</v>
      </c>
      <c r="C1" s="190" t="s">
        <v>2</v>
      </c>
      <c r="D1" s="190" t="s">
        <v>1</v>
      </c>
      <c r="E1" s="191" t="s">
        <v>74</v>
      </c>
      <c r="F1" s="191" t="s">
        <v>48</v>
      </c>
      <c r="G1" s="249"/>
      <c r="H1" s="249"/>
      <c r="I1" s="249"/>
      <c r="J1" s="249"/>
      <c r="K1" s="249"/>
      <c r="L1" s="249"/>
      <c r="M1" s="249"/>
    </row>
    <row r="2" spans="1:13" ht="12.75" customHeight="1" x14ac:dyDescent="0.2">
      <c r="A2" s="195" t="s">
        <v>54</v>
      </c>
      <c r="B2" s="61">
        <v>41852</v>
      </c>
      <c r="C2" s="55">
        <v>70903</v>
      </c>
      <c r="D2" s="55">
        <v>0</v>
      </c>
      <c r="E2" s="55">
        <v>0</v>
      </c>
      <c r="F2" s="7">
        <f>SUM(C2:E2)</f>
        <v>70903</v>
      </c>
      <c r="G2" s="249"/>
      <c r="H2" s="249"/>
      <c r="I2" s="249"/>
      <c r="J2" s="249"/>
      <c r="K2" s="249"/>
      <c r="L2" s="249"/>
      <c r="M2" s="249"/>
    </row>
    <row r="3" spans="1:13" ht="12.75" customHeight="1" x14ac:dyDescent="0.2">
      <c r="A3" s="195" t="s">
        <v>55</v>
      </c>
      <c r="B3" s="61">
        <v>41883</v>
      </c>
      <c r="C3" s="55">
        <v>92672</v>
      </c>
      <c r="D3" s="55">
        <v>0</v>
      </c>
      <c r="E3" s="55">
        <v>0</v>
      </c>
      <c r="F3" s="7">
        <f t="shared" ref="F3:F25" si="0">SUM(C3:E3)</f>
        <v>92672</v>
      </c>
      <c r="G3" s="249"/>
      <c r="H3" s="249"/>
      <c r="I3" s="249"/>
      <c r="J3" s="249"/>
      <c r="K3" s="249"/>
      <c r="L3" s="249"/>
      <c r="M3" s="249"/>
    </row>
    <row r="4" spans="1:13" collapsed="1" x14ac:dyDescent="0.2">
      <c r="A4" s="195" t="s">
        <v>56</v>
      </c>
      <c r="B4" s="61">
        <v>41913</v>
      </c>
      <c r="C4" s="55">
        <v>120116</v>
      </c>
      <c r="D4" s="55">
        <v>0</v>
      </c>
      <c r="E4" s="55">
        <v>0</v>
      </c>
      <c r="F4" s="7">
        <f t="shared" si="0"/>
        <v>120116</v>
      </c>
      <c r="G4" s="249"/>
      <c r="H4" s="249"/>
      <c r="I4" s="249"/>
      <c r="J4" s="249"/>
      <c r="K4" s="249"/>
      <c r="L4" s="249"/>
      <c r="M4" s="249"/>
    </row>
    <row r="5" spans="1:13" x14ac:dyDescent="0.2">
      <c r="A5" s="195" t="s">
        <v>57</v>
      </c>
      <c r="B5" s="61">
        <v>41944</v>
      </c>
      <c r="C5" s="55">
        <v>154013</v>
      </c>
      <c r="D5" s="55">
        <v>0</v>
      </c>
      <c r="E5" s="55">
        <v>0</v>
      </c>
      <c r="F5" s="7">
        <f t="shared" si="0"/>
        <v>154013</v>
      </c>
      <c r="G5" s="249"/>
      <c r="H5" s="249"/>
      <c r="I5" s="249"/>
      <c r="J5" s="249"/>
      <c r="K5" s="249"/>
      <c r="L5" s="249"/>
      <c r="M5" s="249"/>
    </row>
    <row r="6" spans="1:13" ht="12.75" customHeight="1" x14ac:dyDescent="0.2">
      <c r="A6" s="195" t="s">
        <v>58</v>
      </c>
      <c r="B6" s="61">
        <v>41974</v>
      </c>
      <c r="C6" s="55">
        <v>194760</v>
      </c>
      <c r="D6" s="55">
        <v>0</v>
      </c>
      <c r="E6" s="55">
        <v>0</v>
      </c>
      <c r="F6" s="7">
        <f t="shared" si="0"/>
        <v>194760</v>
      </c>
      <c r="G6" s="249"/>
      <c r="H6" s="249"/>
      <c r="I6" s="249"/>
      <c r="J6" s="249"/>
      <c r="K6" s="249"/>
      <c r="L6" s="249"/>
      <c r="M6" s="249"/>
    </row>
    <row r="7" spans="1:13" x14ac:dyDescent="0.2">
      <c r="A7" s="195" t="s">
        <v>59</v>
      </c>
      <c r="B7" s="61">
        <v>42005</v>
      </c>
      <c r="C7" s="55">
        <v>242020</v>
      </c>
      <c r="D7" s="55">
        <v>0</v>
      </c>
      <c r="E7" s="55">
        <v>0</v>
      </c>
      <c r="F7" s="7">
        <f t="shared" si="0"/>
        <v>242020</v>
      </c>
      <c r="G7" s="249"/>
      <c r="H7" s="249"/>
      <c r="I7" s="249"/>
      <c r="J7" s="249"/>
      <c r="K7" s="249"/>
      <c r="L7" s="249"/>
      <c r="M7" s="249"/>
    </row>
    <row r="8" spans="1:13" x14ac:dyDescent="0.2">
      <c r="A8" s="195" t="s">
        <v>60</v>
      </c>
      <c r="B8" s="61">
        <v>42036</v>
      </c>
      <c r="C8" s="55">
        <v>294302</v>
      </c>
      <c r="D8" s="55">
        <v>0</v>
      </c>
      <c r="E8" s="55">
        <v>0</v>
      </c>
      <c r="F8" s="7">
        <f t="shared" si="0"/>
        <v>294302</v>
      </c>
      <c r="G8" s="249"/>
      <c r="H8" s="249"/>
      <c r="I8" s="249"/>
      <c r="J8" s="249"/>
      <c r="K8" s="249"/>
      <c r="L8" s="249"/>
      <c r="M8" s="249"/>
    </row>
    <row r="9" spans="1:13" x14ac:dyDescent="0.2">
      <c r="A9" s="195" t="s">
        <v>61</v>
      </c>
      <c r="B9" s="61">
        <v>42064</v>
      </c>
      <c r="C9" s="55">
        <v>348592</v>
      </c>
      <c r="D9" s="55">
        <v>0</v>
      </c>
      <c r="E9" s="55">
        <v>0</v>
      </c>
      <c r="F9" s="7">
        <f t="shared" si="0"/>
        <v>348592</v>
      </c>
      <c r="G9" s="249"/>
      <c r="H9" s="249"/>
      <c r="I9" s="249"/>
      <c r="J9" s="249"/>
      <c r="K9" s="249"/>
      <c r="L9" s="249"/>
      <c r="M9" s="249"/>
    </row>
    <row r="10" spans="1:13" x14ac:dyDescent="0.2">
      <c r="A10" s="195" t="s">
        <v>62</v>
      </c>
      <c r="B10" s="61">
        <v>42095</v>
      </c>
      <c r="C10" s="55">
        <v>400263</v>
      </c>
      <c r="D10" s="55">
        <v>0</v>
      </c>
      <c r="E10" s="55">
        <v>0</v>
      </c>
      <c r="F10" s="7">
        <f t="shared" si="0"/>
        <v>400263</v>
      </c>
      <c r="G10" s="249"/>
      <c r="H10" s="249"/>
      <c r="I10" s="249"/>
      <c r="J10" s="249"/>
      <c r="K10" s="249"/>
      <c r="L10" s="249"/>
      <c r="M10" s="249"/>
    </row>
    <row r="11" spans="1:13" x14ac:dyDescent="0.2">
      <c r="A11" s="195" t="s">
        <v>63</v>
      </c>
      <c r="B11" s="61">
        <v>42125</v>
      </c>
      <c r="C11" s="55">
        <v>456920</v>
      </c>
      <c r="D11" s="55">
        <v>0</v>
      </c>
      <c r="E11" s="55">
        <v>0</v>
      </c>
      <c r="F11" s="7">
        <f t="shared" si="0"/>
        <v>456920</v>
      </c>
      <c r="G11" s="249"/>
      <c r="H11" s="249"/>
      <c r="I11" s="249"/>
      <c r="J11" s="249"/>
      <c r="K11" s="249"/>
      <c r="L11" s="249"/>
      <c r="M11" s="249"/>
    </row>
    <row r="12" spans="1:13" collapsed="1" x14ac:dyDescent="0.2">
      <c r="A12" s="195" t="s">
        <v>64</v>
      </c>
      <c r="B12" s="61">
        <v>42156</v>
      </c>
      <c r="C12" s="55">
        <v>486761</v>
      </c>
      <c r="D12" s="55">
        <v>0</v>
      </c>
      <c r="E12" s="55">
        <v>0</v>
      </c>
      <c r="F12" s="7">
        <f t="shared" si="0"/>
        <v>486761</v>
      </c>
      <c r="G12" s="249"/>
      <c r="H12" s="249"/>
      <c r="I12" s="249"/>
      <c r="J12" s="249"/>
      <c r="K12" s="249"/>
      <c r="L12" s="249"/>
      <c r="M12" s="249"/>
    </row>
    <row r="13" spans="1:13" x14ac:dyDescent="0.2">
      <c r="A13" s="195" t="s">
        <v>65</v>
      </c>
      <c r="B13" s="61">
        <v>42186</v>
      </c>
      <c r="C13" s="55">
        <v>497283</v>
      </c>
      <c r="D13" s="55">
        <v>0</v>
      </c>
      <c r="E13" s="55">
        <v>0</v>
      </c>
      <c r="F13" s="7">
        <f t="shared" si="0"/>
        <v>497283</v>
      </c>
      <c r="G13" s="249"/>
      <c r="H13" s="249"/>
      <c r="I13" s="249"/>
      <c r="J13" s="249"/>
      <c r="K13" s="249"/>
      <c r="L13" s="249"/>
      <c r="M13" s="249"/>
    </row>
    <row r="14" spans="1:13" x14ac:dyDescent="0.2">
      <c r="A14" s="195" t="s">
        <v>66</v>
      </c>
      <c r="B14" s="61">
        <v>42217</v>
      </c>
      <c r="C14" s="55">
        <v>486761</v>
      </c>
      <c r="D14" s="55">
        <v>0</v>
      </c>
      <c r="E14" s="55">
        <v>0</v>
      </c>
      <c r="F14" s="7">
        <f t="shared" si="0"/>
        <v>486761</v>
      </c>
      <c r="G14" s="249"/>
      <c r="H14" s="249"/>
      <c r="I14" s="249"/>
      <c r="J14" s="249"/>
      <c r="K14" s="249"/>
      <c r="L14" s="249"/>
      <c r="M14" s="249"/>
    </row>
    <row r="15" spans="1:13" x14ac:dyDescent="0.2">
      <c r="A15" s="195" t="s">
        <v>67</v>
      </c>
      <c r="B15" s="61">
        <v>42248</v>
      </c>
      <c r="C15" s="55">
        <v>456920</v>
      </c>
      <c r="D15" s="55">
        <v>0</v>
      </c>
      <c r="E15" s="55">
        <v>0</v>
      </c>
      <c r="F15" s="7">
        <f t="shared" si="0"/>
        <v>456920</v>
      </c>
      <c r="G15" s="249"/>
      <c r="H15" s="249"/>
      <c r="I15" s="249"/>
      <c r="J15" s="249"/>
      <c r="K15" s="249"/>
      <c r="L15" s="249"/>
      <c r="M15" s="249"/>
    </row>
    <row r="16" spans="1:13" x14ac:dyDescent="0.2">
      <c r="A16" s="195" t="s">
        <v>68</v>
      </c>
      <c r="B16" s="61">
        <v>42278</v>
      </c>
      <c r="C16" s="55">
        <v>412352</v>
      </c>
      <c r="D16" s="55">
        <v>0</v>
      </c>
      <c r="E16" s="55">
        <v>0</v>
      </c>
      <c r="F16" s="7">
        <f t="shared" si="0"/>
        <v>412352</v>
      </c>
      <c r="G16" s="249"/>
      <c r="H16" s="249"/>
      <c r="I16" s="249"/>
      <c r="J16" s="249"/>
      <c r="K16" s="249"/>
      <c r="L16" s="249"/>
      <c r="M16" s="249"/>
    </row>
    <row r="17" spans="1:18" x14ac:dyDescent="0.2">
      <c r="A17" s="195" t="s">
        <v>69</v>
      </c>
      <c r="B17" s="61">
        <v>42309</v>
      </c>
      <c r="C17" s="55">
        <v>359119</v>
      </c>
      <c r="D17" s="55">
        <v>0</v>
      </c>
      <c r="E17" s="55">
        <v>0</v>
      </c>
      <c r="F17" s="7">
        <f t="shared" si="0"/>
        <v>359119</v>
      </c>
      <c r="G17" s="249"/>
      <c r="H17" s="249"/>
      <c r="I17" s="249"/>
      <c r="J17" s="249"/>
      <c r="K17" s="249"/>
      <c r="L17" s="249"/>
      <c r="M17" s="249"/>
    </row>
    <row r="18" spans="1:18" x14ac:dyDescent="0.2">
      <c r="A18" s="195" t="s">
        <v>70</v>
      </c>
      <c r="B18" s="61">
        <v>42339</v>
      </c>
      <c r="C18" s="55">
        <v>303191</v>
      </c>
      <c r="D18" s="55">
        <v>0</v>
      </c>
      <c r="E18" s="55">
        <v>0</v>
      </c>
      <c r="F18" s="7">
        <f t="shared" si="0"/>
        <v>303191</v>
      </c>
      <c r="G18" s="249"/>
      <c r="H18" s="249"/>
      <c r="I18" s="249"/>
      <c r="J18" s="249"/>
      <c r="K18" s="249"/>
      <c r="L18" s="249"/>
      <c r="M18" s="249"/>
    </row>
    <row r="19" spans="1:18" x14ac:dyDescent="0.2">
      <c r="A19" s="195" t="s">
        <v>71</v>
      </c>
      <c r="B19" s="61">
        <v>42370</v>
      </c>
      <c r="C19" s="55">
        <v>249330</v>
      </c>
      <c r="D19" s="55">
        <v>0</v>
      </c>
      <c r="E19" s="55">
        <v>0</v>
      </c>
      <c r="F19" s="7">
        <f t="shared" si="0"/>
        <v>249330</v>
      </c>
      <c r="G19" s="249"/>
      <c r="H19" s="249"/>
      <c r="I19" s="249"/>
      <c r="J19" s="249"/>
      <c r="K19" s="249"/>
      <c r="L19" s="249"/>
      <c r="M19" s="249"/>
    </row>
    <row r="20" spans="1:18" x14ac:dyDescent="0.2">
      <c r="A20" s="195" t="s">
        <v>72</v>
      </c>
      <c r="B20" s="61">
        <v>42401</v>
      </c>
      <c r="C20" s="55">
        <v>200642</v>
      </c>
      <c r="D20" s="55">
        <v>0</v>
      </c>
      <c r="E20" s="55">
        <v>0</v>
      </c>
      <c r="F20" s="7">
        <f t="shared" si="0"/>
        <v>200642</v>
      </c>
      <c r="G20" s="249"/>
      <c r="H20" s="249"/>
      <c r="I20" s="249"/>
      <c r="J20" s="249"/>
      <c r="K20" s="249"/>
      <c r="L20" s="249"/>
      <c r="M20" s="249"/>
    </row>
    <row r="21" spans="1:18" x14ac:dyDescent="0.2">
      <c r="A21" s="195" t="s">
        <v>73</v>
      </c>
      <c r="B21" s="61">
        <v>42430</v>
      </c>
      <c r="C21" s="55">
        <v>158664</v>
      </c>
      <c r="D21" s="55">
        <v>0</v>
      </c>
      <c r="E21" s="55">
        <v>0</v>
      </c>
      <c r="F21" s="7">
        <f t="shared" si="0"/>
        <v>158664</v>
      </c>
      <c r="G21" s="249"/>
      <c r="H21" s="249"/>
      <c r="I21" s="249"/>
      <c r="J21" s="249"/>
      <c r="K21" s="249"/>
      <c r="L21" s="249"/>
      <c r="M21" s="249"/>
    </row>
    <row r="22" spans="1:18" x14ac:dyDescent="0.2">
      <c r="A22" s="195" t="s">
        <v>76</v>
      </c>
      <c r="B22" s="61">
        <v>42461</v>
      </c>
      <c r="C22" s="55">
        <v>123744</v>
      </c>
      <c r="D22" s="55">
        <v>0</v>
      </c>
      <c r="E22" s="55">
        <v>0</v>
      </c>
      <c r="F22" s="7">
        <f t="shared" si="0"/>
        <v>123744</v>
      </c>
      <c r="G22" s="249"/>
      <c r="H22" s="249"/>
      <c r="I22" s="249"/>
      <c r="J22" s="249"/>
      <c r="K22" s="249"/>
      <c r="L22" s="249"/>
      <c r="M22" s="249"/>
    </row>
    <row r="23" spans="1:18" x14ac:dyDescent="0.2">
      <c r="A23" s="195" t="s">
        <v>77</v>
      </c>
      <c r="B23" s="61">
        <v>42491</v>
      </c>
      <c r="C23" s="55">
        <v>23891</v>
      </c>
      <c r="D23" s="55">
        <v>0</v>
      </c>
      <c r="E23" s="55">
        <v>0</v>
      </c>
      <c r="F23" s="7">
        <f t="shared" si="0"/>
        <v>23891</v>
      </c>
      <c r="G23" s="249"/>
      <c r="H23" s="249"/>
      <c r="I23" s="249"/>
      <c r="J23" s="249"/>
      <c r="K23" s="249"/>
      <c r="L23" s="249"/>
      <c r="M23" s="249"/>
    </row>
    <row r="24" spans="1:18" x14ac:dyDescent="0.2">
      <c r="A24" s="195" t="s">
        <v>78</v>
      </c>
      <c r="B24" s="61">
        <v>42522</v>
      </c>
      <c r="C24" s="55">
        <v>23891</v>
      </c>
      <c r="D24" s="55">
        <v>0</v>
      </c>
      <c r="E24" s="55">
        <v>0</v>
      </c>
      <c r="F24" s="7">
        <f t="shared" si="0"/>
        <v>23891</v>
      </c>
      <c r="G24" s="249"/>
      <c r="H24" s="249"/>
      <c r="I24" s="249"/>
      <c r="J24" s="249"/>
      <c r="K24" s="249"/>
      <c r="L24" s="249"/>
      <c r="M24" s="249"/>
    </row>
    <row r="25" spans="1:18" x14ac:dyDescent="0.2">
      <c r="A25" s="195" t="s">
        <v>79</v>
      </c>
      <c r="B25" s="61">
        <v>42552</v>
      </c>
      <c r="C25" s="55">
        <v>23890</v>
      </c>
      <c r="D25" s="55">
        <v>0</v>
      </c>
      <c r="E25" s="55">
        <v>0</v>
      </c>
      <c r="F25" s="7">
        <f t="shared" si="0"/>
        <v>23890</v>
      </c>
      <c r="G25" s="249"/>
      <c r="H25" s="249"/>
      <c r="I25" s="249"/>
      <c r="J25" s="249"/>
      <c r="K25" s="249"/>
      <c r="L25" s="249"/>
      <c r="M25" s="249"/>
    </row>
    <row r="26" spans="1:18" ht="13.5" thickBot="1" x14ac:dyDescent="0.25">
      <c r="B26" s="58" t="s">
        <v>0</v>
      </c>
      <c r="C26" s="196">
        <f>SUM(C2:C25)</f>
        <v>6181000</v>
      </c>
      <c r="D26" s="196">
        <f>SUM(D2:D25)</f>
        <v>0</v>
      </c>
      <c r="E26" s="196">
        <f>SUM(E2:E25)</f>
        <v>0</v>
      </c>
      <c r="F26" s="196">
        <f>SUM(F2:F25)</f>
        <v>6181000</v>
      </c>
      <c r="G26" s="249"/>
      <c r="H26" s="249"/>
      <c r="I26" s="249"/>
      <c r="J26" s="249"/>
      <c r="K26" s="249"/>
      <c r="L26" s="249"/>
      <c r="M26" s="249"/>
    </row>
    <row r="27" spans="1:18" ht="13.5" thickTop="1" x14ac:dyDescent="0.2">
      <c r="A27" s="60" t="s">
        <v>19</v>
      </c>
      <c r="B27" s="62" t="s">
        <v>22</v>
      </c>
      <c r="C27" s="64">
        <v>0</v>
      </c>
      <c r="D27" s="64">
        <v>0</v>
      </c>
      <c r="E27" s="64">
        <v>0</v>
      </c>
      <c r="F27" s="64">
        <f>SUM(C27:E27)</f>
        <v>0</v>
      </c>
      <c r="J27" s="198"/>
      <c r="K27" s="199" t="s">
        <v>14</v>
      </c>
      <c r="L27" s="259" t="s">
        <v>13</v>
      </c>
      <c r="M27" s="249"/>
      <c r="Q27" s="200"/>
    </row>
    <row r="28" spans="1:18" x14ac:dyDescent="0.2">
      <c r="A28" s="60" t="s">
        <v>20</v>
      </c>
      <c r="B28" s="62" t="s">
        <v>22</v>
      </c>
      <c r="C28" s="64">
        <v>0</v>
      </c>
      <c r="D28" s="64">
        <v>0</v>
      </c>
      <c r="E28" s="64">
        <v>0</v>
      </c>
      <c r="F28" s="64">
        <f>SUM(C28:E28)</f>
        <v>0</v>
      </c>
      <c r="J28" s="201" t="s">
        <v>11</v>
      </c>
      <c r="K28" s="202">
        <v>41547</v>
      </c>
      <c r="L28" s="260">
        <f>K28</f>
        <v>41547</v>
      </c>
      <c r="M28" s="249"/>
    </row>
    <row r="29" spans="1:18" ht="13.5" thickBot="1" x14ac:dyDescent="0.25">
      <c r="B29" s="58" t="s">
        <v>52</v>
      </c>
      <c r="C29" s="196">
        <f>+SUM(C26:C28)</f>
        <v>6181000</v>
      </c>
      <c r="D29" s="196">
        <f>+SUM(D26:D28)</f>
        <v>0</v>
      </c>
      <c r="E29" s="196">
        <f>+SUM(E26:E28)</f>
        <v>0</v>
      </c>
      <c r="F29" s="196">
        <f>+SUM(F26:F28)</f>
        <v>6181000</v>
      </c>
      <c r="J29" s="203" t="s">
        <v>17</v>
      </c>
      <c r="K29" s="204">
        <v>42735</v>
      </c>
      <c r="L29" s="261">
        <f>K29</f>
        <v>42735</v>
      </c>
      <c r="M29" s="249"/>
    </row>
    <row r="30" spans="1:18" ht="14.25" thickTop="1" thickBot="1" x14ac:dyDescent="0.25">
      <c r="B30" s="58"/>
      <c r="C30" s="63"/>
      <c r="D30" s="63"/>
      <c r="E30" s="63"/>
      <c r="F30" s="63"/>
      <c r="I30" s="64"/>
      <c r="J30" s="64"/>
      <c r="K30" s="249"/>
      <c r="L30" s="249"/>
      <c r="M30" s="249"/>
      <c r="N30" s="64"/>
      <c r="O30" s="64"/>
      <c r="P30" s="64"/>
      <c r="Q30" s="64"/>
      <c r="R30" s="64"/>
    </row>
    <row r="31" spans="1:18" x14ac:dyDescent="0.2">
      <c r="B31" s="227"/>
      <c r="C31" s="65"/>
      <c r="D31" s="60"/>
      <c r="I31" s="205"/>
      <c r="J31" s="313" t="s">
        <v>2</v>
      </c>
      <c r="K31" s="313"/>
      <c r="L31" s="206" t="s">
        <v>54</v>
      </c>
      <c r="M31" s="207"/>
    </row>
    <row r="32" spans="1:18" ht="36.75" x14ac:dyDescent="0.2">
      <c r="A32" s="208" t="s">
        <v>53</v>
      </c>
      <c r="B32" s="208" t="s">
        <v>3</v>
      </c>
      <c r="C32" s="208" t="s">
        <v>4</v>
      </c>
      <c r="D32" s="208" t="s">
        <v>5</v>
      </c>
      <c r="E32" s="208" t="s">
        <v>6</v>
      </c>
      <c r="F32" s="208" t="s">
        <v>7</v>
      </c>
      <c r="G32" s="208" t="s">
        <v>80</v>
      </c>
      <c r="H32" s="208" t="s">
        <v>81</v>
      </c>
      <c r="I32" s="192" t="s">
        <v>82</v>
      </c>
      <c r="J32" s="193" t="s">
        <v>83</v>
      </c>
      <c r="K32" s="193" t="s">
        <v>84</v>
      </c>
      <c r="L32" s="193" t="s">
        <v>85</v>
      </c>
      <c r="M32" s="194" t="s">
        <v>75</v>
      </c>
      <c r="N32" s="208" t="s">
        <v>86</v>
      </c>
      <c r="O32" s="208" t="s">
        <v>87</v>
      </c>
    </row>
    <row r="33" spans="1:15" x14ac:dyDescent="0.2">
      <c r="A33" s="195" t="s">
        <v>22</v>
      </c>
      <c r="B33" s="209" t="str">
        <f t="shared" ref="B33:B59" si="1">+IF(MONTH(C33)&lt;4,"Q1",IF(MONTH(C33)&lt;7,"Q2",IF(MONTH(C33)&lt;10,"Q3","Q4")))&amp;"/"&amp;YEAR(C33)</f>
        <v>Q3/2013</v>
      </c>
      <c r="C33" s="210">
        <f>+L28</f>
        <v>41547</v>
      </c>
      <c r="D33" s="210">
        <f t="shared" ref="D33:D59" si="2">DATE(YEAR(C33),IF(MONTH(C33)&lt;=3,3,IF(MONTH(C33)&lt;=6,6,IF(MONTH(C33)&lt;=9,9,12))),IF(OR(MONTH(C33)&lt;=3,MONTH(C33)&gt;=10),31,30))</f>
        <v>41547</v>
      </c>
      <c r="E33" s="209">
        <f t="shared" ref="E33:E59" si="3">D33-C33+1</f>
        <v>1</v>
      </c>
      <c r="F33" s="83">
        <v>3.2500000000000001E-2</v>
      </c>
      <c r="G33" s="84">
        <f>+$C$29</f>
        <v>6181000</v>
      </c>
      <c r="H33" s="84">
        <f>G33*F33*(E33/(DATE(YEAR(D33),12,31)-DATE(YEAR(D33),1,1)+1))</f>
        <v>550.3630136986302</v>
      </c>
      <c r="I33" s="109">
        <v>0</v>
      </c>
      <c r="J33" s="69">
        <v>0</v>
      </c>
      <c r="K33" s="211">
        <f t="shared" ref="K33:K52" si="4">+SUM(I33:J33)</f>
        <v>0</v>
      </c>
      <c r="L33" s="69">
        <v>0</v>
      </c>
      <c r="M33" s="212">
        <v>0</v>
      </c>
      <c r="N33" s="64">
        <f t="shared" ref="N33:N59" si="5">+G33+H33+J33</f>
        <v>6181550.3630136987</v>
      </c>
      <c r="O33" s="84">
        <f>+N33-M33</f>
        <v>6181550.3630136987</v>
      </c>
    </row>
    <row r="34" spans="1:15" x14ac:dyDescent="0.2">
      <c r="A34" s="195" t="s">
        <v>22</v>
      </c>
      <c r="B34" s="209" t="str">
        <f t="shared" si="1"/>
        <v>Q4/2013</v>
      </c>
      <c r="C34" s="210">
        <f t="shared" ref="C34:C59" si="6">D33+1</f>
        <v>41548</v>
      </c>
      <c r="D34" s="210">
        <f t="shared" si="2"/>
        <v>41639</v>
      </c>
      <c r="E34" s="209">
        <f t="shared" si="3"/>
        <v>92</v>
      </c>
      <c r="F34" s="83">
        <v>3.2500000000000001E-2</v>
      </c>
      <c r="G34" s="84">
        <f>O33</f>
        <v>6181550.3630136987</v>
      </c>
      <c r="H34" s="84">
        <f t="shared" ref="H34:H40" si="7">G34*F34*(E34/(DATE(YEAR(D34),12,31)-DATE(YEAR(D34),1,1)+1))</f>
        <v>50637.905713454689</v>
      </c>
      <c r="I34" s="109">
        <v>0</v>
      </c>
      <c r="J34" s="69">
        <v>0</v>
      </c>
      <c r="K34" s="211">
        <f t="shared" si="4"/>
        <v>0</v>
      </c>
      <c r="L34" s="69">
        <v>0</v>
      </c>
      <c r="M34" s="212">
        <v>0</v>
      </c>
      <c r="N34" s="64">
        <f t="shared" si="5"/>
        <v>6232188.2687271535</v>
      </c>
      <c r="O34" s="84">
        <f t="shared" ref="O34:O59" si="8">+N34-M34</f>
        <v>6232188.2687271535</v>
      </c>
    </row>
    <row r="35" spans="1:15" x14ac:dyDescent="0.2">
      <c r="A35" s="195" t="s">
        <v>22</v>
      </c>
      <c r="B35" s="209" t="str">
        <f t="shared" si="1"/>
        <v>Q1/2014</v>
      </c>
      <c r="C35" s="210">
        <f t="shared" si="6"/>
        <v>41640</v>
      </c>
      <c r="D35" s="210">
        <f t="shared" si="2"/>
        <v>41729</v>
      </c>
      <c r="E35" s="209">
        <f t="shared" si="3"/>
        <v>90</v>
      </c>
      <c r="F35" s="83">
        <v>3.2500000000000001E-2</v>
      </c>
      <c r="G35" s="84">
        <f>O34</f>
        <v>6232188.2687271535</v>
      </c>
      <c r="H35" s="84">
        <f t="shared" si="7"/>
        <v>49942.878591854584</v>
      </c>
      <c r="I35" s="109">
        <v>0</v>
      </c>
      <c r="J35" s="69">
        <v>0</v>
      </c>
      <c r="K35" s="211">
        <f t="shared" si="4"/>
        <v>0</v>
      </c>
      <c r="L35" s="69">
        <v>0</v>
      </c>
      <c r="M35" s="212">
        <v>0</v>
      </c>
      <c r="N35" s="64">
        <f t="shared" si="5"/>
        <v>6282131.1473190077</v>
      </c>
      <c r="O35" s="84">
        <f t="shared" si="8"/>
        <v>6282131.1473190077</v>
      </c>
    </row>
    <row r="36" spans="1:15" x14ac:dyDescent="0.2">
      <c r="A36" s="195" t="s">
        <v>22</v>
      </c>
      <c r="B36" s="209" t="str">
        <f t="shared" si="1"/>
        <v>Q2/2014</v>
      </c>
      <c r="C36" s="210">
        <f t="shared" si="6"/>
        <v>41730</v>
      </c>
      <c r="D36" s="210">
        <f t="shared" si="2"/>
        <v>41820</v>
      </c>
      <c r="E36" s="209">
        <f t="shared" si="3"/>
        <v>91</v>
      </c>
      <c r="F36" s="83">
        <v>3.2500000000000001E-2</v>
      </c>
      <c r="G36" s="84">
        <f>O35</f>
        <v>6282131.1473190077</v>
      </c>
      <c r="H36" s="84">
        <f t="shared" si="7"/>
        <v>50902.473611495792</v>
      </c>
      <c r="I36" s="109">
        <v>0</v>
      </c>
      <c r="J36" s="69">
        <v>0</v>
      </c>
      <c r="K36" s="211">
        <f t="shared" si="4"/>
        <v>0</v>
      </c>
      <c r="L36" s="69">
        <v>0</v>
      </c>
      <c r="M36" s="212">
        <f t="shared" ref="M36:M52" si="9">+SUM(K36:L36)</f>
        <v>0</v>
      </c>
      <c r="N36" s="64">
        <f t="shared" si="5"/>
        <v>6333033.6209305031</v>
      </c>
      <c r="O36" s="84">
        <f t="shared" si="8"/>
        <v>6333033.6209305031</v>
      </c>
    </row>
    <row r="37" spans="1:15" x14ac:dyDescent="0.2">
      <c r="A37" s="195" t="s">
        <v>22</v>
      </c>
      <c r="B37" s="209" t="str">
        <f t="shared" si="1"/>
        <v>Q3/2014</v>
      </c>
      <c r="C37" s="210">
        <f t="shared" si="6"/>
        <v>41821</v>
      </c>
      <c r="D37" s="210">
        <f t="shared" si="2"/>
        <v>41912</v>
      </c>
      <c r="E37" s="209">
        <f t="shared" si="3"/>
        <v>92</v>
      </c>
      <c r="F37" s="83">
        <v>3.2500000000000001E-2</v>
      </c>
      <c r="G37" s="84">
        <f>O36</f>
        <v>6333033.6209305031</v>
      </c>
      <c r="H37" s="84">
        <f t="shared" si="7"/>
        <v>51878.823360499198</v>
      </c>
      <c r="I37" s="109">
        <v>0</v>
      </c>
      <c r="J37" s="69">
        <v>0</v>
      </c>
      <c r="K37" s="211">
        <f t="shared" si="4"/>
        <v>0</v>
      </c>
      <c r="L37" s="69">
        <v>0</v>
      </c>
      <c r="M37" s="212">
        <f t="shared" si="9"/>
        <v>0</v>
      </c>
      <c r="N37" s="64">
        <f t="shared" si="5"/>
        <v>6384912.4442910021</v>
      </c>
      <c r="O37" s="84">
        <f t="shared" si="8"/>
        <v>6384912.4442910021</v>
      </c>
    </row>
    <row r="38" spans="1:15" x14ac:dyDescent="0.2">
      <c r="A38" s="195" t="s">
        <v>22</v>
      </c>
      <c r="B38" s="209" t="str">
        <f t="shared" si="1"/>
        <v>Q4/2014</v>
      </c>
      <c r="C38" s="210">
        <f t="shared" si="6"/>
        <v>41913</v>
      </c>
      <c r="D38" s="210">
        <f t="shared" si="2"/>
        <v>42004</v>
      </c>
      <c r="E38" s="209">
        <f t="shared" si="3"/>
        <v>92</v>
      </c>
      <c r="F38" s="83">
        <v>3.2500000000000001E-2</v>
      </c>
      <c r="G38" s="84">
        <f t="shared" ref="G38:G59" si="10">O37</f>
        <v>6384912.4442910021</v>
      </c>
      <c r="H38" s="84">
        <f t="shared" si="7"/>
        <v>52303.803310767391</v>
      </c>
      <c r="I38" s="109">
        <v>0</v>
      </c>
      <c r="J38" s="69">
        <v>0</v>
      </c>
      <c r="K38" s="211">
        <f t="shared" si="4"/>
        <v>0</v>
      </c>
      <c r="L38" s="69">
        <v>0</v>
      </c>
      <c r="M38" s="212">
        <f t="shared" si="9"/>
        <v>0</v>
      </c>
      <c r="N38" s="64">
        <f t="shared" si="5"/>
        <v>6437216.2476017699</v>
      </c>
      <c r="O38" s="84">
        <f t="shared" si="8"/>
        <v>6437216.2476017699</v>
      </c>
    </row>
    <row r="39" spans="1:15" x14ac:dyDescent="0.2">
      <c r="A39" s="195" t="s">
        <v>22</v>
      </c>
      <c r="B39" s="209" t="str">
        <f t="shared" si="1"/>
        <v>Q1/2015</v>
      </c>
      <c r="C39" s="210">
        <f t="shared" si="6"/>
        <v>42005</v>
      </c>
      <c r="D39" s="210">
        <f t="shared" si="2"/>
        <v>42094</v>
      </c>
      <c r="E39" s="209">
        <f t="shared" si="3"/>
        <v>90</v>
      </c>
      <c r="F39" s="83">
        <v>3.2500000000000001E-2</v>
      </c>
      <c r="G39" s="84">
        <f t="shared" si="10"/>
        <v>6437216.2476017699</v>
      </c>
      <c r="H39" s="84">
        <f t="shared" si="7"/>
        <v>51585.911025301859</v>
      </c>
      <c r="I39" s="109">
        <v>0</v>
      </c>
      <c r="J39" s="69">
        <v>0</v>
      </c>
      <c r="K39" s="211">
        <f t="shared" si="4"/>
        <v>0</v>
      </c>
      <c r="L39" s="69">
        <v>0</v>
      </c>
      <c r="M39" s="212">
        <f t="shared" si="9"/>
        <v>0</v>
      </c>
      <c r="N39" s="64">
        <f t="shared" si="5"/>
        <v>6488802.1586270714</v>
      </c>
      <c r="O39" s="84">
        <f t="shared" si="8"/>
        <v>6488802.1586270714</v>
      </c>
    </row>
    <row r="40" spans="1:15" x14ac:dyDescent="0.2">
      <c r="A40" s="195" t="s">
        <v>22</v>
      </c>
      <c r="B40" s="209" t="str">
        <f t="shared" si="1"/>
        <v>Q2/2015</v>
      </c>
      <c r="C40" s="210">
        <f t="shared" si="6"/>
        <v>42095</v>
      </c>
      <c r="D40" s="210">
        <f t="shared" si="2"/>
        <v>42185</v>
      </c>
      <c r="E40" s="209">
        <f t="shared" si="3"/>
        <v>91</v>
      </c>
      <c r="F40" s="83">
        <v>3.2500000000000001E-2</v>
      </c>
      <c r="G40" s="84">
        <f t="shared" si="10"/>
        <v>6488802.1586270714</v>
      </c>
      <c r="H40" s="84">
        <f t="shared" si="7"/>
        <v>52577.0750250399</v>
      </c>
      <c r="I40" s="109">
        <v>0</v>
      </c>
      <c r="J40" s="69">
        <v>0</v>
      </c>
      <c r="K40" s="211">
        <f t="shared" si="4"/>
        <v>0</v>
      </c>
      <c r="L40" s="69">
        <v>0</v>
      </c>
      <c r="M40" s="212">
        <f t="shared" si="9"/>
        <v>0</v>
      </c>
      <c r="N40" s="64">
        <f t="shared" si="5"/>
        <v>6541379.2336521111</v>
      </c>
      <c r="O40" s="84">
        <f t="shared" si="8"/>
        <v>6541379.2336521111</v>
      </c>
    </row>
    <row r="41" spans="1:15" x14ac:dyDescent="0.2">
      <c r="A41" s="195" t="s">
        <v>22</v>
      </c>
      <c r="B41" s="209" t="str">
        <f t="shared" si="1"/>
        <v>Q3/2015</v>
      </c>
      <c r="C41" s="210">
        <f t="shared" si="6"/>
        <v>42186</v>
      </c>
      <c r="D41" s="210">
        <f t="shared" si="2"/>
        <v>42277</v>
      </c>
      <c r="E41" s="209">
        <f t="shared" si="3"/>
        <v>92</v>
      </c>
      <c r="F41" s="83">
        <v>3.2500000000000001E-2</v>
      </c>
      <c r="G41" s="84">
        <f t="shared" si="10"/>
        <v>6541379.2336521111</v>
      </c>
      <c r="H41" s="84">
        <v>0</v>
      </c>
      <c r="I41" s="109">
        <v>0</v>
      </c>
      <c r="J41" s="69">
        <v>0</v>
      </c>
      <c r="K41" s="211">
        <f t="shared" si="4"/>
        <v>0</v>
      </c>
      <c r="L41" s="69">
        <v>0</v>
      </c>
      <c r="M41" s="212">
        <f t="shared" si="9"/>
        <v>0</v>
      </c>
      <c r="N41" s="64">
        <f t="shared" si="5"/>
        <v>6541379.2336521111</v>
      </c>
      <c r="O41" s="84">
        <f t="shared" si="8"/>
        <v>6541379.2336521111</v>
      </c>
    </row>
    <row r="42" spans="1:15" x14ac:dyDescent="0.2">
      <c r="A42" s="195" t="s">
        <v>22</v>
      </c>
      <c r="B42" s="209" t="str">
        <f t="shared" si="1"/>
        <v>Q4/2015</v>
      </c>
      <c r="C42" s="210">
        <f t="shared" si="6"/>
        <v>42278</v>
      </c>
      <c r="D42" s="210">
        <f t="shared" si="2"/>
        <v>42369</v>
      </c>
      <c r="E42" s="209">
        <f t="shared" si="3"/>
        <v>92</v>
      </c>
      <c r="F42" s="83">
        <v>3.2500000000000001E-2</v>
      </c>
      <c r="G42" s="84">
        <f t="shared" si="10"/>
        <v>6541379.2336521111</v>
      </c>
      <c r="H42" s="84">
        <v>0</v>
      </c>
      <c r="I42" s="109">
        <v>0</v>
      </c>
      <c r="J42" s="69">
        <v>0</v>
      </c>
      <c r="K42" s="211">
        <f t="shared" si="4"/>
        <v>0</v>
      </c>
      <c r="L42" s="69">
        <v>0</v>
      </c>
      <c r="M42" s="212">
        <f t="shared" si="9"/>
        <v>0</v>
      </c>
      <c r="N42" s="64">
        <f t="shared" si="5"/>
        <v>6541379.2336521111</v>
      </c>
      <c r="O42" s="84">
        <f t="shared" si="8"/>
        <v>6541379.2336521111</v>
      </c>
    </row>
    <row r="43" spans="1:15" x14ac:dyDescent="0.2">
      <c r="A43" s="195" t="s">
        <v>22</v>
      </c>
      <c r="B43" s="209" t="str">
        <f t="shared" si="1"/>
        <v>Q1/2016</v>
      </c>
      <c r="C43" s="210">
        <f t="shared" si="6"/>
        <v>42370</v>
      </c>
      <c r="D43" s="210">
        <f t="shared" si="2"/>
        <v>42460</v>
      </c>
      <c r="E43" s="209">
        <f t="shared" si="3"/>
        <v>91</v>
      </c>
      <c r="F43" s="83">
        <v>3.2500000000000001E-2</v>
      </c>
      <c r="G43" s="84">
        <f t="shared" si="10"/>
        <v>6541379.2336521111</v>
      </c>
      <c r="H43" s="84">
        <v>0</v>
      </c>
      <c r="I43" s="109">
        <v>0</v>
      </c>
      <c r="J43" s="69">
        <v>0</v>
      </c>
      <c r="K43" s="211">
        <f t="shared" si="4"/>
        <v>0</v>
      </c>
      <c r="L43" s="69">
        <v>0</v>
      </c>
      <c r="M43" s="212">
        <f t="shared" si="9"/>
        <v>0</v>
      </c>
      <c r="N43" s="64">
        <f t="shared" si="5"/>
        <v>6541379.2336521111</v>
      </c>
      <c r="O43" s="84">
        <f t="shared" si="8"/>
        <v>6541379.2336521111</v>
      </c>
    </row>
    <row r="44" spans="1:15" x14ac:dyDescent="0.2">
      <c r="A44" s="195" t="s">
        <v>22</v>
      </c>
      <c r="B44" s="209" t="str">
        <f t="shared" si="1"/>
        <v>Q2/2016</v>
      </c>
      <c r="C44" s="210">
        <f t="shared" si="6"/>
        <v>42461</v>
      </c>
      <c r="D44" s="210">
        <f t="shared" si="2"/>
        <v>42551</v>
      </c>
      <c r="E44" s="209">
        <f t="shared" si="3"/>
        <v>91</v>
      </c>
      <c r="F44" s="83">
        <v>3.4599999999999999E-2</v>
      </c>
      <c r="G44" s="84">
        <f t="shared" si="10"/>
        <v>6541379.2336521111</v>
      </c>
      <c r="H44" s="84">
        <v>0</v>
      </c>
      <c r="I44" s="109">
        <v>0</v>
      </c>
      <c r="J44" s="69">
        <v>0</v>
      </c>
      <c r="K44" s="211">
        <f t="shared" si="4"/>
        <v>0</v>
      </c>
      <c r="L44" s="69">
        <v>0</v>
      </c>
      <c r="M44" s="212">
        <f t="shared" si="9"/>
        <v>0</v>
      </c>
      <c r="N44" s="64">
        <f t="shared" si="5"/>
        <v>6541379.2336521111</v>
      </c>
      <c r="O44" s="84">
        <f t="shared" si="8"/>
        <v>6541379.2336521111</v>
      </c>
    </row>
    <row r="45" spans="1:15" x14ac:dyDescent="0.2">
      <c r="A45" s="60" t="s">
        <v>22</v>
      </c>
      <c r="B45" s="209" t="str">
        <f t="shared" si="1"/>
        <v>Q3/2016</v>
      </c>
      <c r="C45" s="210">
        <f t="shared" si="6"/>
        <v>42552</v>
      </c>
      <c r="D45" s="210">
        <f t="shared" si="2"/>
        <v>42643</v>
      </c>
      <c r="E45" s="209">
        <f t="shared" si="3"/>
        <v>92</v>
      </c>
      <c r="F45" s="83">
        <v>3.5000000000000003E-2</v>
      </c>
      <c r="G45" s="84">
        <f t="shared" si="10"/>
        <v>6541379.2336521111</v>
      </c>
      <c r="H45" s="84">
        <v>0</v>
      </c>
      <c r="I45" s="109">
        <v>0</v>
      </c>
      <c r="J45" s="69">
        <v>0</v>
      </c>
      <c r="K45" s="211">
        <f t="shared" si="4"/>
        <v>0</v>
      </c>
      <c r="L45" s="69">
        <v>0</v>
      </c>
      <c r="M45" s="212">
        <f t="shared" si="9"/>
        <v>0</v>
      </c>
      <c r="N45" s="64">
        <f t="shared" si="5"/>
        <v>6541379.2336521111</v>
      </c>
      <c r="O45" s="84">
        <f t="shared" si="8"/>
        <v>6541379.2336521111</v>
      </c>
    </row>
    <row r="46" spans="1:15" x14ac:dyDescent="0.2">
      <c r="A46" s="60" t="s">
        <v>22</v>
      </c>
      <c r="B46" s="209" t="str">
        <f t="shared" si="1"/>
        <v>Q4/2016</v>
      </c>
      <c r="C46" s="210">
        <f t="shared" si="6"/>
        <v>42644</v>
      </c>
      <c r="D46" s="210">
        <f t="shared" si="2"/>
        <v>42735</v>
      </c>
      <c r="E46" s="209">
        <f t="shared" si="3"/>
        <v>92</v>
      </c>
      <c r="F46" s="83">
        <v>3.5000000000000003E-2</v>
      </c>
      <c r="G46" s="84">
        <f t="shared" si="10"/>
        <v>6541379.2336521111</v>
      </c>
      <c r="H46" s="84">
        <v>0</v>
      </c>
      <c r="I46" s="109">
        <v>0</v>
      </c>
      <c r="J46" s="69">
        <v>0</v>
      </c>
      <c r="K46" s="211">
        <f t="shared" si="4"/>
        <v>0</v>
      </c>
      <c r="L46" s="69">
        <v>0</v>
      </c>
      <c r="M46" s="212">
        <f t="shared" si="9"/>
        <v>0</v>
      </c>
      <c r="N46" s="64">
        <f t="shared" si="5"/>
        <v>6541379.2336521111</v>
      </c>
      <c r="O46" s="84">
        <f t="shared" si="8"/>
        <v>6541379.2336521111</v>
      </c>
    </row>
    <row r="47" spans="1:15" x14ac:dyDescent="0.2">
      <c r="A47" s="60" t="s">
        <v>22</v>
      </c>
      <c r="B47" s="209" t="str">
        <f t="shared" si="1"/>
        <v>Q1/2017</v>
      </c>
      <c r="C47" s="210">
        <f t="shared" si="6"/>
        <v>42736</v>
      </c>
      <c r="D47" s="210">
        <f t="shared" si="2"/>
        <v>42825</v>
      </c>
      <c r="E47" s="209">
        <f t="shared" si="3"/>
        <v>90</v>
      </c>
      <c r="F47" s="83">
        <v>3.5000000000000003E-2</v>
      </c>
      <c r="G47" s="84">
        <f t="shared" si="10"/>
        <v>6541379.2336521111</v>
      </c>
      <c r="H47" s="84">
        <v>0</v>
      </c>
      <c r="I47" s="109">
        <v>0</v>
      </c>
      <c r="J47" s="69">
        <v>0</v>
      </c>
      <c r="K47" s="211">
        <f t="shared" si="4"/>
        <v>0</v>
      </c>
      <c r="L47" s="69">
        <v>0</v>
      </c>
      <c r="M47" s="212">
        <f t="shared" si="9"/>
        <v>0</v>
      </c>
      <c r="N47" s="64">
        <f t="shared" si="5"/>
        <v>6541379.2336521111</v>
      </c>
      <c r="O47" s="84">
        <f t="shared" si="8"/>
        <v>6541379.2336521111</v>
      </c>
    </row>
    <row r="48" spans="1:15" x14ac:dyDescent="0.2">
      <c r="A48" s="60" t="s">
        <v>22</v>
      </c>
      <c r="B48" s="209" t="str">
        <f t="shared" si="1"/>
        <v>Q2/2017</v>
      </c>
      <c r="C48" s="210">
        <f t="shared" si="6"/>
        <v>42826</v>
      </c>
      <c r="D48" s="210">
        <f t="shared" si="2"/>
        <v>42916</v>
      </c>
      <c r="E48" s="209">
        <f t="shared" si="3"/>
        <v>91</v>
      </c>
      <c r="F48" s="83">
        <v>3.7100000000000001E-2</v>
      </c>
      <c r="G48" s="84">
        <f t="shared" si="10"/>
        <v>6541379.2336521111</v>
      </c>
      <c r="H48" s="84">
        <v>0</v>
      </c>
      <c r="I48" s="109">
        <v>0</v>
      </c>
      <c r="J48" s="69">
        <v>0</v>
      </c>
      <c r="K48" s="211">
        <f t="shared" ref="K48" si="11">+SUM(I48:J48)</f>
        <v>0</v>
      </c>
      <c r="L48" s="69">
        <v>0</v>
      </c>
      <c r="M48" s="212">
        <f t="shared" ref="M48" si="12">+SUM(K48:L48)</f>
        <v>0</v>
      </c>
      <c r="N48" s="64">
        <f t="shared" si="5"/>
        <v>6541379.2336521111</v>
      </c>
      <c r="O48" s="84">
        <f t="shared" si="8"/>
        <v>6541379.2336521111</v>
      </c>
    </row>
    <row r="49" spans="1:15" x14ac:dyDescent="0.2">
      <c r="A49" s="195" t="s">
        <v>126</v>
      </c>
      <c r="B49" s="209" t="str">
        <f t="shared" si="1"/>
        <v>Q3/2017</v>
      </c>
      <c r="C49" s="210">
        <f>D48+1</f>
        <v>42917</v>
      </c>
      <c r="D49" s="210">
        <f t="shared" si="2"/>
        <v>43008</v>
      </c>
      <c r="E49" s="209">
        <f t="shared" si="3"/>
        <v>92</v>
      </c>
      <c r="F49" s="83">
        <v>3.9600000000000003E-2</v>
      </c>
      <c r="G49" s="84">
        <f>O48</f>
        <v>6541379.2336521111</v>
      </c>
      <c r="H49" s="84">
        <v>0</v>
      </c>
      <c r="I49" s="109">
        <f>(SUM($H$33:$H$60)/20)*10</f>
        <v>180189.61682605604</v>
      </c>
      <c r="J49" s="69">
        <f t="shared" ref="J49:J59" si="13">G49*F49*(E49/(DATE(YEAR(D49),12,31)-DATE(YEAR(D49),1,1)+1))</f>
        <v>65291.925545318838</v>
      </c>
      <c r="K49" s="211">
        <f t="shared" si="4"/>
        <v>245481.54237137488</v>
      </c>
      <c r="L49" s="69">
        <f>+$G$33/20*10</f>
        <v>3090500</v>
      </c>
      <c r="M49" s="212">
        <f t="shared" si="9"/>
        <v>3335981.542371375</v>
      </c>
      <c r="N49" s="64">
        <f t="shared" si="5"/>
        <v>6606671.1591974301</v>
      </c>
      <c r="O49" s="84">
        <f t="shared" si="8"/>
        <v>3270689.6168260551</v>
      </c>
    </row>
    <row r="50" spans="1:15" x14ac:dyDescent="0.2">
      <c r="A50" s="60" t="s">
        <v>64</v>
      </c>
      <c r="B50" s="209" t="str">
        <f t="shared" si="1"/>
        <v>Q4/2017</v>
      </c>
      <c r="C50" s="210">
        <f t="shared" si="6"/>
        <v>43009</v>
      </c>
      <c r="D50" s="210">
        <f t="shared" si="2"/>
        <v>43100</v>
      </c>
      <c r="E50" s="209">
        <f t="shared" si="3"/>
        <v>92</v>
      </c>
      <c r="F50" s="83">
        <v>4.2099999999999999E-2</v>
      </c>
      <c r="G50" s="84">
        <f t="shared" si="10"/>
        <v>3270689.6168260551</v>
      </c>
      <c r="H50" s="84">
        <v>0</v>
      </c>
      <c r="I50" s="109">
        <f t="shared" ref="I50:I59" si="14">(SUM($H$33:$H$60)/20)</f>
        <v>18018.961682605604</v>
      </c>
      <c r="J50" s="69">
        <f t="shared" si="13"/>
        <v>34706.945270933356</v>
      </c>
      <c r="K50" s="211">
        <f t="shared" si="4"/>
        <v>52725.906953538957</v>
      </c>
      <c r="L50" s="69">
        <f t="shared" ref="L50:L59" si="15">+$G$33/20</f>
        <v>309050</v>
      </c>
      <c r="M50" s="212">
        <f t="shared" si="9"/>
        <v>361775.90695353894</v>
      </c>
      <c r="N50" s="64">
        <f t="shared" si="5"/>
        <v>3305396.5620969883</v>
      </c>
      <c r="O50" s="84">
        <f t="shared" si="8"/>
        <v>2943620.6551434495</v>
      </c>
    </row>
    <row r="51" spans="1:15" x14ac:dyDescent="0.2">
      <c r="A51" s="60" t="s">
        <v>65</v>
      </c>
      <c r="B51" s="209" t="str">
        <f t="shared" si="1"/>
        <v>Q1/2018</v>
      </c>
      <c r="C51" s="210">
        <f t="shared" si="6"/>
        <v>43101</v>
      </c>
      <c r="D51" s="210">
        <f t="shared" si="2"/>
        <v>43190</v>
      </c>
      <c r="E51" s="209">
        <f t="shared" si="3"/>
        <v>90</v>
      </c>
      <c r="F51" s="83">
        <v>4.4999999999999998E-2</v>
      </c>
      <c r="G51" s="84">
        <f t="shared" si="10"/>
        <v>2943620.6551434495</v>
      </c>
      <c r="H51" s="84">
        <v>0</v>
      </c>
      <c r="I51" s="109">
        <f t="shared" si="14"/>
        <v>18018.961682605604</v>
      </c>
      <c r="J51" s="69">
        <f t="shared" si="13"/>
        <v>32662.092200906762</v>
      </c>
      <c r="K51" s="211">
        <f t="shared" si="4"/>
        <v>50681.053883512366</v>
      </c>
      <c r="L51" s="69">
        <f t="shared" si="15"/>
        <v>309050</v>
      </c>
      <c r="M51" s="212">
        <f t="shared" si="9"/>
        <v>359731.05388351239</v>
      </c>
      <c r="N51" s="64">
        <f t="shared" si="5"/>
        <v>2976282.7473443565</v>
      </c>
      <c r="O51" s="84">
        <f t="shared" si="8"/>
        <v>2616551.693460844</v>
      </c>
    </row>
    <row r="52" spans="1:15" x14ac:dyDescent="0.2">
      <c r="A52" s="60" t="s">
        <v>66</v>
      </c>
      <c r="B52" s="209" t="str">
        <f t="shared" si="1"/>
        <v>Q2/2018</v>
      </c>
      <c r="C52" s="210">
        <f t="shared" si="6"/>
        <v>43191</v>
      </c>
      <c r="D52" s="210">
        <f t="shared" si="2"/>
        <v>43281</v>
      </c>
      <c r="E52" s="209">
        <f t="shared" si="3"/>
        <v>91</v>
      </c>
      <c r="F52" s="83">
        <v>4.5467029999999999E-2</v>
      </c>
      <c r="G52" s="84">
        <f t="shared" si="10"/>
        <v>2616551.693460844</v>
      </c>
      <c r="H52" s="84">
        <v>0</v>
      </c>
      <c r="I52" s="109">
        <f t="shared" si="14"/>
        <v>18018.961682605604</v>
      </c>
      <c r="J52" s="69">
        <f t="shared" si="13"/>
        <v>29660.224452672013</v>
      </c>
      <c r="K52" s="211">
        <f t="shared" si="4"/>
        <v>47679.186135277618</v>
      </c>
      <c r="L52" s="69">
        <f t="shared" si="15"/>
        <v>309050</v>
      </c>
      <c r="M52" s="212">
        <f t="shared" si="9"/>
        <v>356729.18613527762</v>
      </c>
      <c r="N52" s="64">
        <f t="shared" si="5"/>
        <v>2646211.9179135161</v>
      </c>
      <c r="O52" s="84">
        <f t="shared" si="8"/>
        <v>2289482.7317782384</v>
      </c>
    </row>
    <row r="53" spans="1:15" x14ac:dyDescent="0.2">
      <c r="A53" s="60" t="s">
        <v>67</v>
      </c>
      <c r="B53" s="209" t="str">
        <f t="shared" si="1"/>
        <v>Q3/2018</v>
      </c>
      <c r="C53" s="210">
        <f t="shared" si="6"/>
        <v>43282</v>
      </c>
      <c r="D53" s="210">
        <f t="shared" si="2"/>
        <v>43373</v>
      </c>
      <c r="E53" s="209">
        <f t="shared" si="3"/>
        <v>92</v>
      </c>
      <c r="F53" s="83">
        <v>4.7608699999999997E-2</v>
      </c>
      <c r="G53" s="84">
        <f t="shared" si="10"/>
        <v>2289482.7317782384</v>
      </c>
      <c r="H53" s="84">
        <v>0</v>
      </c>
      <c r="I53" s="109">
        <f t="shared" si="14"/>
        <v>18018.961682605604</v>
      </c>
      <c r="J53" s="69">
        <f t="shared" si="13"/>
        <v>27473.795290361035</v>
      </c>
      <c r="K53" s="211">
        <f t="shared" ref="K53:K56" si="16">+SUM(I53:J53)</f>
        <v>45492.756972966643</v>
      </c>
      <c r="L53" s="69">
        <f t="shared" si="15"/>
        <v>309050</v>
      </c>
      <c r="M53" s="212">
        <f t="shared" ref="M53:M59" si="17">+SUM(K53:L53)</f>
        <v>354542.75697296666</v>
      </c>
      <c r="N53" s="64">
        <f t="shared" si="5"/>
        <v>2316956.5270685996</v>
      </c>
      <c r="O53" s="84">
        <f t="shared" si="8"/>
        <v>1962413.7700956329</v>
      </c>
    </row>
    <row r="54" spans="1:15" x14ac:dyDescent="0.2">
      <c r="A54" s="60" t="s">
        <v>68</v>
      </c>
      <c r="B54" s="209" t="str">
        <f t="shared" si="1"/>
        <v>Q4/2018</v>
      </c>
      <c r="C54" s="210">
        <f t="shared" si="6"/>
        <v>43374</v>
      </c>
      <c r="D54" s="210">
        <f t="shared" si="2"/>
        <v>43465</v>
      </c>
      <c r="E54" s="209">
        <f t="shared" si="3"/>
        <v>92</v>
      </c>
      <c r="F54" s="83">
        <v>5.0326089999999997E-2</v>
      </c>
      <c r="G54" s="84">
        <f t="shared" si="10"/>
        <v>1962413.7700956329</v>
      </c>
      <c r="H54" s="84">
        <v>0</v>
      </c>
      <c r="I54" s="109">
        <f t="shared" si="14"/>
        <v>18018.961682605604</v>
      </c>
      <c r="J54" s="69">
        <f t="shared" si="13"/>
        <v>24893.085767174347</v>
      </c>
      <c r="K54" s="211">
        <f t="shared" si="16"/>
        <v>42912.047449779951</v>
      </c>
      <c r="L54" s="69">
        <f t="shared" si="15"/>
        <v>309050</v>
      </c>
      <c r="M54" s="212">
        <f t="shared" si="17"/>
        <v>351962.04744977993</v>
      </c>
      <c r="N54" s="64">
        <f t="shared" si="5"/>
        <v>1987306.8558628072</v>
      </c>
      <c r="O54" s="84">
        <f t="shared" si="8"/>
        <v>1635344.8084130273</v>
      </c>
    </row>
    <row r="55" spans="1:15" x14ac:dyDescent="0.2">
      <c r="A55" s="60" t="s">
        <v>69</v>
      </c>
      <c r="B55" s="209" t="str">
        <f t="shared" si="1"/>
        <v>Q1/2019</v>
      </c>
      <c r="C55" s="210">
        <f t="shared" si="6"/>
        <v>43466</v>
      </c>
      <c r="D55" s="210">
        <f t="shared" si="2"/>
        <v>43555</v>
      </c>
      <c r="E55" s="209">
        <f t="shared" si="3"/>
        <v>90</v>
      </c>
      <c r="F55" s="83">
        <v>5.2499999999999998E-2</v>
      </c>
      <c r="G55" s="84">
        <f t="shared" si="10"/>
        <v>1635344.8084130273</v>
      </c>
      <c r="H55" s="84">
        <v>0</v>
      </c>
      <c r="I55" s="109">
        <f t="shared" si="14"/>
        <v>18018.961682605604</v>
      </c>
      <c r="J55" s="69">
        <f t="shared" si="13"/>
        <v>21169.87457466179</v>
      </c>
      <c r="K55" s="211">
        <f t="shared" si="16"/>
        <v>39188.836257267394</v>
      </c>
      <c r="L55" s="69">
        <f t="shared" si="15"/>
        <v>309050</v>
      </c>
      <c r="M55" s="212">
        <f t="shared" si="17"/>
        <v>348238.83625726739</v>
      </c>
      <c r="N55" s="64">
        <f t="shared" si="5"/>
        <v>1656514.682987689</v>
      </c>
      <c r="O55" s="84">
        <f t="shared" si="8"/>
        <v>1308275.8467304218</v>
      </c>
    </row>
    <row r="56" spans="1:15" x14ac:dyDescent="0.2">
      <c r="A56" s="60" t="s">
        <v>70</v>
      </c>
      <c r="B56" s="209" t="str">
        <f t="shared" si="1"/>
        <v>Q2/2019</v>
      </c>
      <c r="C56" s="210">
        <f t="shared" si="6"/>
        <v>43556</v>
      </c>
      <c r="D56" s="210">
        <f t="shared" si="2"/>
        <v>43646</v>
      </c>
      <c r="E56" s="209">
        <f t="shared" si="3"/>
        <v>91</v>
      </c>
      <c r="F56" s="83">
        <v>5.29945E-2</v>
      </c>
      <c r="G56" s="84">
        <f t="shared" si="10"/>
        <v>1308275.8467304218</v>
      </c>
      <c r="H56" s="84">
        <v>0</v>
      </c>
      <c r="I56" s="109">
        <f t="shared" si="14"/>
        <v>18018.961682605604</v>
      </c>
      <c r="J56" s="69">
        <f t="shared" si="13"/>
        <v>17285.368812930235</v>
      </c>
      <c r="K56" s="211">
        <f t="shared" si="16"/>
        <v>35304.33049553584</v>
      </c>
      <c r="L56" s="69">
        <f t="shared" si="15"/>
        <v>309050</v>
      </c>
      <c r="M56" s="212">
        <f t="shared" si="17"/>
        <v>344354.33049553586</v>
      </c>
      <c r="N56" s="64">
        <f t="shared" si="5"/>
        <v>1325561.2155433521</v>
      </c>
      <c r="O56" s="84">
        <f t="shared" si="8"/>
        <v>981206.88504781621</v>
      </c>
    </row>
    <row r="57" spans="1:15" x14ac:dyDescent="0.2">
      <c r="A57" s="60" t="s">
        <v>71</v>
      </c>
      <c r="B57" s="209" t="str">
        <f t="shared" si="1"/>
        <v>Q3/2019</v>
      </c>
      <c r="C57" s="210">
        <f t="shared" si="6"/>
        <v>43647</v>
      </c>
      <c r="D57" s="210">
        <f t="shared" si="2"/>
        <v>43738</v>
      </c>
      <c r="E57" s="209">
        <f t="shared" si="3"/>
        <v>92</v>
      </c>
      <c r="F57" s="83">
        <v>5.5E-2</v>
      </c>
      <c r="G57" s="84">
        <f t="shared" si="10"/>
        <v>981206.88504781621</v>
      </c>
      <c r="H57" s="84">
        <v>0</v>
      </c>
      <c r="I57" s="109">
        <f t="shared" si="14"/>
        <v>18018.961682605604</v>
      </c>
      <c r="J57" s="69">
        <f t="shared" si="13"/>
        <v>13602.484488608085</v>
      </c>
      <c r="K57" s="211">
        <f t="shared" ref="K57:K59" si="18">+SUM(I57:J57)</f>
        <v>31621.446171213691</v>
      </c>
      <c r="L57" s="69">
        <f t="shared" si="15"/>
        <v>309050</v>
      </c>
      <c r="M57" s="212">
        <f t="shared" si="17"/>
        <v>340671.4461712137</v>
      </c>
      <c r="N57" s="64">
        <f t="shared" si="5"/>
        <v>994809.36953642429</v>
      </c>
      <c r="O57" s="84">
        <f t="shared" si="8"/>
        <v>654137.92336521065</v>
      </c>
    </row>
    <row r="58" spans="1:15" x14ac:dyDescent="0.2">
      <c r="A58" s="60" t="s">
        <v>72</v>
      </c>
      <c r="B58" s="209" t="str">
        <f t="shared" si="1"/>
        <v>Q4/2019</v>
      </c>
      <c r="C58" s="210">
        <f t="shared" si="6"/>
        <v>43739</v>
      </c>
      <c r="D58" s="210">
        <f t="shared" si="2"/>
        <v>43830</v>
      </c>
      <c r="E58" s="209">
        <f t="shared" si="3"/>
        <v>92</v>
      </c>
      <c r="F58" s="83">
        <v>5.5353260000000008E-2</v>
      </c>
      <c r="G58" s="84">
        <f t="shared" si="10"/>
        <v>654137.92336521065</v>
      </c>
      <c r="H58" s="84">
        <v>0</v>
      </c>
      <c r="I58" s="109">
        <f t="shared" si="14"/>
        <v>18018.961682605604</v>
      </c>
      <c r="J58" s="69">
        <f t="shared" si="13"/>
        <v>9126.5680065926081</v>
      </c>
      <c r="K58" s="211">
        <f t="shared" si="18"/>
        <v>27145.529689198214</v>
      </c>
      <c r="L58" s="69">
        <f t="shared" si="15"/>
        <v>309050</v>
      </c>
      <c r="M58" s="212">
        <f t="shared" si="17"/>
        <v>336195.52968919824</v>
      </c>
      <c r="N58" s="64">
        <f t="shared" si="5"/>
        <v>663264.49137180322</v>
      </c>
      <c r="O58" s="84">
        <f t="shared" si="8"/>
        <v>327068.96168260498</v>
      </c>
    </row>
    <row r="59" spans="1:15" x14ac:dyDescent="0.2">
      <c r="A59" s="60" t="s">
        <v>73</v>
      </c>
      <c r="B59" s="209" t="str">
        <f t="shared" si="1"/>
        <v>Q1/2020</v>
      </c>
      <c r="C59" s="210">
        <f t="shared" si="6"/>
        <v>43831</v>
      </c>
      <c r="D59" s="210">
        <f t="shared" si="2"/>
        <v>43921</v>
      </c>
      <c r="E59" s="209">
        <f t="shared" si="3"/>
        <v>91</v>
      </c>
      <c r="F59" s="83">
        <v>5.7500000000000002E-2</v>
      </c>
      <c r="G59" s="84">
        <f t="shared" si="10"/>
        <v>327068.96168260498</v>
      </c>
      <c r="H59" s="84">
        <v>0</v>
      </c>
      <c r="I59" s="109">
        <f t="shared" si="14"/>
        <v>18018.961682605604</v>
      </c>
      <c r="J59" s="69">
        <f t="shared" si="13"/>
        <v>4675.9244317055482</v>
      </c>
      <c r="K59" s="211">
        <f t="shared" si="18"/>
        <v>22694.886114311154</v>
      </c>
      <c r="L59" s="69">
        <f t="shared" si="15"/>
        <v>309050</v>
      </c>
      <c r="M59" s="212">
        <f t="shared" si="17"/>
        <v>331744.88611431117</v>
      </c>
      <c r="N59" s="64">
        <f t="shared" si="5"/>
        <v>331744.88611431053</v>
      </c>
      <c r="O59" s="84">
        <f t="shared" si="8"/>
        <v>-6.4028427004814148E-10</v>
      </c>
    </row>
    <row r="60" spans="1:15" x14ac:dyDescent="0.2">
      <c r="B60" s="66"/>
      <c r="C60" s="67"/>
      <c r="D60" s="67"/>
      <c r="E60" s="68"/>
      <c r="F60" s="66"/>
      <c r="G60" s="69"/>
      <c r="H60" s="71"/>
      <c r="I60" s="213"/>
      <c r="J60" s="69"/>
      <c r="K60" s="214"/>
      <c r="L60" s="70"/>
      <c r="M60" s="215"/>
      <c r="O60" s="69"/>
    </row>
    <row r="61" spans="1:15" ht="13.5" thickBot="1" x14ac:dyDescent="0.25">
      <c r="A61" s="197"/>
      <c r="B61" s="216"/>
      <c r="C61" s="217"/>
      <c r="D61" s="217"/>
      <c r="E61" s="218"/>
      <c r="F61" s="216"/>
      <c r="G61" s="219">
        <f t="shared" ref="G61:O61" si="19">+SUM(G33:G60)</f>
        <v>127382040.24592254</v>
      </c>
      <c r="H61" s="219">
        <f t="shared" si="19"/>
        <v>360379.23365211207</v>
      </c>
      <c r="I61" s="220">
        <f t="shared" si="19"/>
        <v>360379.23365211219</v>
      </c>
      <c r="J61" s="219">
        <f t="shared" si="19"/>
        <v>280548.28884186468</v>
      </c>
      <c r="K61" s="219">
        <f t="shared" si="19"/>
        <v>640927.52249397675</v>
      </c>
      <c r="L61" s="219">
        <f t="shared" si="19"/>
        <v>6181000</v>
      </c>
      <c r="M61" s="221">
        <f t="shared" si="19"/>
        <v>6821927.5224939771</v>
      </c>
      <c r="N61" s="219">
        <f t="shared" si="19"/>
        <v>128022967.76841654</v>
      </c>
      <c r="O61" s="219">
        <f t="shared" si="19"/>
        <v>121201040.24592254</v>
      </c>
    </row>
    <row r="62" spans="1:15" ht="14.25" thickTop="1" thickBot="1" x14ac:dyDescent="0.25">
      <c r="H62" s="211"/>
      <c r="I62" s="222"/>
      <c r="J62" s="223"/>
      <c r="K62" s="223"/>
      <c r="L62" s="223"/>
      <c r="M62" s="224"/>
    </row>
  </sheetData>
  <mergeCells count="1">
    <mergeCell ref="J31:K31"/>
  </mergeCells>
  <pageMargins left="0.7" right="0.7" top="0.75" bottom="0.75" header="0.3" footer="0.3"/>
  <pageSetup scale="53" fitToHeight="0" orientation="landscape" r:id="rId1"/>
  <headerFooter alignWithMargins="0">
    <oddHeader>&amp;RTO2019 Annual Update
Attachment 4
WP Schedule 22
Page &amp;P of &amp;N</oddHeader>
    <oddFooter>&amp;R&amp;A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2"/>
  <sheetViews>
    <sheetView zoomScale="80" zoomScaleNormal="80" workbookViewId="0"/>
  </sheetViews>
  <sheetFormatPr defaultColWidth="9.140625" defaultRowHeight="12.75" x14ac:dyDescent="0.2"/>
  <cols>
    <col min="1" max="1" width="10.28515625" style="59" customWidth="1"/>
    <col min="2" max="2" width="13.5703125" style="59" customWidth="1"/>
    <col min="3" max="3" width="15.42578125" style="59" bestFit="1" customWidth="1"/>
    <col min="4" max="4" width="13.5703125" style="59" customWidth="1"/>
    <col min="5" max="5" width="12.42578125" style="59" customWidth="1"/>
    <col min="6" max="6" width="15.42578125" style="59" bestFit="1" customWidth="1"/>
    <col min="7" max="9" width="16.140625" style="59" customWidth="1"/>
    <col min="10" max="10" width="17.28515625" style="59" bestFit="1" customWidth="1"/>
    <col min="11" max="11" width="16.140625" style="59" customWidth="1"/>
    <col min="12" max="12" width="17.85546875" style="59" customWidth="1"/>
    <col min="13" max="14" width="16.140625" style="59" customWidth="1"/>
    <col min="15" max="15" width="17.28515625" style="59" customWidth="1"/>
    <col min="16" max="18" width="16.140625" style="59" customWidth="1"/>
    <col min="19" max="19" width="16" style="59" customWidth="1"/>
    <col min="20" max="16384" width="9.140625" style="59"/>
  </cols>
  <sheetData>
    <row r="1" spans="1:17" ht="38.25" x14ac:dyDescent="0.2">
      <c r="A1" s="190" t="s">
        <v>8</v>
      </c>
      <c r="B1" s="191" t="s">
        <v>88</v>
      </c>
      <c r="C1" s="190" t="s">
        <v>2</v>
      </c>
      <c r="D1" s="190" t="s">
        <v>1</v>
      </c>
      <c r="E1" s="191" t="s">
        <v>74</v>
      </c>
      <c r="F1" s="191" t="s">
        <v>48</v>
      </c>
      <c r="G1"/>
      <c r="H1"/>
      <c r="I1"/>
      <c r="J1"/>
      <c r="K1"/>
      <c r="L1"/>
      <c r="M1"/>
    </row>
    <row r="2" spans="1:17" ht="12.75" customHeight="1" x14ac:dyDescent="0.2">
      <c r="A2" s="195" t="s">
        <v>54</v>
      </c>
      <c r="B2" s="228">
        <v>42063</v>
      </c>
      <c r="C2" s="229">
        <v>10601</v>
      </c>
      <c r="D2" s="55">
        <v>0</v>
      </c>
      <c r="E2" s="55">
        <v>0</v>
      </c>
      <c r="F2" s="7">
        <f>SUM(C2:E2)</f>
        <v>10601</v>
      </c>
      <c r="G2"/>
      <c r="H2"/>
      <c r="I2"/>
      <c r="J2"/>
      <c r="K2"/>
      <c r="L2"/>
      <c r="M2"/>
    </row>
    <row r="3" spans="1:17" ht="12.75" customHeight="1" x14ac:dyDescent="0.2">
      <c r="A3" s="195" t="s">
        <v>55</v>
      </c>
      <c r="B3" s="228">
        <v>42058</v>
      </c>
      <c r="C3" s="229">
        <v>131296</v>
      </c>
      <c r="D3" s="55">
        <v>0</v>
      </c>
      <c r="E3" s="55">
        <v>0</v>
      </c>
      <c r="F3" s="7">
        <f t="shared" ref="F3:F12" si="0">SUM(C3:E3)</f>
        <v>131296</v>
      </c>
      <c r="G3"/>
      <c r="H3"/>
      <c r="I3"/>
      <c r="J3"/>
      <c r="K3"/>
      <c r="L3"/>
      <c r="M3"/>
    </row>
    <row r="4" spans="1:17" collapsed="1" x14ac:dyDescent="0.2">
      <c r="A4" s="195" t="s">
        <v>56</v>
      </c>
      <c r="B4" s="228">
        <v>42089</v>
      </c>
      <c r="C4" s="229">
        <v>60168</v>
      </c>
      <c r="D4" s="55">
        <v>0</v>
      </c>
      <c r="E4" s="55">
        <v>0</v>
      </c>
      <c r="F4" s="7">
        <f t="shared" si="0"/>
        <v>60168</v>
      </c>
      <c r="G4"/>
      <c r="H4"/>
      <c r="I4"/>
      <c r="J4"/>
      <c r="K4"/>
      <c r="L4"/>
      <c r="M4"/>
    </row>
    <row r="5" spans="1:17" x14ac:dyDescent="0.2">
      <c r="A5" s="195" t="s">
        <v>57</v>
      </c>
      <c r="B5" s="228">
        <v>42160</v>
      </c>
      <c r="C5" s="229">
        <v>71049</v>
      </c>
      <c r="D5" s="55">
        <v>0</v>
      </c>
      <c r="E5" s="55">
        <v>0</v>
      </c>
      <c r="F5" s="7">
        <f t="shared" si="0"/>
        <v>71049</v>
      </c>
      <c r="G5"/>
      <c r="H5"/>
      <c r="I5"/>
      <c r="J5"/>
      <c r="K5"/>
      <c r="L5"/>
      <c r="M5"/>
    </row>
    <row r="6" spans="1:17" ht="12.75" customHeight="1" x14ac:dyDescent="0.2">
      <c r="A6" s="195" t="s">
        <v>58</v>
      </c>
      <c r="B6" s="228">
        <v>42167</v>
      </c>
      <c r="C6" s="229">
        <v>81291</v>
      </c>
      <c r="D6" s="55">
        <v>0</v>
      </c>
      <c r="E6" s="55">
        <v>0</v>
      </c>
      <c r="F6" s="7">
        <f t="shared" si="0"/>
        <v>81291</v>
      </c>
      <c r="G6"/>
      <c r="H6"/>
      <c r="I6"/>
      <c r="J6"/>
      <c r="K6"/>
      <c r="L6"/>
      <c r="M6"/>
    </row>
    <row r="7" spans="1:17" x14ac:dyDescent="0.2">
      <c r="A7" s="195" t="s">
        <v>59</v>
      </c>
      <c r="B7" s="228">
        <v>42230</v>
      </c>
      <c r="C7" s="229">
        <v>92852</v>
      </c>
      <c r="D7" s="55">
        <v>0</v>
      </c>
      <c r="E7" s="55">
        <v>0</v>
      </c>
      <c r="F7" s="7">
        <f t="shared" si="0"/>
        <v>92852</v>
      </c>
      <c r="G7"/>
      <c r="H7"/>
      <c r="I7"/>
      <c r="J7"/>
      <c r="K7"/>
      <c r="L7"/>
      <c r="M7"/>
    </row>
    <row r="8" spans="1:17" x14ac:dyDescent="0.2">
      <c r="A8" s="195" t="s">
        <v>60</v>
      </c>
      <c r="B8" s="228">
        <v>42202</v>
      </c>
      <c r="C8" s="229">
        <v>111655</v>
      </c>
      <c r="D8" s="55">
        <v>0</v>
      </c>
      <c r="E8" s="55">
        <v>0</v>
      </c>
      <c r="F8" s="7">
        <f t="shared" si="0"/>
        <v>111655</v>
      </c>
      <c r="G8"/>
      <c r="H8"/>
      <c r="I8"/>
      <c r="J8"/>
      <c r="K8"/>
      <c r="L8"/>
      <c r="M8"/>
    </row>
    <row r="9" spans="1:17" x14ac:dyDescent="0.2">
      <c r="A9" s="195" t="s">
        <v>61</v>
      </c>
      <c r="B9" s="228">
        <v>42247</v>
      </c>
      <c r="C9" s="229">
        <v>144862</v>
      </c>
      <c r="D9" s="55">
        <v>0</v>
      </c>
      <c r="E9" s="55">
        <v>0</v>
      </c>
      <c r="F9" s="7">
        <f t="shared" si="0"/>
        <v>144862</v>
      </c>
      <c r="G9"/>
      <c r="H9"/>
      <c r="I9"/>
      <c r="J9"/>
      <c r="K9"/>
      <c r="L9"/>
      <c r="M9"/>
    </row>
    <row r="10" spans="1:17" x14ac:dyDescent="0.2">
      <c r="A10" s="195" t="s">
        <v>62</v>
      </c>
      <c r="B10" s="228">
        <v>42321</v>
      </c>
      <c r="C10" s="229">
        <v>290405</v>
      </c>
      <c r="D10" s="55">
        <v>0</v>
      </c>
      <c r="E10" s="55">
        <v>0</v>
      </c>
      <c r="F10" s="7">
        <f t="shared" si="0"/>
        <v>290405</v>
      </c>
      <c r="G10"/>
      <c r="H10"/>
      <c r="I10"/>
      <c r="J10"/>
      <c r="K10"/>
      <c r="L10"/>
      <c r="M10"/>
    </row>
    <row r="11" spans="1:17" x14ac:dyDescent="0.2">
      <c r="A11" s="195" t="s">
        <v>63</v>
      </c>
      <c r="B11" s="18">
        <v>42293</v>
      </c>
      <c r="C11" s="229">
        <f>431779</f>
        <v>431779</v>
      </c>
      <c r="D11" s="55">
        <v>0</v>
      </c>
      <c r="E11" s="55">
        <v>0</v>
      </c>
      <c r="F11" s="7">
        <f t="shared" si="0"/>
        <v>431779</v>
      </c>
      <c r="G11"/>
      <c r="H11"/>
      <c r="I11"/>
      <c r="J11"/>
      <c r="K11"/>
      <c r="L11"/>
      <c r="M11"/>
    </row>
    <row r="12" spans="1:17" collapsed="1" x14ac:dyDescent="0.2">
      <c r="A12" s="195" t="s">
        <v>64</v>
      </c>
      <c r="B12" s="18">
        <v>42352</v>
      </c>
      <c r="C12" s="55">
        <f>381662-90344.82</f>
        <v>291317.18</v>
      </c>
      <c r="D12" s="55">
        <v>0</v>
      </c>
      <c r="E12" s="55">
        <v>0</v>
      </c>
      <c r="F12" s="7">
        <f t="shared" si="0"/>
        <v>291317.18</v>
      </c>
      <c r="G12"/>
      <c r="H12"/>
      <c r="I12"/>
      <c r="J12"/>
      <c r="K12"/>
      <c r="L12"/>
      <c r="M12"/>
    </row>
    <row r="13" spans="1:17" ht="13.5" thickBot="1" x14ac:dyDescent="0.25">
      <c r="B13" s="58" t="s">
        <v>0</v>
      </c>
      <c r="C13" s="196">
        <f>SUM(C2:C12)</f>
        <v>1717275.18</v>
      </c>
      <c r="D13" s="196">
        <f>SUM(D2:D12)</f>
        <v>0</v>
      </c>
      <c r="E13" s="196">
        <f>SUM(E2:E12)</f>
        <v>0</v>
      </c>
      <c r="F13" s="196">
        <f>SUM(F2:F12)</f>
        <v>1717275.18</v>
      </c>
      <c r="G13"/>
      <c r="H13"/>
      <c r="I13"/>
      <c r="J13"/>
      <c r="K13"/>
      <c r="L13"/>
      <c r="M13"/>
    </row>
    <row r="14" spans="1:17" ht="13.5" thickTop="1" x14ac:dyDescent="0.2">
      <c r="A14" s="60" t="s">
        <v>19</v>
      </c>
      <c r="B14" s="62" t="s">
        <v>22</v>
      </c>
      <c r="C14" s="64">
        <v>0</v>
      </c>
      <c r="D14" s="64">
        <v>0</v>
      </c>
      <c r="E14" s="64">
        <v>0</v>
      </c>
      <c r="F14" s="64">
        <f>SUM(C14:E14)</f>
        <v>0</v>
      </c>
      <c r="J14" s="198"/>
      <c r="K14" s="199" t="s">
        <v>14</v>
      </c>
      <c r="L14" s="259" t="s">
        <v>13</v>
      </c>
      <c r="M14"/>
      <c r="Q14" s="200"/>
    </row>
    <row r="15" spans="1:17" x14ac:dyDescent="0.2">
      <c r="A15" s="60" t="s">
        <v>20</v>
      </c>
      <c r="B15" s="62" t="s">
        <v>22</v>
      </c>
      <c r="C15" s="64">
        <v>0</v>
      </c>
      <c r="D15" s="64">
        <v>0</v>
      </c>
      <c r="E15" s="64">
        <v>0</v>
      </c>
      <c r="F15" s="64">
        <f>SUM(C15:E15)</f>
        <v>0</v>
      </c>
      <c r="J15" s="201" t="s">
        <v>11</v>
      </c>
      <c r="K15" s="202">
        <v>42651</v>
      </c>
      <c r="L15" s="260">
        <f>K15</f>
        <v>42651</v>
      </c>
      <c r="M15"/>
    </row>
    <row r="16" spans="1:17" ht="13.5" thickBot="1" x14ac:dyDescent="0.25">
      <c r="B16" s="58" t="s">
        <v>52</v>
      </c>
      <c r="C16" s="196">
        <f>+SUM(C13:C15)</f>
        <v>1717275.18</v>
      </c>
      <c r="D16" s="196">
        <f>+SUM(D13:D15)</f>
        <v>0</v>
      </c>
      <c r="E16" s="196">
        <f>+SUM(E13:E15)</f>
        <v>0</v>
      </c>
      <c r="F16" s="196">
        <f>+SUM(F13:F15)</f>
        <v>1717275.18</v>
      </c>
      <c r="J16" s="203" t="s">
        <v>17</v>
      </c>
      <c r="K16" s="204">
        <v>42705</v>
      </c>
      <c r="L16" s="261">
        <v>42726</v>
      </c>
      <c r="M16"/>
    </row>
    <row r="17" spans="1:18" ht="14.25" thickTop="1" thickBot="1" x14ac:dyDescent="0.25">
      <c r="B17" s="58"/>
      <c r="C17" s="63"/>
      <c r="D17" s="63"/>
      <c r="E17" s="63"/>
      <c r="F17" s="63"/>
      <c r="I17" s="64"/>
      <c r="J17" s="64"/>
      <c r="K17"/>
      <c r="L17"/>
      <c r="M17"/>
      <c r="N17" s="64"/>
      <c r="O17" s="64"/>
      <c r="P17" s="64"/>
      <c r="Q17" s="64"/>
      <c r="R17" s="64"/>
    </row>
    <row r="18" spans="1:18" x14ac:dyDescent="0.2">
      <c r="B18" s="225"/>
      <c r="C18" s="65"/>
      <c r="D18" s="60"/>
      <c r="I18" s="205"/>
      <c r="J18" s="313" t="s">
        <v>2</v>
      </c>
      <c r="K18" s="313"/>
      <c r="L18" s="206" t="s">
        <v>54</v>
      </c>
      <c r="M18" s="207"/>
    </row>
    <row r="19" spans="1:18" ht="36.75" x14ac:dyDescent="0.2">
      <c r="A19" s="208" t="s">
        <v>53</v>
      </c>
      <c r="B19" s="208" t="s">
        <v>3</v>
      </c>
      <c r="C19" s="208" t="s">
        <v>4</v>
      </c>
      <c r="D19" s="208" t="s">
        <v>5</v>
      </c>
      <c r="E19" s="208" t="s">
        <v>6</v>
      </c>
      <c r="F19" s="208" t="s">
        <v>7</v>
      </c>
      <c r="G19" s="208" t="s">
        <v>80</v>
      </c>
      <c r="H19" s="208" t="s">
        <v>81</v>
      </c>
      <c r="I19" s="192" t="s">
        <v>82</v>
      </c>
      <c r="J19" s="193" t="s">
        <v>83</v>
      </c>
      <c r="K19" s="193" t="s">
        <v>84</v>
      </c>
      <c r="L19" s="193" t="s">
        <v>85</v>
      </c>
      <c r="M19" s="194" t="s">
        <v>75</v>
      </c>
      <c r="N19" s="208" t="s">
        <v>86</v>
      </c>
      <c r="O19" s="208" t="s">
        <v>87</v>
      </c>
    </row>
    <row r="20" spans="1:18" x14ac:dyDescent="0.2">
      <c r="A20" s="294" t="s">
        <v>54</v>
      </c>
      <c r="B20" s="209" t="str">
        <f t="shared" ref="B20:B39" si="1">+IF(MONTH(C20)&lt;4,"Q1",IF(MONTH(C20)&lt;7,"Q2",IF(MONTH(C20)&lt;10,"Q3","Q4")))&amp;"/"&amp;YEAR(C20)</f>
        <v>Q4/2016</v>
      </c>
      <c r="C20" s="210">
        <f>+L15</f>
        <v>42651</v>
      </c>
      <c r="D20" s="210">
        <f t="shared" ref="D20:D39" si="2">DATE(YEAR(C20),IF(MONTH(C20)&lt;=3,3,IF(MONTH(C20)&lt;=6,6,IF(MONTH(C20)&lt;=9,9,12))),IF(OR(MONTH(C20)&lt;=3,MONTH(C20)&gt;=10),31,30))</f>
        <v>42735</v>
      </c>
      <c r="E20" s="209">
        <f t="shared" ref="E20:E39" si="3">D20-C20+1</f>
        <v>85</v>
      </c>
      <c r="F20" s="83">
        <f>VLOOKUP(D20,'FERC Interest Rate'!$A:$B,2,TRUE)</f>
        <v>3.5000000000000003E-2</v>
      </c>
      <c r="G20" s="84">
        <f>+$C$16</f>
        <v>1717275.18</v>
      </c>
      <c r="H20" s="84">
        <f>G20*F20*(E20/(DATE(YEAR(D20),12,31)-DATE(YEAR(D20),1,1)+1))</f>
        <v>13958.725848360657</v>
      </c>
      <c r="I20" s="109">
        <v>0</v>
      </c>
      <c r="J20" s="69">
        <v>0</v>
      </c>
      <c r="K20" s="211">
        <f t="shared" ref="K20:K39" si="4">+SUM(I20:J20)</f>
        <v>0</v>
      </c>
      <c r="L20" s="69">
        <v>0</v>
      </c>
      <c r="M20" s="212">
        <f t="shared" ref="M20" si="5">+SUM(K20:L20)</f>
        <v>0</v>
      </c>
      <c r="N20" s="64">
        <f t="shared" ref="N20:N39" si="6">+G20+H20+J20</f>
        <v>1731233.9058483606</v>
      </c>
      <c r="O20" s="84">
        <f>+N20-M20</f>
        <v>1731233.9058483606</v>
      </c>
    </row>
    <row r="21" spans="1:18" x14ac:dyDescent="0.2">
      <c r="A21" s="195" t="s">
        <v>55</v>
      </c>
      <c r="B21" s="209" t="str">
        <f t="shared" si="1"/>
        <v>Q1/2017</v>
      </c>
      <c r="C21" s="210">
        <f t="shared" ref="C21:C39" si="7">D20+1</f>
        <v>42736</v>
      </c>
      <c r="D21" s="210">
        <f t="shared" si="2"/>
        <v>42825</v>
      </c>
      <c r="E21" s="209">
        <f t="shared" si="3"/>
        <v>90</v>
      </c>
      <c r="F21" s="83">
        <f>VLOOKUP(D21,'FERC Interest Rate'!$A:$B,2,TRUE)</f>
        <v>3.5000000000000003E-2</v>
      </c>
      <c r="G21" s="84">
        <f>O20</f>
        <v>1731233.9058483606</v>
      </c>
      <c r="H21" s="84">
        <v>0</v>
      </c>
      <c r="I21" s="109">
        <v>0</v>
      </c>
      <c r="J21" s="69">
        <f t="shared" ref="J21:J32" si="8">G21*F21*(E21/(DATE(YEAR(D21),12,31)-DATE(YEAR(D21),1,1)+1))</f>
        <v>14940.785762800921</v>
      </c>
      <c r="K21" s="211">
        <f t="shared" si="4"/>
        <v>14940.785762800921</v>
      </c>
      <c r="L21" s="69">
        <v>0</v>
      </c>
      <c r="M21" s="212">
        <v>0</v>
      </c>
      <c r="N21" s="64">
        <f t="shared" si="6"/>
        <v>1746174.6916111615</v>
      </c>
      <c r="O21" s="84">
        <f t="shared" ref="O21:O39" si="9">+N21-M21</f>
        <v>1746174.6916111615</v>
      </c>
    </row>
    <row r="22" spans="1:18" x14ac:dyDescent="0.2">
      <c r="A22" s="60" t="s">
        <v>56</v>
      </c>
      <c r="B22" s="209" t="str">
        <f t="shared" si="1"/>
        <v>Q2/2017</v>
      </c>
      <c r="C22" s="210">
        <f t="shared" si="7"/>
        <v>42826</v>
      </c>
      <c r="D22" s="210">
        <f t="shared" si="2"/>
        <v>42916</v>
      </c>
      <c r="E22" s="209">
        <f t="shared" si="3"/>
        <v>91</v>
      </c>
      <c r="F22" s="83">
        <f>VLOOKUP(D22,'FERC Interest Rate'!$A:$B,2,TRUE)</f>
        <v>3.7100000000000001E-2</v>
      </c>
      <c r="G22" s="84">
        <f>O21</f>
        <v>1746174.6916111615</v>
      </c>
      <c r="H22" s="84">
        <v>0</v>
      </c>
      <c r="I22" s="109">
        <f>(SUM($H$20:$H$40)/20)*3</f>
        <v>2093.8088772540987</v>
      </c>
      <c r="J22" s="69">
        <f t="shared" si="8"/>
        <v>16151.398291365596</v>
      </c>
      <c r="K22" s="211">
        <f t="shared" si="4"/>
        <v>18245.207168619694</v>
      </c>
      <c r="L22" s="69">
        <f>+$G$20/20*3</f>
        <v>257591.27699999997</v>
      </c>
      <c r="M22" s="212">
        <f>+SUM(K21:L22)</f>
        <v>290777.26993142057</v>
      </c>
      <c r="N22" s="64">
        <f t="shared" si="6"/>
        <v>1762326.0899025272</v>
      </c>
      <c r="O22" s="84">
        <f t="shared" si="9"/>
        <v>1471548.8199711065</v>
      </c>
    </row>
    <row r="23" spans="1:18" x14ac:dyDescent="0.2">
      <c r="A23" s="60" t="s">
        <v>57</v>
      </c>
      <c r="B23" s="209" t="str">
        <f t="shared" si="1"/>
        <v>Q3/2017</v>
      </c>
      <c r="C23" s="210">
        <f t="shared" si="7"/>
        <v>42917</v>
      </c>
      <c r="D23" s="210">
        <f t="shared" si="2"/>
        <v>43008</v>
      </c>
      <c r="E23" s="209">
        <f t="shared" si="3"/>
        <v>92</v>
      </c>
      <c r="F23" s="83">
        <f>VLOOKUP(D23,'FERC Interest Rate'!$A:$B,2,TRUE)</f>
        <v>3.9600000000000003E-2</v>
      </c>
      <c r="G23" s="84">
        <f>O22</f>
        <v>1471548.8199711065</v>
      </c>
      <c r="H23" s="84">
        <v>0</v>
      </c>
      <c r="I23" s="109">
        <f t="shared" ref="I23:I39" si="10">(SUM($H$20:$H$40)/20)</f>
        <v>697.93629241803285</v>
      </c>
      <c r="J23" s="69">
        <f t="shared" si="8"/>
        <v>14688.073043612976</v>
      </c>
      <c r="K23" s="211">
        <f t="shared" si="4"/>
        <v>15386.009336031009</v>
      </c>
      <c r="L23" s="69">
        <f t="shared" ref="L23:L31" si="11">+$G$20/20</f>
        <v>85863.758999999991</v>
      </c>
      <c r="M23" s="212">
        <f t="shared" ref="M23:M39" si="12">+SUM(K23:L23)</f>
        <v>101249.768336031</v>
      </c>
      <c r="N23" s="64">
        <f t="shared" si="6"/>
        <v>1486236.8930147195</v>
      </c>
      <c r="O23" s="84">
        <f t="shared" si="9"/>
        <v>1384987.1246786886</v>
      </c>
    </row>
    <row r="24" spans="1:18" x14ac:dyDescent="0.2">
      <c r="A24" s="60" t="s">
        <v>58</v>
      </c>
      <c r="B24" s="209" t="str">
        <f t="shared" si="1"/>
        <v>Q4/2017</v>
      </c>
      <c r="C24" s="210">
        <f t="shared" si="7"/>
        <v>43009</v>
      </c>
      <c r="D24" s="210">
        <f t="shared" si="2"/>
        <v>43100</v>
      </c>
      <c r="E24" s="209">
        <f t="shared" si="3"/>
        <v>92</v>
      </c>
      <c r="F24" s="83">
        <f>VLOOKUP(D24,'FERC Interest Rate'!$A:$B,2,TRUE)</f>
        <v>4.2099999999999999E-2</v>
      </c>
      <c r="G24" s="84">
        <f>O23</f>
        <v>1384987.1246786886</v>
      </c>
      <c r="H24" s="84">
        <v>0</v>
      </c>
      <c r="I24" s="109">
        <f t="shared" si="10"/>
        <v>697.93629241803285</v>
      </c>
      <c r="J24" s="69">
        <f t="shared" si="8"/>
        <v>14696.800359741088</v>
      </c>
      <c r="K24" s="211">
        <f t="shared" si="4"/>
        <v>15394.736652159121</v>
      </c>
      <c r="L24" s="69">
        <f t="shared" si="11"/>
        <v>85863.758999999991</v>
      </c>
      <c r="M24" s="212">
        <f t="shared" si="12"/>
        <v>101258.49565215911</v>
      </c>
      <c r="N24" s="64">
        <f t="shared" si="6"/>
        <v>1399683.9250384297</v>
      </c>
      <c r="O24" s="84">
        <f t="shared" si="9"/>
        <v>1298425.4293862705</v>
      </c>
    </row>
    <row r="25" spans="1:18" x14ac:dyDescent="0.2">
      <c r="A25" s="60" t="s">
        <v>59</v>
      </c>
      <c r="B25" s="209" t="str">
        <f t="shared" si="1"/>
        <v>Q1/2018</v>
      </c>
      <c r="C25" s="210">
        <f t="shared" si="7"/>
        <v>43101</v>
      </c>
      <c r="D25" s="210">
        <f t="shared" si="2"/>
        <v>43190</v>
      </c>
      <c r="E25" s="209">
        <f t="shared" si="3"/>
        <v>90</v>
      </c>
      <c r="F25" s="83">
        <f>VLOOKUP(D25,'FERC Interest Rate'!$A:$B,2,TRUE)</f>
        <v>4.2500000000000003E-2</v>
      </c>
      <c r="G25" s="84">
        <f t="shared" ref="G25:G39" si="13">O24</f>
        <v>1298425.4293862705</v>
      </c>
      <c r="H25" s="84">
        <v>0</v>
      </c>
      <c r="I25" s="109">
        <f t="shared" si="10"/>
        <v>697.93629241803285</v>
      </c>
      <c r="J25" s="69">
        <f t="shared" si="8"/>
        <v>13606.78703397941</v>
      </c>
      <c r="K25" s="211">
        <f t="shared" si="4"/>
        <v>14304.723326397443</v>
      </c>
      <c r="L25" s="69">
        <f t="shared" si="11"/>
        <v>85863.758999999991</v>
      </c>
      <c r="M25" s="212">
        <f t="shared" si="12"/>
        <v>100168.48232639744</v>
      </c>
      <c r="N25" s="64">
        <f t="shared" si="6"/>
        <v>1312032.2164202498</v>
      </c>
      <c r="O25" s="84">
        <f t="shared" si="9"/>
        <v>1211863.7340938523</v>
      </c>
    </row>
    <row r="26" spans="1:18" x14ac:dyDescent="0.2">
      <c r="A26" s="60" t="s">
        <v>60</v>
      </c>
      <c r="B26" s="209" t="str">
        <f t="shared" si="1"/>
        <v>Q2/2018</v>
      </c>
      <c r="C26" s="210">
        <f t="shared" si="7"/>
        <v>43191</v>
      </c>
      <c r="D26" s="210">
        <f t="shared" si="2"/>
        <v>43281</v>
      </c>
      <c r="E26" s="209">
        <f t="shared" si="3"/>
        <v>91</v>
      </c>
      <c r="F26" s="83">
        <f>VLOOKUP(D26,'FERC Interest Rate'!$A:$B,2,TRUE)</f>
        <v>4.4699999999999997E-2</v>
      </c>
      <c r="G26" s="84">
        <f t="shared" si="13"/>
        <v>1211863.7340938523</v>
      </c>
      <c r="H26" s="84">
        <v>0</v>
      </c>
      <c r="I26" s="109">
        <f t="shared" si="10"/>
        <v>697.93629241803285</v>
      </c>
      <c r="J26" s="69">
        <f t="shared" si="8"/>
        <v>13505.474277187845</v>
      </c>
      <c r="K26" s="211">
        <f t="shared" si="4"/>
        <v>14203.410569605878</v>
      </c>
      <c r="L26" s="69">
        <f t="shared" si="11"/>
        <v>85863.758999999991</v>
      </c>
      <c r="M26" s="212">
        <f t="shared" si="12"/>
        <v>100067.16956960587</v>
      </c>
      <c r="N26" s="64">
        <f t="shared" si="6"/>
        <v>1225369.2083710402</v>
      </c>
      <c r="O26" s="84">
        <f t="shared" si="9"/>
        <v>1125302.0388014342</v>
      </c>
    </row>
    <row r="27" spans="1:18" x14ac:dyDescent="0.2">
      <c r="A27" s="60" t="s">
        <v>61</v>
      </c>
      <c r="B27" s="209" t="str">
        <f t="shared" si="1"/>
        <v>Q3/2018</v>
      </c>
      <c r="C27" s="210">
        <f t="shared" si="7"/>
        <v>43282</v>
      </c>
      <c r="D27" s="210">
        <f t="shared" si="2"/>
        <v>43373</v>
      </c>
      <c r="E27" s="209">
        <f t="shared" si="3"/>
        <v>92</v>
      </c>
      <c r="F27" s="83">
        <f>VLOOKUP(D27,'FERC Interest Rate'!$A:$B,2,TRUE)</f>
        <v>5.011111E-2</v>
      </c>
      <c r="G27" s="84">
        <f t="shared" si="13"/>
        <v>1125302.0388014342</v>
      </c>
      <c r="H27" s="84">
        <v>0</v>
      </c>
      <c r="I27" s="109">
        <f t="shared" si="10"/>
        <v>697.93629241803285</v>
      </c>
      <c r="J27" s="69">
        <f t="shared" si="8"/>
        <v>14213.403701269783</v>
      </c>
      <c r="K27" s="211">
        <f t="shared" si="4"/>
        <v>14911.339993687816</v>
      </c>
      <c r="L27" s="69">
        <f t="shared" si="11"/>
        <v>85863.758999999991</v>
      </c>
      <c r="M27" s="212">
        <f t="shared" si="12"/>
        <v>100775.0989936878</v>
      </c>
      <c r="N27" s="64">
        <f t="shared" si="6"/>
        <v>1139515.442502704</v>
      </c>
      <c r="O27" s="84">
        <f t="shared" si="9"/>
        <v>1038740.3435090162</v>
      </c>
    </row>
    <row r="28" spans="1:18" x14ac:dyDescent="0.2">
      <c r="A28" s="60" t="s">
        <v>62</v>
      </c>
      <c r="B28" s="209" t="str">
        <f t="shared" si="1"/>
        <v>Q4/2018</v>
      </c>
      <c r="C28" s="210">
        <f t="shared" si="7"/>
        <v>43374</v>
      </c>
      <c r="D28" s="210">
        <f t="shared" si="2"/>
        <v>43465</v>
      </c>
      <c r="E28" s="209">
        <f t="shared" si="3"/>
        <v>92</v>
      </c>
      <c r="F28" s="83">
        <f>VLOOKUP(D28,'FERC Interest Rate'!$A:$B,2,TRUE)</f>
        <v>5.2822580000000001E-2</v>
      </c>
      <c r="G28" s="84">
        <f t="shared" si="13"/>
        <v>1038740.3435090162</v>
      </c>
      <c r="H28" s="84">
        <v>0</v>
      </c>
      <c r="I28" s="109">
        <f t="shared" si="10"/>
        <v>697.93629241803285</v>
      </c>
      <c r="J28" s="69">
        <f t="shared" si="8"/>
        <v>13829.980630875039</v>
      </c>
      <c r="K28" s="211">
        <f t="shared" si="4"/>
        <v>14527.916923293073</v>
      </c>
      <c r="L28" s="69">
        <f t="shared" si="11"/>
        <v>85863.758999999991</v>
      </c>
      <c r="M28" s="212">
        <f t="shared" si="12"/>
        <v>100391.67592329306</v>
      </c>
      <c r="N28" s="64">
        <f t="shared" si="6"/>
        <v>1052570.3241398912</v>
      </c>
      <c r="O28" s="84">
        <f t="shared" si="9"/>
        <v>952178.64821659809</v>
      </c>
    </row>
    <row r="29" spans="1:18" x14ac:dyDescent="0.2">
      <c r="A29" s="60" t="s">
        <v>63</v>
      </c>
      <c r="B29" s="209" t="str">
        <f t="shared" si="1"/>
        <v>Q1/2019</v>
      </c>
      <c r="C29" s="210">
        <f t="shared" si="7"/>
        <v>43466</v>
      </c>
      <c r="D29" s="210">
        <f t="shared" si="2"/>
        <v>43555</v>
      </c>
      <c r="E29" s="209">
        <f t="shared" si="3"/>
        <v>90</v>
      </c>
      <c r="F29" s="83">
        <f>VLOOKUP(D29,'FERC Interest Rate'!$A:$B,2,TRUE)</f>
        <v>5.5296770000000002E-2</v>
      </c>
      <c r="G29" s="84">
        <f t="shared" si="13"/>
        <v>952178.64821659809</v>
      </c>
      <c r="H29" s="84">
        <v>0</v>
      </c>
      <c r="I29" s="109">
        <f t="shared" si="10"/>
        <v>697.93629241803285</v>
      </c>
      <c r="J29" s="69">
        <f t="shared" si="8"/>
        <v>12982.784476276636</v>
      </c>
      <c r="K29" s="211">
        <f t="shared" si="4"/>
        <v>13680.720768694669</v>
      </c>
      <c r="L29" s="69">
        <f t="shared" si="11"/>
        <v>85863.758999999991</v>
      </c>
      <c r="M29" s="212">
        <f t="shared" si="12"/>
        <v>99544.479768694655</v>
      </c>
      <c r="N29" s="64">
        <f t="shared" si="6"/>
        <v>965161.43269287469</v>
      </c>
      <c r="O29" s="84">
        <f t="shared" si="9"/>
        <v>865616.95292418008</v>
      </c>
    </row>
    <row r="30" spans="1:18" x14ac:dyDescent="0.2">
      <c r="A30" s="60" t="s">
        <v>64</v>
      </c>
      <c r="B30" s="209" t="str">
        <f t="shared" si="1"/>
        <v>Q2/2019</v>
      </c>
      <c r="C30" s="210">
        <f t="shared" si="7"/>
        <v>43556</v>
      </c>
      <c r="D30" s="210">
        <f t="shared" si="2"/>
        <v>43646</v>
      </c>
      <c r="E30" s="209">
        <f t="shared" si="3"/>
        <v>91</v>
      </c>
      <c r="F30" s="83">
        <f>VLOOKUP(D30,'FERC Interest Rate'!$A:$B,2,TRUE)</f>
        <v>5.7999999999999996E-2</v>
      </c>
      <c r="G30" s="84">
        <f t="shared" si="13"/>
        <v>865616.95292418008</v>
      </c>
      <c r="H30" s="84">
        <v>0</v>
      </c>
      <c r="I30" s="109">
        <f t="shared" si="10"/>
        <v>697.93629241803285</v>
      </c>
      <c r="J30" s="69">
        <f t="shared" si="8"/>
        <v>12517.058294613211</v>
      </c>
      <c r="K30" s="211">
        <f t="shared" si="4"/>
        <v>13214.994587031244</v>
      </c>
      <c r="L30" s="69">
        <f t="shared" si="11"/>
        <v>85863.758999999991</v>
      </c>
      <c r="M30" s="212">
        <f t="shared" si="12"/>
        <v>99078.753587031242</v>
      </c>
      <c r="N30" s="64">
        <f t="shared" si="6"/>
        <v>878134.01121879334</v>
      </c>
      <c r="O30" s="84">
        <f t="shared" si="9"/>
        <v>779055.25763176207</v>
      </c>
    </row>
    <row r="31" spans="1:18" x14ac:dyDescent="0.2">
      <c r="A31" s="60" t="s">
        <v>65</v>
      </c>
      <c r="B31" s="209" t="str">
        <f t="shared" si="1"/>
        <v>Q3/2019</v>
      </c>
      <c r="C31" s="210">
        <f t="shared" si="7"/>
        <v>43647</v>
      </c>
      <c r="D31" s="210">
        <f t="shared" si="2"/>
        <v>43738</v>
      </c>
      <c r="E31" s="209">
        <f t="shared" si="3"/>
        <v>92</v>
      </c>
      <c r="F31" s="83">
        <f>VLOOKUP(D31,'FERC Interest Rate'!$A:$B,2,TRUE)</f>
        <v>0.06</v>
      </c>
      <c r="G31" s="84">
        <f t="shared" si="13"/>
        <v>779055.25763176207</v>
      </c>
      <c r="H31" s="84">
        <v>0</v>
      </c>
      <c r="I31" s="109">
        <f t="shared" si="10"/>
        <v>697.93629241803285</v>
      </c>
      <c r="J31" s="69">
        <f t="shared" si="8"/>
        <v>11781.87677295158</v>
      </c>
      <c r="K31" s="211">
        <f t="shared" si="4"/>
        <v>12479.813065369613</v>
      </c>
      <c r="L31" s="69">
        <f t="shared" si="11"/>
        <v>85863.758999999991</v>
      </c>
      <c r="M31" s="212">
        <f t="shared" si="12"/>
        <v>98343.572065369604</v>
      </c>
      <c r="N31" s="64">
        <f t="shared" si="6"/>
        <v>790837.13440471364</v>
      </c>
      <c r="O31" s="84">
        <f t="shared" si="9"/>
        <v>692493.56233934406</v>
      </c>
    </row>
    <row r="32" spans="1:18" x14ac:dyDescent="0.2">
      <c r="A32" s="60" t="s">
        <v>66</v>
      </c>
      <c r="B32" s="209" t="str">
        <f t="shared" si="1"/>
        <v>Q4/2019</v>
      </c>
      <c r="C32" s="210">
        <f t="shared" si="7"/>
        <v>43739</v>
      </c>
      <c r="D32" s="210">
        <f t="shared" si="2"/>
        <v>43830</v>
      </c>
      <c r="E32" s="209">
        <f t="shared" si="3"/>
        <v>92</v>
      </c>
      <c r="F32" s="83">
        <f>VLOOKUP(D32,'FERC Interest Rate'!$A:$B,2,TRUE)</f>
        <v>6.0349460000000001E-2</v>
      </c>
      <c r="G32" s="84">
        <f t="shared" si="13"/>
        <v>692493.56233934406</v>
      </c>
      <c r="H32" s="84">
        <v>0</v>
      </c>
      <c r="I32" s="109">
        <f t="shared" si="10"/>
        <v>697.93629241803285</v>
      </c>
      <c r="J32" s="69">
        <f t="shared" si="8"/>
        <v>10533.776311617341</v>
      </c>
      <c r="K32" s="211">
        <f t="shared" si="4"/>
        <v>11231.712604035374</v>
      </c>
      <c r="L32" s="69">
        <f t="shared" ref="L32:L39" si="14">+$G$20/20</f>
        <v>85863.758999999991</v>
      </c>
      <c r="M32" s="212">
        <f t="shared" si="12"/>
        <v>97095.471604035367</v>
      </c>
      <c r="N32" s="64">
        <f t="shared" si="6"/>
        <v>703027.33865096141</v>
      </c>
      <c r="O32" s="84">
        <f t="shared" si="9"/>
        <v>605931.86704692605</v>
      </c>
    </row>
    <row r="33" spans="1:15" x14ac:dyDescent="0.2">
      <c r="A33" s="60" t="s">
        <v>67</v>
      </c>
      <c r="B33" s="209" t="str">
        <f t="shared" si="1"/>
        <v>Q1/2020</v>
      </c>
      <c r="C33" s="210">
        <f t="shared" si="7"/>
        <v>43831</v>
      </c>
      <c r="D33" s="210">
        <f t="shared" si="2"/>
        <v>43921</v>
      </c>
      <c r="E33" s="209">
        <f t="shared" si="3"/>
        <v>91</v>
      </c>
      <c r="F33" s="83">
        <f>VLOOKUP(D33,'FERC Interest Rate'!$A:$B,2,TRUE)</f>
        <v>6.2501040000000008E-2</v>
      </c>
      <c r="G33" s="84">
        <f t="shared" si="13"/>
        <v>605931.86704692605</v>
      </c>
      <c r="H33" s="84">
        <v>0</v>
      </c>
      <c r="I33" s="109">
        <f t="shared" si="10"/>
        <v>697.93629241803285</v>
      </c>
      <c r="J33" s="69">
        <f t="shared" ref="J33:J39" si="15">G33*F33*(E33/(DATE(YEAR(D33),12,31)-DATE(YEAR(D33),1,1)+1))</f>
        <v>9416.1061180909546</v>
      </c>
      <c r="K33" s="211">
        <f t="shared" si="4"/>
        <v>10114.042410508988</v>
      </c>
      <c r="L33" s="69">
        <f t="shared" si="14"/>
        <v>85863.758999999991</v>
      </c>
      <c r="M33" s="212">
        <f t="shared" si="12"/>
        <v>95977.801410508982</v>
      </c>
      <c r="N33" s="64">
        <f t="shared" si="6"/>
        <v>615347.97316501697</v>
      </c>
      <c r="O33" s="84">
        <f t="shared" si="9"/>
        <v>519370.17175450799</v>
      </c>
    </row>
    <row r="34" spans="1:15" x14ac:dyDescent="0.2">
      <c r="A34" s="60" t="s">
        <v>68</v>
      </c>
      <c r="B34" s="209" t="str">
        <f t="shared" si="1"/>
        <v>Q2/2020</v>
      </c>
      <c r="C34" s="210">
        <f t="shared" si="7"/>
        <v>43922</v>
      </c>
      <c r="D34" s="210">
        <f t="shared" si="2"/>
        <v>44012</v>
      </c>
      <c r="E34" s="209">
        <f t="shared" si="3"/>
        <v>91</v>
      </c>
      <c r="F34" s="83">
        <f>VLOOKUP(D34,'FERC Interest Rate'!$A:$B,2,TRUE)</f>
        <v>6.3055559999999997E-2</v>
      </c>
      <c r="G34" s="84">
        <f t="shared" si="13"/>
        <v>519370.17175450799</v>
      </c>
      <c r="H34" s="84">
        <v>0</v>
      </c>
      <c r="I34" s="109">
        <f t="shared" si="10"/>
        <v>697.93629241803285</v>
      </c>
      <c r="J34" s="69">
        <f t="shared" si="15"/>
        <v>8142.5549439403767</v>
      </c>
      <c r="K34" s="211">
        <f t="shared" si="4"/>
        <v>8840.4912363584099</v>
      </c>
      <c r="L34" s="69">
        <f t="shared" si="14"/>
        <v>85863.758999999991</v>
      </c>
      <c r="M34" s="212">
        <f t="shared" si="12"/>
        <v>94704.250236358406</v>
      </c>
      <c r="N34" s="64">
        <f t="shared" si="6"/>
        <v>527512.72669844842</v>
      </c>
      <c r="O34" s="84">
        <f t="shared" si="9"/>
        <v>432808.47646209004</v>
      </c>
    </row>
    <row r="35" spans="1:15" x14ac:dyDescent="0.2">
      <c r="A35" s="60" t="s">
        <v>69</v>
      </c>
      <c r="B35" s="209" t="str">
        <f t="shared" si="1"/>
        <v>Q3/2020</v>
      </c>
      <c r="C35" s="210">
        <f t="shared" si="7"/>
        <v>44013</v>
      </c>
      <c r="D35" s="210">
        <f t="shared" si="2"/>
        <v>44104</v>
      </c>
      <c r="E35" s="209">
        <f t="shared" si="3"/>
        <v>92</v>
      </c>
      <c r="F35" s="83">
        <f>VLOOKUP(D35,'FERC Interest Rate'!$A:$B,2,TRUE)</f>
        <v>6.5000000000000002E-2</v>
      </c>
      <c r="G35" s="84">
        <f t="shared" si="13"/>
        <v>432808.47646209004</v>
      </c>
      <c r="H35" s="84">
        <v>0</v>
      </c>
      <c r="I35" s="109">
        <f t="shared" si="10"/>
        <v>697.93629241803285</v>
      </c>
      <c r="J35" s="69">
        <f t="shared" si="15"/>
        <v>7071.5701891893405</v>
      </c>
      <c r="K35" s="211">
        <f t="shared" si="4"/>
        <v>7769.5064816073736</v>
      </c>
      <c r="L35" s="69">
        <f t="shared" si="14"/>
        <v>85863.758999999991</v>
      </c>
      <c r="M35" s="212">
        <f t="shared" si="12"/>
        <v>93633.265481607363</v>
      </c>
      <c r="N35" s="64">
        <f t="shared" si="6"/>
        <v>439880.04665127938</v>
      </c>
      <c r="O35" s="84">
        <f t="shared" si="9"/>
        <v>346246.78116967203</v>
      </c>
    </row>
    <row r="36" spans="1:15" x14ac:dyDescent="0.2">
      <c r="A36" s="60" t="s">
        <v>70</v>
      </c>
      <c r="B36" s="209" t="str">
        <f t="shared" si="1"/>
        <v>Q4/2020</v>
      </c>
      <c r="C36" s="210">
        <f>D35+1</f>
        <v>44105</v>
      </c>
      <c r="D36" s="210">
        <f t="shared" si="2"/>
        <v>44196</v>
      </c>
      <c r="E36" s="209">
        <f t="shared" si="3"/>
        <v>92</v>
      </c>
      <c r="F36" s="83">
        <f>VLOOKUP(D36,'FERC Interest Rate'!$A:$B,2,TRUE)</f>
        <v>6.5000000000000002E-2</v>
      </c>
      <c r="G36" s="84">
        <f>O35</f>
        <v>346246.78116967203</v>
      </c>
      <c r="H36" s="84">
        <v>0</v>
      </c>
      <c r="I36" s="109">
        <f t="shared" si="10"/>
        <v>697.93629241803285</v>
      </c>
      <c r="J36" s="69">
        <f t="shared" si="15"/>
        <v>5657.256151351472</v>
      </c>
      <c r="K36" s="211">
        <f t="shared" si="4"/>
        <v>6355.1924437695052</v>
      </c>
      <c r="L36" s="69">
        <f t="shared" si="14"/>
        <v>85863.758999999991</v>
      </c>
      <c r="M36" s="212">
        <f t="shared" si="12"/>
        <v>92218.951443769503</v>
      </c>
      <c r="N36" s="64">
        <f t="shared" si="6"/>
        <v>351904.03732102353</v>
      </c>
      <c r="O36" s="84">
        <f t="shared" si="9"/>
        <v>259685.08587725402</v>
      </c>
    </row>
    <row r="37" spans="1:15" x14ac:dyDescent="0.2">
      <c r="A37" s="60" t="s">
        <v>71</v>
      </c>
      <c r="B37" s="209" t="str">
        <f t="shared" si="1"/>
        <v>Q1/2021</v>
      </c>
      <c r="C37" s="210">
        <f t="shared" si="7"/>
        <v>44197</v>
      </c>
      <c r="D37" s="210">
        <f t="shared" si="2"/>
        <v>44286</v>
      </c>
      <c r="E37" s="209">
        <f t="shared" si="3"/>
        <v>90</v>
      </c>
      <c r="F37" s="83">
        <f>VLOOKUP(D37,'FERC Interest Rate'!$A:$B,2,TRUE)</f>
        <v>6.5000000000000002E-2</v>
      </c>
      <c r="G37" s="84">
        <f t="shared" si="13"/>
        <v>259685.08587725402</v>
      </c>
      <c r="H37" s="84">
        <v>0</v>
      </c>
      <c r="I37" s="109">
        <f t="shared" si="10"/>
        <v>697.93629241803285</v>
      </c>
      <c r="J37" s="69">
        <f t="shared" si="15"/>
        <v>4162.0760339231119</v>
      </c>
      <c r="K37" s="211">
        <f t="shared" si="4"/>
        <v>4860.0123263411451</v>
      </c>
      <c r="L37" s="69">
        <f t="shared" si="14"/>
        <v>85863.758999999991</v>
      </c>
      <c r="M37" s="212">
        <f t="shared" si="12"/>
        <v>90723.771326341142</v>
      </c>
      <c r="N37" s="64">
        <f t="shared" si="6"/>
        <v>263847.16191117716</v>
      </c>
      <c r="O37" s="84">
        <f t="shared" si="9"/>
        <v>173123.39058483602</v>
      </c>
    </row>
    <row r="38" spans="1:15" x14ac:dyDescent="0.2">
      <c r="A38" s="60" t="s">
        <v>72</v>
      </c>
      <c r="B38" s="209" t="str">
        <f t="shared" si="1"/>
        <v>Q2/2021</v>
      </c>
      <c r="C38" s="210">
        <f t="shared" si="7"/>
        <v>44287</v>
      </c>
      <c r="D38" s="210">
        <f t="shared" si="2"/>
        <v>44377</v>
      </c>
      <c r="E38" s="209">
        <f t="shared" si="3"/>
        <v>91</v>
      </c>
      <c r="F38" s="83">
        <f>VLOOKUP(D38,'FERC Interest Rate'!$A:$B,2,TRUE)</f>
        <v>6.5000000000000002E-2</v>
      </c>
      <c r="G38" s="84">
        <f t="shared" si="13"/>
        <v>173123.39058483602</v>
      </c>
      <c r="H38" s="84">
        <v>0</v>
      </c>
      <c r="I38" s="109">
        <f t="shared" si="10"/>
        <v>697.93629241803285</v>
      </c>
      <c r="J38" s="69">
        <f t="shared" si="15"/>
        <v>2805.5475487926169</v>
      </c>
      <c r="K38" s="211">
        <f t="shared" si="4"/>
        <v>3503.4838412106496</v>
      </c>
      <c r="L38" s="69">
        <f t="shared" si="14"/>
        <v>85863.758999999991</v>
      </c>
      <c r="M38" s="212">
        <f t="shared" si="12"/>
        <v>89367.242841210638</v>
      </c>
      <c r="N38" s="64">
        <f t="shared" si="6"/>
        <v>175928.93813362863</v>
      </c>
      <c r="O38" s="84">
        <f t="shared" si="9"/>
        <v>86561.695292417993</v>
      </c>
    </row>
    <row r="39" spans="1:15" x14ac:dyDescent="0.2">
      <c r="A39" s="60" t="s">
        <v>73</v>
      </c>
      <c r="B39" s="209" t="str">
        <f t="shared" si="1"/>
        <v>Q3/2021</v>
      </c>
      <c r="C39" s="210">
        <f t="shared" si="7"/>
        <v>44378</v>
      </c>
      <c r="D39" s="210">
        <f t="shared" si="2"/>
        <v>44469</v>
      </c>
      <c r="E39" s="209">
        <f t="shared" si="3"/>
        <v>92</v>
      </c>
      <c r="F39" s="83">
        <f>VLOOKUP(D39,'FERC Interest Rate'!$A:$B,2,TRUE)</f>
        <v>6.5000000000000002E-2</v>
      </c>
      <c r="G39" s="84">
        <f t="shared" si="13"/>
        <v>86561.695292417993</v>
      </c>
      <c r="H39" s="84">
        <v>0</v>
      </c>
      <c r="I39" s="109">
        <f t="shared" si="10"/>
        <v>697.93629241803285</v>
      </c>
      <c r="J39" s="69">
        <f t="shared" si="15"/>
        <v>1418.1888708182457</v>
      </c>
      <c r="K39" s="211">
        <f t="shared" si="4"/>
        <v>2116.1251632362787</v>
      </c>
      <c r="L39" s="69">
        <f t="shared" si="14"/>
        <v>85863.758999999991</v>
      </c>
      <c r="M39" s="212">
        <f t="shared" si="12"/>
        <v>87979.884163236275</v>
      </c>
      <c r="N39" s="64">
        <f t="shared" si="6"/>
        <v>87979.884163236246</v>
      </c>
      <c r="O39" s="84">
        <f t="shared" si="9"/>
        <v>0</v>
      </c>
    </row>
    <row r="40" spans="1:15" x14ac:dyDescent="0.2">
      <c r="B40" s="66"/>
      <c r="C40" s="67"/>
      <c r="D40" s="67"/>
      <c r="E40" s="68"/>
      <c r="F40" s="66"/>
      <c r="G40" s="69"/>
      <c r="H40" s="71"/>
      <c r="I40" s="213"/>
      <c r="J40" s="69"/>
      <c r="K40" s="214"/>
      <c r="L40" s="70"/>
      <c r="M40" s="215"/>
      <c r="O40" s="69"/>
    </row>
    <row r="41" spans="1:15" ht="13.5" thickBot="1" x14ac:dyDescent="0.25">
      <c r="A41" s="197"/>
      <c r="B41" s="216"/>
      <c r="C41" s="217"/>
      <c r="D41" s="217"/>
      <c r="E41" s="218"/>
      <c r="F41" s="216"/>
      <c r="G41" s="219">
        <f t="shared" ref="G41:O41" si="16">+SUM(G20:G40)</f>
        <v>18438623.15719948</v>
      </c>
      <c r="H41" s="219">
        <f t="shared" si="16"/>
        <v>13958.725848360657</v>
      </c>
      <c r="I41" s="220">
        <f t="shared" si="16"/>
        <v>13958.725848360662</v>
      </c>
      <c r="J41" s="219">
        <f t="shared" si="16"/>
        <v>202121.49881239751</v>
      </c>
      <c r="K41" s="219">
        <f t="shared" si="16"/>
        <v>216080.22466075825</v>
      </c>
      <c r="L41" s="219">
        <f t="shared" si="16"/>
        <v>1717275.1800000002</v>
      </c>
      <c r="M41" s="221">
        <f t="shared" si="16"/>
        <v>1933355.4046607583</v>
      </c>
      <c r="N41" s="219">
        <f t="shared" si="16"/>
        <v>18654703.381860234</v>
      </c>
      <c r="O41" s="219">
        <f t="shared" si="16"/>
        <v>16721347.97719948</v>
      </c>
    </row>
    <row r="42" spans="1:15" ht="14.25" thickTop="1" thickBot="1" x14ac:dyDescent="0.25">
      <c r="H42" s="211"/>
      <c r="I42" s="222"/>
      <c r="J42" s="223"/>
      <c r="K42" s="223"/>
      <c r="L42" s="223"/>
      <c r="M42" s="224"/>
    </row>
  </sheetData>
  <mergeCells count="1">
    <mergeCell ref="J18:K18"/>
  </mergeCells>
  <pageMargins left="0.7" right="0.7" top="0.75" bottom="0.75" header="0.3" footer="0.3"/>
  <pageSetup scale="54" fitToHeight="0" orientation="landscape" r:id="rId1"/>
  <headerFooter alignWithMargins="0">
    <oddHeader>&amp;RTO2019 Annual Update
Attachment 4
WP Schedule 22
Page &amp;P of &amp;N</oddHeader>
    <oddFooter>&amp;R&amp;A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89"/>
  <sheetViews>
    <sheetView zoomScale="80" zoomScaleNormal="80" workbookViewId="0"/>
  </sheetViews>
  <sheetFormatPr defaultColWidth="9.140625" defaultRowHeight="12.75" x14ac:dyDescent="0.2"/>
  <cols>
    <col min="1" max="1" width="10.28515625" style="6" bestFit="1" customWidth="1"/>
    <col min="2" max="2" width="13.28515625" style="6" bestFit="1" customWidth="1"/>
    <col min="3" max="4" width="13.28515625" style="6" customWidth="1"/>
    <col min="5" max="5" width="9.7109375" style="6" bestFit="1" customWidth="1"/>
    <col min="6" max="6" width="13.5703125" style="6" bestFit="1" customWidth="1"/>
    <col min="7" max="9" width="15.5703125" style="6" customWidth="1"/>
    <col min="10" max="10" width="17.140625" style="6" customWidth="1"/>
    <col min="11" max="15" width="15.5703125" style="6" customWidth="1"/>
    <col min="16" max="16384" width="9.140625" style="6"/>
  </cols>
  <sheetData>
    <row r="1" spans="1:8" ht="38.25" x14ac:dyDescent="0.2">
      <c r="A1" s="101" t="s">
        <v>8</v>
      </c>
      <c r="B1" s="102" t="s">
        <v>88</v>
      </c>
      <c r="C1" s="101" t="s">
        <v>2</v>
      </c>
      <c r="D1" s="101" t="s">
        <v>1</v>
      </c>
      <c r="E1" s="102" t="s">
        <v>74</v>
      </c>
      <c r="F1" s="102" t="s">
        <v>48</v>
      </c>
    </row>
    <row r="2" spans="1:8" ht="12.75" customHeight="1" x14ac:dyDescent="0.2">
      <c r="A2" s="96" t="s">
        <v>54</v>
      </c>
      <c r="B2" s="76">
        <v>40940</v>
      </c>
      <c r="C2" s="55">
        <v>2283</v>
      </c>
      <c r="D2" s="55">
        <v>0</v>
      </c>
      <c r="E2" s="55">
        <v>0</v>
      </c>
      <c r="F2" s="7">
        <f>SUM(C2:E2)</f>
        <v>2283</v>
      </c>
    </row>
    <row r="3" spans="1:8" ht="12.75" customHeight="1" x14ac:dyDescent="0.2">
      <c r="A3" s="96" t="s">
        <v>55</v>
      </c>
      <c r="B3" s="76">
        <v>40963</v>
      </c>
      <c r="C3" s="55">
        <v>2723</v>
      </c>
      <c r="D3" s="55">
        <v>0</v>
      </c>
      <c r="E3" s="55">
        <v>0</v>
      </c>
      <c r="F3" s="7">
        <f t="shared" ref="F3:F20" si="0">SUM(C3:E3)</f>
        <v>2723</v>
      </c>
    </row>
    <row r="4" spans="1:8" x14ac:dyDescent="0.2">
      <c r="A4" s="96" t="s">
        <v>56</v>
      </c>
      <c r="B4" s="76">
        <v>40998</v>
      </c>
      <c r="C4" s="55">
        <v>5977</v>
      </c>
      <c r="D4" s="55">
        <v>0</v>
      </c>
      <c r="E4" s="55">
        <v>0</v>
      </c>
      <c r="F4" s="7">
        <f t="shared" si="0"/>
        <v>5977</v>
      </c>
    </row>
    <row r="5" spans="1:8" x14ac:dyDescent="0.2">
      <c r="A5" s="96" t="s">
        <v>57</v>
      </c>
      <c r="B5" s="76">
        <v>41040</v>
      </c>
      <c r="C5" s="55">
        <v>7785</v>
      </c>
      <c r="D5" s="55">
        <v>0</v>
      </c>
      <c r="E5" s="55">
        <v>0</v>
      </c>
      <c r="F5" s="7">
        <f t="shared" si="0"/>
        <v>7785</v>
      </c>
    </row>
    <row r="6" spans="1:8" ht="12.75" customHeight="1" x14ac:dyDescent="0.2">
      <c r="A6" s="96" t="s">
        <v>58</v>
      </c>
      <c r="B6" s="76">
        <v>41061</v>
      </c>
      <c r="C6" s="55">
        <v>10394</v>
      </c>
      <c r="D6" s="55">
        <v>0</v>
      </c>
      <c r="E6" s="55">
        <v>0</v>
      </c>
      <c r="F6" s="7">
        <f t="shared" si="0"/>
        <v>10394</v>
      </c>
    </row>
    <row r="7" spans="1:8" x14ac:dyDescent="0.2">
      <c r="A7" s="96" t="s">
        <v>59</v>
      </c>
      <c r="B7" s="76">
        <v>41082</v>
      </c>
      <c r="C7" s="55">
        <v>12733</v>
      </c>
      <c r="D7" s="55">
        <v>0</v>
      </c>
      <c r="E7" s="55">
        <v>0</v>
      </c>
      <c r="F7" s="7">
        <f t="shared" si="0"/>
        <v>12733</v>
      </c>
    </row>
    <row r="8" spans="1:8" x14ac:dyDescent="0.2">
      <c r="A8" s="96" t="s">
        <v>60</v>
      </c>
      <c r="B8" s="76">
        <v>41122</v>
      </c>
      <c r="C8" s="55">
        <v>14938</v>
      </c>
      <c r="D8" s="55">
        <v>0</v>
      </c>
      <c r="E8" s="55">
        <v>0</v>
      </c>
      <c r="F8" s="7">
        <f t="shared" si="0"/>
        <v>14938</v>
      </c>
    </row>
    <row r="9" spans="1:8" x14ac:dyDescent="0.2">
      <c r="A9" s="96" t="s">
        <v>61</v>
      </c>
      <c r="B9" s="76">
        <v>41149</v>
      </c>
      <c r="C9" s="55">
        <v>17278</v>
      </c>
      <c r="D9" s="55">
        <v>0</v>
      </c>
      <c r="E9" s="55">
        <v>0</v>
      </c>
      <c r="F9" s="7">
        <f t="shared" si="0"/>
        <v>17278</v>
      </c>
    </row>
    <row r="10" spans="1:8" x14ac:dyDescent="0.2">
      <c r="A10" s="96" t="s">
        <v>62</v>
      </c>
      <c r="B10" s="76">
        <v>41183</v>
      </c>
      <c r="C10" s="55">
        <v>20001</v>
      </c>
      <c r="D10" s="55">
        <v>0</v>
      </c>
      <c r="E10" s="55">
        <v>0</v>
      </c>
      <c r="F10" s="7">
        <f t="shared" si="0"/>
        <v>20001</v>
      </c>
    </row>
    <row r="11" spans="1:8" x14ac:dyDescent="0.2">
      <c r="A11" s="96" t="s">
        <v>63</v>
      </c>
      <c r="B11" s="76">
        <v>41204</v>
      </c>
      <c r="C11" s="55">
        <v>24303</v>
      </c>
      <c r="D11" s="55">
        <v>0</v>
      </c>
      <c r="E11" s="55">
        <v>0</v>
      </c>
      <c r="F11" s="7">
        <f t="shared" si="0"/>
        <v>24303</v>
      </c>
    </row>
    <row r="12" spans="1:8" x14ac:dyDescent="0.2">
      <c r="A12" s="96" t="s">
        <v>64</v>
      </c>
      <c r="B12" s="76">
        <v>41243</v>
      </c>
      <c r="C12" s="55">
        <v>33303</v>
      </c>
      <c r="D12" s="55">
        <v>0</v>
      </c>
      <c r="E12" s="55">
        <v>0</v>
      </c>
      <c r="F12" s="7">
        <f t="shared" si="0"/>
        <v>33303</v>
      </c>
      <c r="H12" s="160"/>
    </row>
    <row r="13" spans="1:8" x14ac:dyDescent="0.2">
      <c r="A13" s="96" t="s">
        <v>65</v>
      </c>
      <c r="B13" s="76">
        <v>41264</v>
      </c>
      <c r="C13" s="55">
        <v>66728</v>
      </c>
      <c r="D13" s="55">
        <v>0</v>
      </c>
      <c r="E13" s="55">
        <v>0</v>
      </c>
      <c r="F13" s="7">
        <f t="shared" si="0"/>
        <v>66728</v>
      </c>
      <c r="H13" s="160"/>
    </row>
    <row r="14" spans="1:8" x14ac:dyDescent="0.2">
      <c r="A14" s="96" t="s">
        <v>66</v>
      </c>
      <c r="B14" s="76">
        <v>41305</v>
      </c>
      <c r="C14" s="55">
        <v>99817</v>
      </c>
      <c r="D14" s="55">
        <v>0</v>
      </c>
      <c r="E14" s="55">
        <v>0</v>
      </c>
      <c r="F14" s="7">
        <f t="shared" si="0"/>
        <v>99817</v>
      </c>
      <c r="H14" s="160"/>
    </row>
    <row r="15" spans="1:8" x14ac:dyDescent="0.2">
      <c r="A15" s="96" t="s">
        <v>67</v>
      </c>
      <c r="B15" s="76">
        <v>41333</v>
      </c>
      <c r="C15" s="55">
        <v>100417</v>
      </c>
      <c r="D15" s="55">
        <v>0</v>
      </c>
      <c r="E15" s="55">
        <v>0</v>
      </c>
      <c r="F15" s="7">
        <f t="shared" si="0"/>
        <v>100417</v>
      </c>
      <c r="H15" s="160"/>
    </row>
    <row r="16" spans="1:8" x14ac:dyDescent="0.2">
      <c r="A16" s="96" t="s">
        <v>68</v>
      </c>
      <c r="B16" s="76">
        <v>41348</v>
      </c>
      <c r="C16" s="55">
        <v>86496</v>
      </c>
      <c r="D16" s="55">
        <v>0</v>
      </c>
      <c r="E16" s="55">
        <v>0</v>
      </c>
      <c r="F16" s="7">
        <f t="shared" si="0"/>
        <v>86496</v>
      </c>
      <c r="H16" s="160"/>
    </row>
    <row r="17" spans="1:15" x14ac:dyDescent="0.2">
      <c r="A17" s="96" t="s">
        <v>69</v>
      </c>
      <c r="B17" s="76">
        <v>41387</v>
      </c>
      <c r="C17" s="55">
        <v>46455</v>
      </c>
      <c r="D17" s="55">
        <v>0</v>
      </c>
      <c r="E17" s="55">
        <v>0</v>
      </c>
      <c r="F17" s="7">
        <f t="shared" si="0"/>
        <v>46455</v>
      </c>
      <c r="H17" s="160"/>
    </row>
    <row r="18" spans="1:15" x14ac:dyDescent="0.2">
      <c r="A18" s="96" t="s">
        <v>70</v>
      </c>
      <c r="B18" s="76">
        <v>41425</v>
      </c>
      <c r="C18" s="55">
        <v>48215</v>
      </c>
      <c r="D18" s="55">
        <v>0</v>
      </c>
      <c r="E18" s="55">
        <v>0</v>
      </c>
      <c r="F18" s="7">
        <f t="shared" si="0"/>
        <v>48215</v>
      </c>
      <c r="H18" s="160"/>
    </row>
    <row r="19" spans="1:15" x14ac:dyDescent="0.2">
      <c r="A19" s="96" t="s">
        <v>71</v>
      </c>
      <c r="B19" s="76">
        <v>41460</v>
      </c>
      <c r="C19" s="55">
        <v>58638</v>
      </c>
      <c r="D19" s="55">
        <v>0</v>
      </c>
      <c r="E19" s="55">
        <v>0</v>
      </c>
      <c r="F19" s="7">
        <f t="shared" si="0"/>
        <v>58638</v>
      </c>
    </row>
    <row r="20" spans="1:15" ht="13.5" thickBot="1" x14ac:dyDescent="0.25">
      <c r="A20" s="96" t="s">
        <v>72</v>
      </c>
      <c r="B20" s="76">
        <v>41481</v>
      </c>
      <c r="C20" s="55">
        <v>87901</v>
      </c>
      <c r="D20" s="55">
        <v>0</v>
      </c>
      <c r="E20" s="55">
        <v>0</v>
      </c>
      <c r="F20" s="7">
        <f t="shared" si="0"/>
        <v>87901</v>
      </c>
    </row>
    <row r="21" spans="1:15" x14ac:dyDescent="0.2">
      <c r="B21" s="44" t="s">
        <v>0</v>
      </c>
      <c r="C21" s="124">
        <f>SUM(C2:C20)</f>
        <v>746385</v>
      </c>
      <c r="D21" s="124">
        <f>SUM(D2:D20)</f>
        <v>0</v>
      </c>
      <c r="E21" s="124">
        <f>SUM(E2:E20)</f>
        <v>0</v>
      </c>
      <c r="F21" s="124">
        <f>SUM(F2:F20)</f>
        <v>746385</v>
      </c>
      <c r="J21" s="159"/>
      <c r="K21" s="158" t="s">
        <v>14</v>
      </c>
      <c r="L21" s="250" t="s">
        <v>13</v>
      </c>
    </row>
    <row r="22" spans="1:15" x14ac:dyDescent="0.2">
      <c r="A22" s="17" t="s">
        <v>19</v>
      </c>
      <c r="B22" s="18" t="s">
        <v>22</v>
      </c>
      <c r="C22" s="8">
        <v>0</v>
      </c>
      <c r="D22" s="8">
        <v>0</v>
      </c>
      <c r="E22" s="8">
        <v>0</v>
      </c>
      <c r="F22" s="8">
        <f>SUM(C22:E22)</f>
        <v>0</v>
      </c>
      <c r="J22" s="156" t="s">
        <v>11</v>
      </c>
      <c r="K22" s="103">
        <v>41275</v>
      </c>
      <c r="L22" s="251">
        <v>41078</v>
      </c>
    </row>
    <row r="23" spans="1:15" ht="13.5" thickBot="1" x14ac:dyDescent="0.25">
      <c r="A23" s="17" t="s">
        <v>20</v>
      </c>
      <c r="B23" s="18" t="s">
        <v>22</v>
      </c>
      <c r="C23" s="8">
        <v>0</v>
      </c>
      <c r="D23" s="8">
        <v>0</v>
      </c>
      <c r="E23" s="8">
        <v>0</v>
      </c>
      <c r="F23" s="8">
        <f>SUM(C23:E23)</f>
        <v>0</v>
      </c>
      <c r="J23" s="157" t="s">
        <v>17</v>
      </c>
      <c r="K23" s="104">
        <v>41395</v>
      </c>
      <c r="L23" s="252">
        <v>41605</v>
      </c>
    </row>
    <row r="24" spans="1:15" ht="13.5" thickBot="1" x14ac:dyDescent="0.25">
      <c r="A24" s="44"/>
      <c r="B24" s="80" t="s">
        <v>52</v>
      </c>
      <c r="C24" s="79">
        <f>+SUM(C21:C23)</f>
        <v>746385</v>
      </c>
      <c r="D24" s="79">
        <f>+SUM(D21:D23)</f>
        <v>0</v>
      </c>
      <c r="E24" s="79">
        <f>+SUM(E21:E23)</f>
        <v>0</v>
      </c>
      <c r="F24" s="79">
        <f>+SUM(F21:F23)</f>
        <v>746385</v>
      </c>
    </row>
    <row r="25" spans="1:15" ht="14.25" thickTop="1" thickBot="1" x14ac:dyDescent="0.25">
      <c r="B25" s="44"/>
      <c r="C25" s="13"/>
      <c r="D25" s="13"/>
      <c r="E25" s="13"/>
      <c r="F25" s="13"/>
    </row>
    <row r="26" spans="1:15" x14ac:dyDescent="0.2">
      <c r="B26" s="43"/>
      <c r="C26" s="5"/>
      <c r="D26" s="17"/>
      <c r="I26" s="143"/>
      <c r="J26" s="128"/>
      <c r="K26" s="128"/>
      <c r="L26" s="128"/>
      <c r="M26" s="108"/>
    </row>
    <row r="27" spans="1:15" ht="38.25" x14ac:dyDescent="0.2">
      <c r="A27" s="90" t="s">
        <v>53</v>
      </c>
      <c r="B27" s="90" t="s">
        <v>3</v>
      </c>
      <c r="C27" s="90" t="s">
        <v>4</v>
      </c>
      <c r="D27" s="90" t="s">
        <v>5</v>
      </c>
      <c r="E27" s="90" t="s">
        <v>6</v>
      </c>
      <c r="F27" s="90" t="s">
        <v>7</v>
      </c>
      <c r="G27" s="90" t="s">
        <v>93</v>
      </c>
      <c r="H27" s="90" t="s">
        <v>94</v>
      </c>
      <c r="I27" s="105" t="s">
        <v>95</v>
      </c>
      <c r="J27" s="106" t="s">
        <v>96</v>
      </c>
      <c r="K27" s="106" t="s">
        <v>97</v>
      </c>
      <c r="L27" s="106" t="s">
        <v>98</v>
      </c>
      <c r="M27" s="107" t="s">
        <v>99</v>
      </c>
      <c r="N27" s="90" t="s">
        <v>100</v>
      </c>
      <c r="O27" s="90" t="s">
        <v>101</v>
      </c>
    </row>
    <row r="28" spans="1:15" x14ac:dyDescent="0.2">
      <c r="A28" s="311" t="s">
        <v>2</v>
      </c>
      <c r="B28" s="311"/>
      <c r="C28" s="282">
        <f>$L$22</f>
        <v>41078</v>
      </c>
      <c r="D28" s="282">
        <f>DATE(YEAR(C28),IF(MONTH(C28)&lt;=3,3,IF(MONTH(C28)&lt;=6,6,IF(MONTH(C28)&lt;=9,9,12))),IF(OR(MONTH(C28)&lt;=3,MONTH(C28)&gt;=10),31,30))</f>
        <v>41090</v>
      </c>
      <c r="E28" s="283">
        <f>D28-C28+1</f>
        <v>13</v>
      </c>
      <c r="F28" s="284">
        <f>VLOOKUP(D28,'FERC Interest Rate'!$A:$B,2,TRUE)</f>
        <v>3.2500000000000001E-2</v>
      </c>
      <c r="G28" s="167">
        <f>$C$21</f>
        <v>746385</v>
      </c>
      <c r="H28" s="167">
        <f t="shared" ref="H28:H34" si="1">G28*F28*(E28/(DATE(YEAR(D28),12,31)-DATE(YEAR(D28),1,1)+1))</f>
        <v>861.60563524590157</v>
      </c>
      <c r="I28" s="285">
        <v>0</v>
      </c>
      <c r="J28" s="286">
        <v>0</v>
      </c>
      <c r="K28" s="286">
        <f>+SUM(I28:J28)</f>
        <v>0</v>
      </c>
      <c r="L28" s="286">
        <v>0</v>
      </c>
      <c r="M28" s="287">
        <f>+SUM(K28:L28)</f>
        <v>0</v>
      </c>
      <c r="N28" s="286">
        <f>+G28+H28+J28</f>
        <v>747246.60563524591</v>
      </c>
      <c r="O28" s="167">
        <f t="shared" ref="O28:O54" si="2">G28+H28-L28-I28</f>
        <v>747246.60563524591</v>
      </c>
    </row>
    <row r="29" spans="1:15" x14ac:dyDescent="0.2">
      <c r="A29" s="312"/>
      <c r="B29" s="312"/>
      <c r="C29" s="282">
        <f>D28+1</f>
        <v>41091</v>
      </c>
      <c r="D29" s="282">
        <f>EOMONTH(D28,3)</f>
        <v>41182</v>
      </c>
      <c r="E29" s="283">
        <f t="shared" ref="E29:E47" si="3">D29-C29+1</f>
        <v>92</v>
      </c>
      <c r="F29" s="284">
        <f>VLOOKUP(D29,'FERC Interest Rate'!$A:$B,2,TRUE)</f>
        <v>3.2500000000000001E-2</v>
      </c>
      <c r="G29" s="167">
        <f t="shared" ref="G29:G37" si="4">O28</f>
        <v>747246.60563524591</v>
      </c>
      <c r="H29" s="167">
        <f t="shared" si="1"/>
        <v>6104.5556034136207</v>
      </c>
      <c r="I29" s="285">
        <v>0</v>
      </c>
      <c r="J29" s="286">
        <v>0</v>
      </c>
      <c r="K29" s="286">
        <f t="shared" ref="K29:K54" si="5">+SUM(I29:J29)</f>
        <v>0</v>
      </c>
      <c r="L29" s="286">
        <v>0</v>
      </c>
      <c r="M29" s="287">
        <f t="shared" ref="M29:M54" si="6">+SUM(K29:L29)</f>
        <v>0</v>
      </c>
      <c r="N29" s="286">
        <f t="shared" ref="N29:N54" si="7">+G29+H29+J29</f>
        <v>753351.16123865952</v>
      </c>
      <c r="O29" s="167">
        <f t="shared" si="2"/>
        <v>753351.16123865952</v>
      </c>
    </row>
    <row r="30" spans="1:15" x14ac:dyDescent="0.2">
      <c r="A30" s="295"/>
      <c r="B30" s="295"/>
      <c r="C30" s="282">
        <f t="shared" ref="C30:C52" si="8">D29+1</f>
        <v>41183</v>
      </c>
      <c r="D30" s="282">
        <f>EOMONTH(D29,3)</f>
        <v>41274</v>
      </c>
      <c r="E30" s="283">
        <f t="shared" si="3"/>
        <v>92</v>
      </c>
      <c r="F30" s="284">
        <f>VLOOKUP(D30,'FERC Interest Rate'!$A:$B,2,TRUE)</f>
        <v>3.2500000000000001E-2</v>
      </c>
      <c r="G30" s="167">
        <f t="shared" si="4"/>
        <v>753351.16123865952</v>
      </c>
      <c r="H30" s="167">
        <f t="shared" si="1"/>
        <v>6154.4261532885021</v>
      </c>
      <c r="I30" s="285">
        <v>0</v>
      </c>
      <c r="J30" s="286">
        <v>0</v>
      </c>
      <c r="K30" s="286">
        <f t="shared" si="5"/>
        <v>0</v>
      </c>
      <c r="L30" s="286">
        <v>0</v>
      </c>
      <c r="M30" s="287">
        <f t="shared" si="6"/>
        <v>0</v>
      </c>
      <c r="N30" s="286">
        <f t="shared" si="7"/>
        <v>759505.58739194798</v>
      </c>
      <c r="O30" s="167">
        <f t="shared" si="2"/>
        <v>759505.58739194798</v>
      </c>
    </row>
    <row r="31" spans="1:15" x14ac:dyDescent="0.2">
      <c r="A31" s="295"/>
      <c r="B31" s="295"/>
      <c r="C31" s="282">
        <f t="shared" si="8"/>
        <v>41275</v>
      </c>
      <c r="D31" s="282">
        <f t="shared" ref="D31:D47" si="9">EOMONTH(D30,3)</f>
        <v>41364</v>
      </c>
      <c r="E31" s="283">
        <f t="shared" si="3"/>
        <v>90</v>
      </c>
      <c r="F31" s="284">
        <f>VLOOKUP(D31,'FERC Interest Rate'!$A:$B,2,TRUE)</f>
        <v>3.2500000000000001E-2</v>
      </c>
      <c r="G31" s="167">
        <f t="shared" si="4"/>
        <v>759505.58739194798</v>
      </c>
      <c r="H31" s="167">
        <f t="shared" si="1"/>
        <v>6086.4488852642407</v>
      </c>
      <c r="I31" s="285">
        <v>0</v>
      </c>
      <c r="J31" s="286">
        <v>0</v>
      </c>
      <c r="K31" s="286">
        <f t="shared" si="5"/>
        <v>0</v>
      </c>
      <c r="L31" s="286">
        <v>0</v>
      </c>
      <c r="M31" s="287">
        <f t="shared" si="6"/>
        <v>0</v>
      </c>
      <c r="N31" s="286">
        <f t="shared" si="7"/>
        <v>765592.0362772122</v>
      </c>
      <c r="O31" s="167">
        <f t="shared" si="2"/>
        <v>765592.0362772122</v>
      </c>
    </row>
    <row r="32" spans="1:15" x14ac:dyDescent="0.2">
      <c r="A32" s="295"/>
      <c r="B32" s="295"/>
      <c r="C32" s="282">
        <f t="shared" si="8"/>
        <v>41365</v>
      </c>
      <c r="D32" s="282">
        <f t="shared" si="9"/>
        <v>41455</v>
      </c>
      <c r="E32" s="283">
        <f t="shared" si="3"/>
        <v>91</v>
      </c>
      <c r="F32" s="284">
        <f>VLOOKUP(D32,'FERC Interest Rate'!$A:$B,2,TRUE)</f>
        <v>3.2500000000000001E-2</v>
      </c>
      <c r="G32" s="167">
        <f t="shared" si="4"/>
        <v>765592.0362772122</v>
      </c>
      <c r="H32" s="167">
        <f t="shared" si="1"/>
        <v>6203.3930062735762</v>
      </c>
      <c r="I32" s="285">
        <v>0</v>
      </c>
      <c r="J32" s="286">
        <v>0</v>
      </c>
      <c r="K32" s="286">
        <f t="shared" si="5"/>
        <v>0</v>
      </c>
      <c r="L32" s="286">
        <v>0</v>
      </c>
      <c r="M32" s="287">
        <f t="shared" si="6"/>
        <v>0</v>
      </c>
      <c r="N32" s="286">
        <f t="shared" si="7"/>
        <v>771795.42928348575</v>
      </c>
      <c r="O32" s="167">
        <f t="shared" si="2"/>
        <v>771795.42928348575</v>
      </c>
    </row>
    <row r="33" spans="1:15" x14ac:dyDescent="0.2">
      <c r="A33" s="295"/>
      <c r="B33" s="295"/>
      <c r="C33" s="282">
        <f>D32+1</f>
        <v>41456</v>
      </c>
      <c r="D33" s="282">
        <f>EOMONTH(D32,3)</f>
        <v>41547</v>
      </c>
      <c r="E33" s="283">
        <f>D33-C33+1</f>
        <v>92</v>
      </c>
      <c r="F33" s="284">
        <f>VLOOKUP(D33,'FERC Interest Rate'!$A:$B,2,TRUE)</f>
        <v>3.2500000000000001E-2</v>
      </c>
      <c r="G33" s="167">
        <f t="shared" si="4"/>
        <v>771795.42928348575</v>
      </c>
      <c r="H33" s="167">
        <f t="shared" si="1"/>
        <v>6322.3789960482809</v>
      </c>
      <c r="I33" s="285">
        <v>0</v>
      </c>
      <c r="J33" s="286">
        <v>0</v>
      </c>
      <c r="K33" s="286">
        <f t="shared" si="5"/>
        <v>0</v>
      </c>
      <c r="L33" s="286">
        <v>0</v>
      </c>
      <c r="M33" s="287">
        <f t="shared" si="6"/>
        <v>0</v>
      </c>
      <c r="N33" s="286">
        <f t="shared" si="7"/>
        <v>778117.80827953399</v>
      </c>
      <c r="O33" s="167">
        <f t="shared" si="2"/>
        <v>778117.80827953399</v>
      </c>
    </row>
    <row r="34" spans="1:15" x14ac:dyDescent="0.2">
      <c r="A34" s="295"/>
      <c r="B34" s="295"/>
      <c r="C34" s="282">
        <f t="shared" si="8"/>
        <v>41548</v>
      </c>
      <c r="D34" s="282">
        <f t="shared" si="9"/>
        <v>41639</v>
      </c>
      <c r="E34" s="283">
        <f t="shared" si="3"/>
        <v>92</v>
      </c>
      <c r="F34" s="284">
        <f>VLOOKUP(D34,'FERC Interest Rate'!$A:$B,2,TRUE)</f>
        <v>3.2500000000000001E-2</v>
      </c>
      <c r="G34" s="167">
        <f t="shared" si="4"/>
        <v>778117.80827953399</v>
      </c>
      <c r="H34" s="167">
        <f t="shared" si="1"/>
        <v>6374.170539057005</v>
      </c>
      <c r="I34" s="285">
        <v>0</v>
      </c>
      <c r="J34" s="286">
        <v>0</v>
      </c>
      <c r="K34" s="286">
        <f t="shared" si="5"/>
        <v>0</v>
      </c>
      <c r="L34" s="286">
        <v>0</v>
      </c>
      <c r="M34" s="287">
        <f t="shared" si="6"/>
        <v>0</v>
      </c>
      <c r="N34" s="286">
        <f t="shared" si="7"/>
        <v>784491.97881859099</v>
      </c>
      <c r="O34" s="167">
        <f t="shared" si="2"/>
        <v>784491.97881859099</v>
      </c>
    </row>
    <row r="35" spans="1:15" x14ac:dyDescent="0.2">
      <c r="A35" s="96" t="s">
        <v>54</v>
      </c>
      <c r="B35" s="81" t="str">
        <f t="shared" ref="B35:B54" si="10">+IF(MONTH(C35)&lt;4,"Q1",IF(MONTH(C35)&lt;7,"Q2",IF(MONTH(C35)&lt;10,"Q3","Q4")))&amp;"/"&amp;YEAR(C35)</f>
        <v>Q1/2014</v>
      </c>
      <c r="C35" s="82">
        <f t="shared" si="8"/>
        <v>41640</v>
      </c>
      <c r="D35" s="82">
        <f t="shared" si="9"/>
        <v>41729</v>
      </c>
      <c r="E35" s="81">
        <f t="shared" si="3"/>
        <v>90</v>
      </c>
      <c r="F35" s="83">
        <f>VLOOKUP(D35,'FERC Interest Rate'!$A:$B,2,TRUE)</f>
        <v>3.2500000000000001E-2</v>
      </c>
      <c r="G35" s="84">
        <f t="shared" si="4"/>
        <v>784491.97881859099</v>
      </c>
      <c r="H35" s="84">
        <v>0</v>
      </c>
      <c r="I35" s="109">
        <f t="shared" ref="I35:I54" si="11">SUM($H$28:$H$54)/20</f>
        <v>1905.3489409295566</v>
      </c>
      <c r="J35" s="85">
        <f>G35*F35*(E35/(DATE(YEAR(D35),12,31)-DATE(YEAR(D35),1,1)+1))</f>
        <v>6286.6822960119962</v>
      </c>
      <c r="K35" s="85">
        <f t="shared" si="5"/>
        <v>8192.0312369415533</v>
      </c>
      <c r="L35" s="85">
        <f t="shared" ref="L35:L54" si="12">$C$21/20</f>
        <v>37319.25</v>
      </c>
      <c r="M35" s="110">
        <f t="shared" si="6"/>
        <v>45511.281236941555</v>
      </c>
      <c r="N35" s="85">
        <f t="shared" si="7"/>
        <v>790778.66111460293</v>
      </c>
      <c r="O35" s="84">
        <f t="shared" si="2"/>
        <v>745267.37987766147</v>
      </c>
    </row>
    <row r="36" spans="1:15" x14ac:dyDescent="0.2">
      <c r="A36" s="96" t="s">
        <v>55</v>
      </c>
      <c r="B36" s="81" t="str">
        <f t="shared" si="10"/>
        <v>Q2/2014</v>
      </c>
      <c r="C36" s="82">
        <f t="shared" si="8"/>
        <v>41730</v>
      </c>
      <c r="D36" s="82">
        <v>41731</v>
      </c>
      <c r="E36" s="81">
        <f t="shared" si="3"/>
        <v>2</v>
      </c>
      <c r="F36" s="83">
        <f>VLOOKUP(D36,'FERC Interest Rate'!$A:$B,2,TRUE)</f>
        <v>3.2500000000000001E-2</v>
      </c>
      <c r="G36" s="84">
        <f t="shared" si="4"/>
        <v>745267.37987766147</v>
      </c>
      <c r="H36" s="84">
        <v>0</v>
      </c>
      <c r="I36" s="109">
        <f t="shared" si="11"/>
        <v>1905.3489409295566</v>
      </c>
      <c r="J36" s="85">
        <f>G36*F36*(E36/(DATE(YEAR(D36),12,31)-DATE(YEAR(D36),1,1)+1))</f>
        <v>132.71884847136437</v>
      </c>
      <c r="K36" s="129">
        <f t="shared" si="5"/>
        <v>2038.0677894009209</v>
      </c>
      <c r="L36" s="85">
        <f t="shared" si="12"/>
        <v>37319.25</v>
      </c>
      <c r="M36" s="130">
        <f t="shared" si="6"/>
        <v>39357.31778940092</v>
      </c>
      <c r="N36" s="8">
        <f t="shared" si="7"/>
        <v>745400.09872613288</v>
      </c>
      <c r="O36" s="84">
        <f t="shared" si="2"/>
        <v>706042.78093673196</v>
      </c>
    </row>
    <row r="37" spans="1:15" x14ac:dyDescent="0.2">
      <c r="A37" s="96" t="s">
        <v>56</v>
      </c>
      <c r="B37" s="81" t="str">
        <f t="shared" si="10"/>
        <v>Q2/2014</v>
      </c>
      <c r="C37" s="82">
        <f>D36+1</f>
        <v>41732</v>
      </c>
      <c r="D37" s="82">
        <v>41820</v>
      </c>
      <c r="E37" s="81">
        <f>D37-C37+1</f>
        <v>89</v>
      </c>
      <c r="F37" s="83">
        <f>VLOOKUP(D37,'FERC Interest Rate'!$A:$B,2,TRUE)</f>
        <v>3.2500000000000001E-2</v>
      </c>
      <c r="G37" s="84">
        <f t="shared" si="4"/>
        <v>706042.78093673196</v>
      </c>
      <c r="H37" s="84">
        <v>0</v>
      </c>
      <c r="I37" s="109">
        <f t="shared" si="11"/>
        <v>1905.3489409295566</v>
      </c>
      <c r="J37" s="85">
        <f>G37*F37*(E37/(DATE(YEAR(D37),12,31)-DATE(YEAR(D37),1,1)+1))</f>
        <v>5595.1472434506777</v>
      </c>
      <c r="K37" s="129">
        <f t="shared" si="5"/>
        <v>7500.4961843802339</v>
      </c>
      <c r="L37" s="85">
        <f t="shared" si="12"/>
        <v>37319.25</v>
      </c>
      <c r="M37" s="130">
        <f t="shared" si="6"/>
        <v>44819.74618438023</v>
      </c>
      <c r="N37" s="8">
        <f t="shared" si="7"/>
        <v>711637.92818018259</v>
      </c>
      <c r="O37" s="84">
        <f t="shared" si="2"/>
        <v>666818.18199580244</v>
      </c>
    </row>
    <row r="38" spans="1:15" x14ac:dyDescent="0.2">
      <c r="A38" s="96" t="s">
        <v>57</v>
      </c>
      <c r="B38" s="81" t="str">
        <f t="shared" si="10"/>
        <v>Q3/2014</v>
      </c>
      <c r="C38" s="82">
        <f>D37+1</f>
        <v>41821</v>
      </c>
      <c r="D38" s="82">
        <f>EOMONTH(D37,3)</f>
        <v>41912</v>
      </c>
      <c r="E38" s="81">
        <f t="shared" si="3"/>
        <v>92</v>
      </c>
      <c r="F38" s="83">
        <f>VLOOKUP(D38,'FERC Interest Rate'!$A:$B,2,TRUE)</f>
        <v>3.2500000000000001E-2</v>
      </c>
      <c r="G38" s="84">
        <f>O36</f>
        <v>706042.78093673196</v>
      </c>
      <c r="H38" s="84">
        <v>0</v>
      </c>
      <c r="I38" s="109">
        <f t="shared" si="11"/>
        <v>1905.3489409295566</v>
      </c>
      <c r="J38" s="85">
        <f t="shared" ref="J38:J47" si="13">G38*F38*(E38/(DATE(YEAR(D38),12,31)-DATE(YEAR(D38),1,1)+1))</f>
        <v>5783.7477123310382</v>
      </c>
      <c r="K38" s="129">
        <f t="shared" si="5"/>
        <v>7689.0966532605944</v>
      </c>
      <c r="L38" s="85">
        <f t="shared" si="12"/>
        <v>37319.25</v>
      </c>
      <c r="M38" s="130">
        <f t="shared" si="6"/>
        <v>45008.346653260596</v>
      </c>
      <c r="N38" s="8">
        <f t="shared" si="7"/>
        <v>711826.52864906297</v>
      </c>
      <c r="O38" s="84">
        <f t="shared" si="2"/>
        <v>666818.18199580244</v>
      </c>
    </row>
    <row r="39" spans="1:15" x14ac:dyDescent="0.2">
      <c r="A39" s="96" t="s">
        <v>58</v>
      </c>
      <c r="B39" s="81" t="str">
        <f t="shared" si="10"/>
        <v>Q4/2014</v>
      </c>
      <c r="C39" s="82">
        <f t="shared" si="8"/>
        <v>41913</v>
      </c>
      <c r="D39" s="82">
        <f t="shared" si="9"/>
        <v>42004</v>
      </c>
      <c r="E39" s="81">
        <f t="shared" si="3"/>
        <v>92</v>
      </c>
      <c r="F39" s="83">
        <f>VLOOKUP(D39,'FERC Interest Rate'!$A:$B,2,TRUE)</f>
        <v>3.2500000000000001E-2</v>
      </c>
      <c r="G39" s="84">
        <f t="shared" ref="G39:G54" si="14">O38</f>
        <v>666818.18199580244</v>
      </c>
      <c r="H39" s="84">
        <v>0</v>
      </c>
      <c r="I39" s="109">
        <f t="shared" si="11"/>
        <v>1905.3489409295566</v>
      </c>
      <c r="J39" s="85">
        <f t="shared" si="13"/>
        <v>5462.4283949793135</v>
      </c>
      <c r="K39" s="129">
        <f t="shared" si="5"/>
        <v>7367.7773359088696</v>
      </c>
      <c r="L39" s="85">
        <f t="shared" si="12"/>
        <v>37319.25</v>
      </c>
      <c r="M39" s="130">
        <f t="shared" si="6"/>
        <v>44687.027335908868</v>
      </c>
      <c r="N39" s="8">
        <f t="shared" si="7"/>
        <v>672280.61039078177</v>
      </c>
      <c r="O39" s="84">
        <f t="shared" si="2"/>
        <v>627593.58305487293</v>
      </c>
    </row>
    <row r="40" spans="1:15" x14ac:dyDescent="0.2">
      <c r="A40" s="96" t="s">
        <v>59</v>
      </c>
      <c r="B40" s="81" t="str">
        <f t="shared" si="10"/>
        <v>Q1/2015</v>
      </c>
      <c r="C40" s="82">
        <f t="shared" si="8"/>
        <v>42005</v>
      </c>
      <c r="D40" s="82">
        <f t="shared" si="9"/>
        <v>42094</v>
      </c>
      <c r="E40" s="81">
        <f t="shared" si="3"/>
        <v>90</v>
      </c>
      <c r="F40" s="83">
        <f>VLOOKUP(D40,'FERC Interest Rate'!$A:$B,2,TRUE)</f>
        <v>3.2500000000000001E-2</v>
      </c>
      <c r="G40" s="84">
        <f t="shared" si="14"/>
        <v>627593.58305487293</v>
      </c>
      <c r="H40" s="84">
        <v>0</v>
      </c>
      <c r="I40" s="109">
        <f t="shared" si="11"/>
        <v>1905.3489409295566</v>
      </c>
      <c r="J40" s="85">
        <f t="shared" si="13"/>
        <v>5029.345836809598</v>
      </c>
      <c r="K40" s="129">
        <f t="shared" si="5"/>
        <v>6934.6947777391542</v>
      </c>
      <c r="L40" s="85">
        <f t="shared" si="12"/>
        <v>37319.25</v>
      </c>
      <c r="M40" s="130">
        <f t="shared" si="6"/>
        <v>44253.944777739154</v>
      </c>
      <c r="N40" s="8">
        <f t="shared" si="7"/>
        <v>632622.92889168253</v>
      </c>
      <c r="O40" s="84">
        <f t="shared" si="2"/>
        <v>588368.98411394341</v>
      </c>
    </row>
    <row r="41" spans="1:15" x14ac:dyDescent="0.2">
      <c r="A41" s="96" t="s">
        <v>60</v>
      </c>
      <c r="B41" s="81" t="str">
        <f t="shared" si="10"/>
        <v>Q2/2015</v>
      </c>
      <c r="C41" s="82">
        <f t="shared" si="8"/>
        <v>42095</v>
      </c>
      <c r="D41" s="82">
        <f t="shared" si="9"/>
        <v>42185</v>
      </c>
      <c r="E41" s="81">
        <f t="shared" si="3"/>
        <v>91</v>
      </c>
      <c r="F41" s="83">
        <f>VLOOKUP(D41,'FERC Interest Rate'!$A:$B,2,TRUE)</f>
        <v>3.2500000000000001E-2</v>
      </c>
      <c r="G41" s="84">
        <f t="shared" si="14"/>
        <v>588368.98411394341</v>
      </c>
      <c r="H41" s="84">
        <v>0</v>
      </c>
      <c r="I41" s="109">
        <f t="shared" si="11"/>
        <v>1905.3489409295566</v>
      </c>
      <c r="J41" s="85">
        <f t="shared" si="13"/>
        <v>4767.4007411424327</v>
      </c>
      <c r="K41" s="129">
        <f t="shared" si="5"/>
        <v>6672.7496820719898</v>
      </c>
      <c r="L41" s="85">
        <f t="shared" si="12"/>
        <v>37319.25</v>
      </c>
      <c r="M41" s="130">
        <f t="shared" si="6"/>
        <v>43991.99968207199</v>
      </c>
      <c r="N41" s="8">
        <f t="shared" si="7"/>
        <v>593136.38485508587</v>
      </c>
      <c r="O41" s="84">
        <f t="shared" si="2"/>
        <v>549144.3851730139</v>
      </c>
    </row>
    <row r="42" spans="1:15" x14ac:dyDescent="0.2">
      <c r="A42" s="96" t="s">
        <v>61</v>
      </c>
      <c r="B42" s="81" t="str">
        <f t="shared" si="10"/>
        <v>Q3/2015</v>
      </c>
      <c r="C42" s="82">
        <f t="shared" si="8"/>
        <v>42186</v>
      </c>
      <c r="D42" s="82">
        <f t="shared" si="9"/>
        <v>42277</v>
      </c>
      <c r="E42" s="81">
        <f t="shared" si="3"/>
        <v>92</v>
      </c>
      <c r="F42" s="83">
        <f>VLOOKUP(D42,'FERC Interest Rate'!$A:$B,2,TRUE)</f>
        <v>3.2500000000000001E-2</v>
      </c>
      <c r="G42" s="84">
        <f t="shared" si="14"/>
        <v>549144.3851730139</v>
      </c>
      <c r="H42" s="84">
        <v>0</v>
      </c>
      <c r="I42" s="109">
        <f t="shared" si="11"/>
        <v>1905.3489409295566</v>
      </c>
      <c r="J42" s="85">
        <f t="shared" si="13"/>
        <v>4498.4704429241419</v>
      </c>
      <c r="K42" s="129">
        <f t="shared" si="5"/>
        <v>6403.819383853699</v>
      </c>
      <c r="L42" s="85">
        <f t="shared" si="12"/>
        <v>37319.25</v>
      </c>
      <c r="M42" s="130">
        <f t="shared" si="6"/>
        <v>43723.069383853697</v>
      </c>
      <c r="N42" s="8">
        <f t="shared" si="7"/>
        <v>553642.85561593808</v>
      </c>
      <c r="O42" s="84">
        <f t="shared" si="2"/>
        <v>509919.78623208433</v>
      </c>
    </row>
    <row r="43" spans="1:15" x14ac:dyDescent="0.2">
      <c r="A43" s="96" t="s">
        <v>62</v>
      </c>
      <c r="B43" s="81" t="str">
        <f t="shared" si="10"/>
        <v>Q4/2015</v>
      </c>
      <c r="C43" s="82">
        <f t="shared" si="8"/>
        <v>42278</v>
      </c>
      <c r="D43" s="82">
        <f t="shared" si="9"/>
        <v>42369</v>
      </c>
      <c r="E43" s="81">
        <f t="shared" si="3"/>
        <v>92</v>
      </c>
      <c r="F43" s="83">
        <f>VLOOKUP(D43,'FERC Interest Rate'!$A:$B,2,TRUE)</f>
        <v>3.2500000000000001E-2</v>
      </c>
      <c r="G43" s="84">
        <f t="shared" si="14"/>
        <v>509919.78623208433</v>
      </c>
      <c r="H43" s="84">
        <v>0</v>
      </c>
      <c r="I43" s="109">
        <f t="shared" si="11"/>
        <v>1905.3489409295566</v>
      </c>
      <c r="J43" s="85">
        <f t="shared" si="13"/>
        <v>4177.1511255724172</v>
      </c>
      <c r="K43" s="129">
        <f t="shared" si="5"/>
        <v>6082.5000665019743</v>
      </c>
      <c r="L43" s="85">
        <f t="shared" si="12"/>
        <v>37319.25</v>
      </c>
      <c r="M43" s="130">
        <f t="shared" si="6"/>
        <v>43401.750066501976</v>
      </c>
      <c r="N43" s="8">
        <f t="shared" si="7"/>
        <v>514096.93735765672</v>
      </c>
      <c r="O43" s="84">
        <f t="shared" si="2"/>
        <v>470695.18729115475</v>
      </c>
    </row>
    <row r="44" spans="1:15" x14ac:dyDescent="0.2">
      <c r="A44" s="96" t="s">
        <v>63</v>
      </c>
      <c r="B44" s="81" t="str">
        <f t="shared" si="10"/>
        <v>Q1/2016</v>
      </c>
      <c r="C44" s="82">
        <f t="shared" si="8"/>
        <v>42370</v>
      </c>
      <c r="D44" s="82">
        <f t="shared" si="9"/>
        <v>42460</v>
      </c>
      <c r="E44" s="81">
        <f t="shared" si="3"/>
        <v>91</v>
      </c>
      <c r="F44" s="83">
        <f>VLOOKUP(D44,'FERC Interest Rate'!$A:$B,2,TRUE)</f>
        <v>3.2500000000000001E-2</v>
      </c>
      <c r="G44" s="84">
        <f t="shared" si="14"/>
        <v>470695.18729115475</v>
      </c>
      <c r="H44" s="84">
        <v>0</v>
      </c>
      <c r="I44" s="109">
        <f t="shared" si="11"/>
        <v>1905.3489409295566</v>
      </c>
      <c r="J44" s="85">
        <f t="shared" si="13"/>
        <v>3803.500044845875</v>
      </c>
      <c r="K44" s="129">
        <f t="shared" si="5"/>
        <v>5708.8489857754321</v>
      </c>
      <c r="L44" s="85">
        <f t="shared" si="12"/>
        <v>37319.25</v>
      </c>
      <c r="M44" s="130">
        <f t="shared" si="6"/>
        <v>43028.098985775432</v>
      </c>
      <c r="N44" s="8">
        <f t="shared" si="7"/>
        <v>474498.68733600061</v>
      </c>
      <c r="O44" s="84">
        <f t="shared" si="2"/>
        <v>431470.58835022518</v>
      </c>
    </row>
    <row r="45" spans="1:15" x14ac:dyDescent="0.2">
      <c r="A45" s="96" t="s">
        <v>64</v>
      </c>
      <c r="B45" s="81" t="str">
        <f t="shared" si="10"/>
        <v>Q2/2016</v>
      </c>
      <c r="C45" s="82">
        <f t="shared" si="8"/>
        <v>42461</v>
      </c>
      <c r="D45" s="82">
        <f t="shared" si="9"/>
        <v>42551</v>
      </c>
      <c r="E45" s="81">
        <f t="shared" si="3"/>
        <v>91</v>
      </c>
      <c r="F45" s="83">
        <f>VLOOKUP(D45,'FERC Interest Rate'!$A:$B,2,TRUE)</f>
        <v>3.4599999999999999E-2</v>
      </c>
      <c r="G45" s="84">
        <f t="shared" si="14"/>
        <v>431470.58835022518</v>
      </c>
      <c r="H45" s="84">
        <v>0</v>
      </c>
      <c r="I45" s="109">
        <f t="shared" si="11"/>
        <v>1905.3489409295566</v>
      </c>
      <c r="J45" s="85">
        <f t="shared" si="13"/>
        <v>3711.8259412008715</v>
      </c>
      <c r="K45" s="129">
        <f t="shared" si="5"/>
        <v>5617.1748821304282</v>
      </c>
      <c r="L45" s="85">
        <f t="shared" si="12"/>
        <v>37319.25</v>
      </c>
      <c r="M45" s="130">
        <f t="shared" si="6"/>
        <v>42936.424882130428</v>
      </c>
      <c r="N45" s="8">
        <f t="shared" si="7"/>
        <v>435182.41429142607</v>
      </c>
      <c r="O45" s="84">
        <f t="shared" si="2"/>
        <v>392245.98940929561</v>
      </c>
    </row>
    <row r="46" spans="1:15" x14ac:dyDescent="0.2">
      <c r="A46" s="96" t="s">
        <v>65</v>
      </c>
      <c r="B46" s="81" t="str">
        <f t="shared" si="10"/>
        <v>Q3/2016</v>
      </c>
      <c r="C46" s="82">
        <f t="shared" si="8"/>
        <v>42552</v>
      </c>
      <c r="D46" s="82">
        <f t="shared" si="9"/>
        <v>42643</v>
      </c>
      <c r="E46" s="81">
        <f t="shared" si="3"/>
        <v>92</v>
      </c>
      <c r="F46" s="83">
        <f>VLOOKUP(D46,'FERC Interest Rate'!$A:$B,2,TRUE)</f>
        <v>3.5000000000000003E-2</v>
      </c>
      <c r="G46" s="84">
        <f t="shared" si="14"/>
        <v>392245.98940929561</v>
      </c>
      <c r="H46" s="84">
        <v>0</v>
      </c>
      <c r="I46" s="109">
        <f t="shared" si="11"/>
        <v>1905.3489409295566</v>
      </c>
      <c r="J46" s="85">
        <f t="shared" si="13"/>
        <v>3450.9073385189395</v>
      </c>
      <c r="K46" s="129">
        <f t="shared" si="5"/>
        <v>5356.2562794484966</v>
      </c>
      <c r="L46" s="85">
        <f t="shared" si="12"/>
        <v>37319.25</v>
      </c>
      <c r="M46" s="130">
        <f t="shared" si="6"/>
        <v>42675.506279448498</v>
      </c>
      <c r="N46" s="8">
        <f t="shared" si="7"/>
        <v>395696.89674781455</v>
      </c>
      <c r="O46" s="84">
        <f t="shared" si="2"/>
        <v>353021.39046836604</v>
      </c>
    </row>
    <row r="47" spans="1:15" x14ac:dyDescent="0.2">
      <c r="A47" s="96" t="s">
        <v>66</v>
      </c>
      <c r="B47" s="81" t="str">
        <f t="shared" si="10"/>
        <v>Q4/2016</v>
      </c>
      <c r="C47" s="82">
        <f t="shared" si="8"/>
        <v>42644</v>
      </c>
      <c r="D47" s="82">
        <f t="shared" si="9"/>
        <v>42735</v>
      </c>
      <c r="E47" s="81">
        <f t="shared" si="3"/>
        <v>92</v>
      </c>
      <c r="F47" s="83">
        <f>VLOOKUP(D47,'FERC Interest Rate'!$A:$B,2,TRUE)</f>
        <v>3.5000000000000003E-2</v>
      </c>
      <c r="G47" s="84">
        <f t="shared" si="14"/>
        <v>353021.39046836604</v>
      </c>
      <c r="H47" s="84">
        <v>0</v>
      </c>
      <c r="I47" s="109">
        <f t="shared" si="11"/>
        <v>1905.3489409295566</v>
      </c>
      <c r="J47" s="85">
        <f t="shared" si="13"/>
        <v>3105.8166046670458</v>
      </c>
      <c r="K47" s="129">
        <f t="shared" si="5"/>
        <v>5011.1655455966029</v>
      </c>
      <c r="L47" s="85">
        <f t="shared" si="12"/>
        <v>37319.25</v>
      </c>
      <c r="M47" s="130">
        <f t="shared" si="6"/>
        <v>42330.415545596603</v>
      </c>
      <c r="N47" s="8">
        <f t="shared" si="7"/>
        <v>356127.20707303309</v>
      </c>
      <c r="O47" s="84">
        <f t="shared" si="2"/>
        <v>313796.79152743646</v>
      </c>
    </row>
    <row r="48" spans="1:15" x14ac:dyDescent="0.2">
      <c r="A48" s="96" t="s">
        <v>67</v>
      </c>
      <c r="B48" s="81" t="str">
        <f t="shared" si="10"/>
        <v>Q1/2017</v>
      </c>
      <c r="C48" s="82">
        <f t="shared" si="8"/>
        <v>42736</v>
      </c>
      <c r="D48" s="82">
        <f t="shared" ref="D48:D54" si="15">EOMONTH(D47,3)</f>
        <v>42825</v>
      </c>
      <c r="E48" s="81">
        <f t="shared" ref="E48:E54" si="16">D48-C48+1</f>
        <v>90</v>
      </c>
      <c r="F48" s="83">
        <f>VLOOKUP(D48,'FERC Interest Rate'!$A:$B,2,TRUE)</f>
        <v>3.5000000000000003E-2</v>
      </c>
      <c r="G48" s="84">
        <f t="shared" si="14"/>
        <v>313796.79152743646</v>
      </c>
      <c r="H48" s="84">
        <v>0</v>
      </c>
      <c r="I48" s="109">
        <f t="shared" si="11"/>
        <v>1905.3489409295566</v>
      </c>
      <c r="J48" s="85">
        <f t="shared" ref="J48:J54" si="17">G48*F48*(E48/(DATE(YEAR(D48),12,31)-DATE(YEAR(D48),1,1)+1))</f>
        <v>2708.1092967436298</v>
      </c>
      <c r="K48" s="129">
        <f t="shared" si="5"/>
        <v>4613.4582376731869</v>
      </c>
      <c r="L48" s="85">
        <f t="shared" si="12"/>
        <v>37319.25</v>
      </c>
      <c r="M48" s="130">
        <f t="shared" si="6"/>
        <v>41932.708237673185</v>
      </c>
      <c r="N48" s="8">
        <f t="shared" si="7"/>
        <v>316504.90082418011</v>
      </c>
      <c r="O48" s="84">
        <f t="shared" si="2"/>
        <v>274572.19258650689</v>
      </c>
    </row>
    <row r="49" spans="1:15" x14ac:dyDescent="0.2">
      <c r="A49" s="96" t="s">
        <v>68</v>
      </c>
      <c r="B49" s="81" t="str">
        <f t="shared" si="10"/>
        <v>Q2/2017</v>
      </c>
      <c r="C49" s="82">
        <f t="shared" si="8"/>
        <v>42826</v>
      </c>
      <c r="D49" s="82">
        <f t="shared" si="15"/>
        <v>42916</v>
      </c>
      <c r="E49" s="81">
        <f t="shared" si="16"/>
        <v>91</v>
      </c>
      <c r="F49" s="83">
        <f>VLOOKUP(D49,'FERC Interest Rate'!$A:$B,2,TRUE)</f>
        <v>3.7100000000000001E-2</v>
      </c>
      <c r="G49" s="84">
        <f t="shared" si="14"/>
        <v>274572.19258650689</v>
      </c>
      <c r="H49" s="84">
        <v>0</v>
      </c>
      <c r="I49" s="109">
        <f t="shared" si="11"/>
        <v>1905.3489409295566</v>
      </c>
      <c r="J49" s="85">
        <f t="shared" si="17"/>
        <v>2539.6799435378248</v>
      </c>
      <c r="K49" s="129">
        <f t="shared" si="5"/>
        <v>4445.0288844673814</v>
      </c>
      <c r="L49" s="85">
        <f t="shared" si="12"/>
        <v>37319.25</v>
      </c>
      <c r="M49" s="130">
        <f t="shared" si="6"/>
        <v>41764.278884467378</v>
      </c>
      <c r="N49" s="8">
        <f t="shared" si="7"/>
        <v>277111.8725300447</v>
      </c>
      <c r="O49" s="84">
        <f t="shared" si="2"/>
        <v>235347.59364557735</v>
      </c>
    </row>
    <row r="50" spans="1:15" x14ac:dyDescent="0.2">
      <c r="A50" s="96" t="s">
        <v>69</v>
      </c>
      <c r="B50" s="81" t="str">
        <f t="shared" si="10"/>
        <v>Q3/2017</v>
      </c>
      <c r="C50" s="82">
        <f t="shared" si="8"/>
        <v>42917</v>
      </c>
      <c r="D50" s="82">
        <f t="shared" si="15"/>
        <v>43008</v>
      </c>
      <c r="E50" s="81">
        <f t="shared" si="16"/>
        <v>92</v>
      </c>
      <c r="F50" s="83">
        <f>VLOOKUP(D50,'FERC Interest Rate'!$A:$B,2,TRUE)</f>
        <v>3.9600000000000003E-2</v>
      </c>
      <c r="G50" s="84">
        <f t="shared" si="14"/>
        <v>235347.59364557735</v>
      </c>
      <c r="H50" s="84">
        <v>0</v>
      </c>
      <c r="I50" s="109">
        <f t="shared" si="11"/>
        <v>1905.3489409295566</v>
      </c>
      <c r="J50" s="85">
        <f t="shared" si="17"/>
        <v>2349.0913785467606</v>
      </c>
      <c r="K50" s="129">
        <f t="shared" si="5"/>
        <v>4254.4403194763172</v>
      </c>
      <c r="L50" s="85">
        <f t="shared" si="12"/>
        <v>37319.25</v>
      </c>
      <c r="M50" s="130">
        <f t="shared" si="6"/>
        <v>41573.690319476314</v>
      </c>
      <c r="N50" s="8">
        <f t="shared" si="7"/>
        <v>237696.6850241241</v>
      </c>
      <c r="O50" s="84">
        <f t="shared" si="2"/>
        <v>196122.9947046478</v>
      </c>
    </row>
    <row r="51" spans="1:15" x14ac:dyDescent="0.2">
      <c r="A51" s="96" t="s">
        <v>70</v>
      </c>
      <c r="B51" s="81" t="str">
        <f t="shared" si="10"/>
        <v>Q4/2017</v>
      </c>
      <c r="C51" s="82">
        <f t="shared" si="8"/>
        <v>43009</v>
      </c>
      <c r="D51" s="82">
        <f t="shared" si="15"/>
        <v>43100</v>
      </c>
      <c r="E51" s="81">
        <f t="shared" si="16"/>
        <v>92</v>
      </c>
      <c r="F51" s="83">
        <f>VLOOKUP(D51,'FERC Interest Rate'!$A:$B,2,TRUE)</f>
        <v>4.2099999999999999E-2</v>
      </c>
      <c r="G51" s="84">
        <f t="shared" si="14"/>
        <v>196122.9947046478</v>
      </c>
      <c r="H51" s="84">
        <v>0</v>
      </c>
      <c r="I51" s="109">
        <f t="shared" si="11"/>
        <v>1905.3489409295566</v>
      </c>
      <c r="J51" s="85">
        <f t="shared" si="17"/>
        <v>2081.1605016165531</v>
      </c>
      <c r="K51" s="129">
        <f t="shared" si="5"/>
        <v>3986.5094425461098</v>
      </c>
      <c r="L51" s="85">
        <f t="shared" si="12"/>
        <v>37319.25</v>
      </c>
      <c r="M51" s="130">
        <f t="shared" si="6"/>
        <v>41305.759442546107</v>
      </c>
      <c r="N51" s="8">
        <f t="shared" si="7"/>
        <v>198204.15520626435</v>
      </c>
      <c r="O51" s="84">
        <f t="shared" si="2"/>
        <v>156898.39576371826</v>
      </c>
    </row>
    <row r="52" spans="1:15" x14ac:dyDescent="0.2">
      <c r="A52" s="96" t="s">
        <v>71</v>
      </c>
      <c r="B52" s="81" t="str">
        <f t="shared" si="10"/>
        <v>Q1/2018</v>
      </c>
      <c r="C52" s="82">
        <f t="shared" si="8"/>
        <v>43101</v>
      </c>
      <c r="D52" s="82">
        <f t="shared" si="15"/>
        <v>43190</v>
      </c>
      <c r="E52" s="81">
        <f t="shared" si="16"/>
        <v>90</v>
      </c>
      <c r="F52" s="83">
        <f>VLOOKUP(D52,'FERC Interest Rate'!$A:$B,2,TRUE)</f>
        <v>4.2500000000000003E-2</v>
      </c>
      <c r="G52" s="84">
        <f t="shared" si="14"/>
        <v>156898.39576371826</v>
      </c>
      <c r="H52" s="84">
        <v>0</v>
      </c>
      <c r="I52" s="109">
        <f t="shared" si="11"/>
        <v>1905.3489409295566</v>
      </c>
      <c r="J52" s="85">
        <f t="shared" si="17"/>
        <v>1644.2092158800613</v>
      </c>
      <c r="K52" s="129">
        <f t="shared" si="5"/>
        <v>3549.5581568096177</v>
      </c>
      <c r="L52" s="85">
        <f t="shared" si="12"/>
        <v>37319.25</v>
      </c>
      <c r="M52" s="130">
        <f t="shared" si="6"/>
        <v>40868.808156809617</v>
      </c>
      <c r="N52" s="8">
        <f t="shared" si="7"/>
        <v>158542.60497959831</v>
      </c>
      <c r="O52" s="84">
        <f t="shared" si="2"/>
        <v>117673.7968227887</v>
      </c>
    </row>
    <row r="53" spans="1:15" x14ac:dyDescent="0.2">
      <c r="A53" s="96" t="s">
        <v>72</v>
      </c>
      <c r="B53" s="81" t="str">
        <f t="shared" si="10"/>
        <v>Q2/2018</v>
      </c>
      <c r="C53" s="82">
        <f>D52+1</f>
        <v>43191</v>
      </c>
      <c r="D53" s="82">
        <f t="shared" si="15"/>
        <v>43281</v>
      </c>
      <c r="E53" s="81">
        <f t="shared" si="16"/>
        <v>91</v>
      </c>
      <c r="F53" s="83">
        <f>VLOOKUP(D53,'FERC Interest Rate'!$A:$B,2,TRUE)</f>
        <v>4.4699999999999997E-2</v>
      </c>
      <c r="G53" s="84">
        <f t="shared" si="14"/>
        <v>117673.7968227887</v>
      </c>
      <c r="H53" s="84">
        <v>0</v>
      </c>
      <c r="I53" s="109">
        <f t="shared" si="11"/>
        <v>1905.3489409295566</v>
      </c>
      <c r="J53" s="85">
        <f t="shared" si="17"/>
        <v>1311.401926948103</v>
      </c>
      <c r="K53" s="129">
        <f t="shared" si="5"/>
        <v>3216.7508678776594</v>
      </c>
      <c r="L53" s="85">
        <f t="shared" si="12"/>
        <v>37319.25</v>
      </c>
      <c r="M53" s="130">
        <f t="shared" si="6"/>
        <v>40536.000867877658</v>
      </c>
      <c r="N53" s="8">
        <f t="shared" si="7"/>
        <v>118985.19874973681</v>
      </c>
      <c r="O53" s="84">
        <f t="shared" si="2"/>
        <v>78449.197881859145</v>
      </c>
    </row>
    <row r="54" spans="1:15" x14ac:dyDescent="0.2">
      <c r="A54" s="96" t="s">
        <v>73</v>
      </c>
      <c r="B54" s="81" t="str">
        <f t="shared" si="10"/>
        <v>Q3/2018</v>
      </c>
      <c r="C54" s="82">
        <f>D53+1</f>
        <v>43282</v>
      </c>
      <c r="D54" s="82">
        <f t="shared" si="15"/>
        <v>43373</v>
      </c>
      <c r="E54" s="81">
        <f t="shared" si="16"/>
        <v>92</v>
      </c>
      <c r="F54" s="83">
        <f>VLOOKUP(D54,'FERC Interest Rate'!$A:$B,2,TRUE)</f>
        <v>5.011111E-2</v>
      </c>
      <c r="G54" s="84">
        <f t="shared" si="14"/>
        <v>78449.197881859145</v>
      </c>
      <c r="H54" s="84">
        <v>0</v>
      </c>
      <c r="I54" s="109">
        <f t="shared" si="11"/>
        <v>1905.3489409295566</v>
      </c>
      <c r="J54" s="85">
        <f t="shared" si="17"/>
        <v>990.87185581151834</v>
      </c>
      <c r="K54" s="129">
        <f t="shared" si="5"/>
        <v>2896.220796741075</v>
      </c>
      <c r="L54" s="85">
        <f t="shared" si="12"/>
        <v>37319.25</v>
      </c>
      <c r="M54" s="130">
        <f t="shared" si="6"/>
        <v>40215.470796741072</v>
      </c>
      <c r="N54" s="8">
        <f t="shared" si="7"/>
        <v>79440.069737670667</v>
      </c>
      <c r="O54" s="84">
        <f t="shared" si="2"/>
        <v>39224.598940929587</v>
      </c>
    </row>
    <row r="55" spans="1:15" x14ac:dyDescent="0.2">
      <c r="B55" s="81"/>
      <c r="C55" s="82"/>
      <c r="D55" s="82"/>
      <c r="E55" s="81"/>
      <c r="F55" s="83"/>
      <c r="G55" s="84"/>
      <c r="H55" s="84"/>
      <c r="I55" s="109"/>
      <c r="J55" s="85"/>
      <c r="K55" s="117"/>
      <c r="L55" s="85"/>
      <c r="M55" s="131"/>
      <c r="O55" s="84"/>
    </row>
    <row r="56" spans="1:15" ht="13.5" thickBot="1" x14ac:dyDescent="0.25">
      <c r="A56" s="151"/>
      <c r="B56" s="152"/>
      <c r="C56" s="155"/>
      <c r="D56" s="155"/>
      <c r="E56" s="154"/>
      <c r="F56" s="152"/>
      <c r="G56" s="140">
        <f>+SUM(G28:G55)</f>
        <v>14225977.587697092</v>
      </c>
      <c r="H56" s="140">
        <f t="shared" ref="H56:O56" si="18">+SUM(H28:H55)</f>
        <v>38106.978818591131</v>
      </c>
      <c r="I56" s="141">
        <f t="shared" si="18"/>
        <v>38106.978818591146</v>
      </c>
      <c r="J56" s="140">
        <f t="shared" si="18"/>
        <v>69429.66669001017</v>
      </c>
      <c r="K56" s="140">
        <f t="shared" si="18"/>
        <v>107536.6455086013</v>
      </c>
      <c r="L56" s="140">
        <f t="shared" si="18"/>
        <v>746385</v>
      </c>
      <c r="M56" s="142">
        <f t="shared" si="18"/>
        <v>853921.64550860121</v>
      </c>
      <c r="N56" s="140">
        <f t="shared" si="18"/>
        <v>14333514.233205698</v>
      </c>
      <c r="O56" s="140">
        <f t="shared" si="18"/>
        <v>13479592.587697094</v>
      </c>
    </row>
    <row r="57" spans="1:15" ht="13.5" thickTop="1" x14ac:dyDescent="0.2">
      <c r="B57" s="117"/>
      <c r="C57" s="117"/>
      <c r="D57" s="117"/>
      <c r="E57" s="117"/>
      <c r="F57" s="117"/>
      <c r="G57" s="117"/>
      <c r="H57" s="117"/>
      <c r="I57" s="116"/>
      <c r="J57" s="117"/>
      <c r="K57" s="117"/>
      <c r="L57" s="117"/>
      <c r="M57" s="131"/>
      <c r="O57" s="117"/>
    </row>
    <row r="58" spans="1:15" ht="38.25" x14ac:dyDescent="0.2">
      <c r="A58" s="90" t="s">
        <v>53</v>
      </c>
      <c r="B58" s="90" t="s">
        <v>3</v>
      </c>
      <c r="C58" s="90" t="s">
        <v>4</v>
      </c>
      <c r="D58" s="90" t="s">
        <v>5</v>
      </c>
      <c r="E58" s="90" t="s">
        <v>6</v>
      </c>
      <c r="F58" s="90" t="s">
        <v>7</v>
      </c>
      <c r="G58" s="90" t="s">
        <v>93</v>
      </c>
      <c r="H58" s="90" t="s">
        <v>94</v>
      </c>
      <c r="I58" s="105" t="s">
        <v>95</v>
      </c>
      <c r="J58" s="106" t="s">
        <v>96</v>
      </c>
      <c r="K58" s="106" t="s">
        <v>97</v>
      </c>
      <c r="L58" s="106" t="s">
        <v>98</v>
      </c>
      <c r="M58" s="107" t="s">
        <v>99</v>
      </c>
      <c r="N58" s="90" t="s">
        <v>100</v>
      </c>
      <c r="O58" s="90" t="s">
        <v>101</v>
      </c>
    </row>
    <row r="59" spans="1:15" x14ac:dyDescent="0.2">
      <c r="B59" s="81"/>
      <c r="C59" s="82">
        <f>$B$2</f>
        <v>40940</v>
      </c>
      <c r="D59" s="82">
        <f>DATE(YEAR(C59),IF(MONTH(C59)&lt;=3,3,IF(MONTH(C59)&lt;=6,6,IF(MONTH(C59)&lt;=9,9,12))),IF(OR(MONTH(C59)&lt;=3,MONTH(C59)&gt;=10),31,30))</f>
        <v>40999</v>
      </c>
      <c r="E59" s="81">
        <f>D59-C59+1</f>
        <v>60</v>
      </c>
      <c r="F59" s="83">
        <f>VLOOKUP(D59,'FERC Interest Rate'!$A:$B,2,TRUE)</f>
        <v>3.2500000000000001E-2</v>
      </c>
      <c r="G59" s="84">
        <f>$E$2</f>
        <v>0</v>
      </c>
      <c r="H59" s="84">
        <f t="shared" ref="H59:H66" si="19">G59*F59*(E59/(DATE(YEAR(D59),12,31)-DATE(YEAR(D59),1,1)+1))</f>
        <v>0</v>
      </c>
      <c r="I59" s="109">
        <v>0</v>
      </c>
      <c r="J59" s="85">
        <v>0</v>
      </c>
      <c r="K59" s="129">
        <f t="shared" ref="K59:K86" si="20">+SUM(I59:J59)</f>
        <v>0</v>
      </c>
      <c r="L59" s="85">
        <v>0</v>
      </c>
      <c r="M59" s="130">
        <f t="shared" ref="M59:M86" si="21">+SUM(K59:L59)</f>
        <v>0</v>
      </c>
      <c r="N59" s="8">
        <f t="shared" ref="N59:N86" si="22">+G59+H59+J59</f>
        <v>0</v>
      </c>
      <c r="O59" s="84">
        <f t="shared" ref="O59:O86" si="23">G59+H59-L59-I59</f>
        <v>0</v>
      </c>
    </row>
    <row r="60" spans="1:15" x14ac:dyDescent="0.2">
      <c r="B60" s="81"/>
      <c r="C60" s="82">
        <f>D59+1</f>
        <v>41000</v>
      </c>
      <c r="D60" s="82">
        <f>EOMONTH(D59,3)</f>
        <v>41090</v>
      </c>
      <c r="E60" s="81">
        <f t="shared" ref="E60:E86" si="24">D60-C60+1</f>
        <v>91</v>
      </c>
      <c r="F60" s="83">
        <f>VLOOKUP(D60,'FERC Interest Rate'!$A:$B,2,TRUE)</f>
        <v>3.2500000000000001E-2</v>
      </c>
      <c r="G60" s="84">
        <f t="shared" ref="G60:G86" si="25">O59</f>
        <v>0</v>
      </c>
      <c r="H60" s="84">
        <f t="shared" si="19"/>
        <v>0</v>
      </c>
      <c r="I60" s="109">
        <v>0</v>
      </c>
      <c r="J60" s="85">
        <v>0</v>
      </c>
      <c r="K60" s="129">
        <f t="shared" si="20"/>
        <v>0</v>
      </c>
      <c r="L60" s="85">
        <v>0</v>
      </c>
      <c r="M60" s="130">
        <f t="shared" si="21"/>
        <v>0</v>
      </c>
      <c r="N60" s="8">
        <f t="shared" si="22"/>
        <v>0</v>
      </c>
      <c r="O60" s="84">
        <f t="shared" si="23"/>
        <v>0</v>
      </c>
    </row>
    <row r="61" spans="1:15" x14ac:dyDescent="0.2">
      <c r="B61" s="81"/>
      <c r="C61" s="82">
        <f t="shared" ref="C61:C86" si="26">D60+1</f>
        <v>41091</v>
      </c>
      <c r="D61" s="82">
        <f t="shared" ref="D61:D86" si="27">EOMONTH(D60,3)</f>
        <v>41182</v>
      </c>
      <c r="E61" s="81">
        <f t="shared" si="24"/>
        <v>92</v>
      </c>
      <c r="F61" s="83">
        <f>VLOOKUP(D61,'FERC Interest Rate'!$A:$B,2,TRUE)</f>
        <v>3.2500000000000001E-2</v>
      </c>
      <c r="G61" s="84">
        <f t="shared" si="25"/>
        <v>0</v>
      </c>
      <c r="H61" s="84">
        <f t="shared" si="19"/>
        <v>0</v>
      </c>
      <c r="I61" s="109">
        <v>0</v>
      </c>
      <c r="J61" s="85">
        <v>0</v>
      </c>
      <c r="K61" s="129">
        <f t="shared" si="20"/>
        <v>0</v>
      </c>
      <c r="L61" s="85">
        <v>0</v>
      </c>
      <c r="M61" s="130">
        <f t="shared" si="21"/>
        <v>0</v>
      </c>
      <c r="N61" s="8">
        <f t="shared" si="22"/>
        <v>0</v>
      </c>
      <c r="O61" s="84">
        <f t="shared" si="23"/>
        <v>0</v>
      </c>
    </row>
    <row r="62" spans="1:15" x14ac:dyDescent="0.2">
      <c r="B62" s="81"/>
      <c r="C62" s="82">
        <f t="shared" si="26"/>
        <v>41183</v>
      </c>
      <c r="D62" s="82">
        <f t="shared" si="27"/>
        <v>41274</v>
      </c>
      <c r="E62" s="81">
        <f t="shared" si="24"/>
        <v>92</v>
      </c>
      <c r="F62" s="83">
        <f>VLOOKUP(D62,'FERC Interest Rate'!$A:$B,2,TRUE)</f>
        <v>3.2500000000000001E-2</v>
      </c>
      <c r="G62" s="84">
        <f t="shared" si="25"/>
        <v>0</v>
      </c>
      <c r="H62" s="84">
        <f t="shared" si="19"/>
        <v>0</v>
      </c>
      <c r="I62" s="109">
        <v>0</v>
      </c>
      <c r="J62" s="85">
        <v>0</v>
      </c>
      <c r="K62" s="129">
        <f t="shared" si="20"/>
        <v>0</v>
      </c>
      <c r="L62" s="85">
        <v>0</v>
      </c>
      <c r="M62" s="130">
        <f t="shared" si="21"/>
        <v>0</v>
      </c>
      <c r="N62" s="8">
        <f t="shared" si="22"/>
        <v>0</v>
      </c>
      <c r="O62" s="84">
        <f t="shared" si="23"/>
        <v>0</v>
      </c>
    </row>
    <row r="63" spans="1:15" x14ac:dyDescent="0.2">
      <c r="B63" s="81"/>
      <c r="C63" s="82">
        <f t="shared" si="26"/>
        <v>41275</v>
      </c>
      <c r="D63" s="82">
        <f t="shared" si="27"/>
        <v>41364</v>
      </c>
      <c r="E63" s="81">
        <f t="shared" si="24"/>
        <v>90</v>
      </c>
      <c r="F63" s="83">
        <f>VLOOKUP(D63,'FERC Interest Rate'!$A:$B,2,TRUE)</f>
        <v>3.2500000000000001E-2</v>
      </c>
      <c r="G63" s="84">
        <f t="shared" si="25"/>
        <v>0</v>
      </c>
      <c r="H63" s="84">
        <f t="shared" si="19"/>
        <v>0</v>
      </c>
      <c r="I63" s="109">
        <v>0</v>
      </c>
      <c r="J63" s="85">
        <v>0</v>
      </c>
      <c r="K63" s="129">
        <f t="shared" si="20"/>
        <v>0</v>
      </c>
      <c r="L63" s="85">
        <v>0</v>
      </c>
      <c r="M63" s="130">
        <f t="shared" si="21"/>
        <v>0</v>
      </c>
      <c r="N63" s="8">
        <f t="shared" si="22"/>
        <v>0</v>
      </c>
      <c r="O63" s="84">
        <f t="shared" si="23"/>
        <v>0</v>
      </c>
    </row>
    <row r="64" spans="1:15" x14ac:dyDescent="0.2">
      <c r="B64" s="81"/>
      <c r="C64" s="82">
        <f t="shared" si="26"/>
        <v>41365</v>
      </c>
      <c r="D64" s="82">
        <f t="shared" si="27"/>
        <v>41455</v>
      </c>
      <c r="E64" s="81">
        <f t="shared" si="24"/>
        <v>91</v>
      </c>
      <c r="F64" s="83">
        <f>VLOOKUP(D64,'FERC Interest Rate'!$A:$B,2,TRUE)</f>
        <v>3.2500000000000001E-2</v>
      </c>
      <c r="G64" s="84">
        <f t="shared" si="25"/>
        <v>0</v>
      </c>
      <c r="H64" s="84">
        <f t="shared" si="19"/>
        <v>0</v>
      </c>
      <c r="I64" s="109">
        <v>0</v>
      </c>
      <c r="J64" s="85">
        <v>0</v>
      </c>
      <c r="K64" s="129">
        <f t="shared" si="20"/>
        <v>0</v>
      </c>
      <c r="L64" s="85">
        <v>0</v>
      </c>
      <c r="M64" s="130">
        <f t="shared" si="21"/>
        <v>0</v>
      </c>
      <c r="N64" s="8">
        <f t="shared" si="22"/>
        <v>0</v>
      </c>
      <c r="O64" s="84">
        <f t="shared" si="23"/>
        <v>0</v>
      </c>
    </row>
    <row r="65" spans="2:15" x14ac:dyDescent="0.2">
      <c r="B65" s="81"/>
      <c r="C65" s="82">
        <f t="shared" si="26"/>
        <v>41456</v>
      </c>
      <c r="D65" s="82">
        <f t="shared" si="27"/>
        <v>41547</v>
      </c>
      <c r="E65" s="81">
        <f t="shared" si="24"/>
        <v>92</v>
      </c>
      <c r="F65" s="83">
        <f>VLOOKUP(D65,'FERC Interest Rate'!$A:$B,2,TRUE)</f>
        <v>3.2500000000000001E-2</v>
      </c>
      <c r="G65" s="84">
        <f t="shared" si="25"/>
        <v>0</v>
      </c>
      <c r="H65" s="84">
        <f t="shared" si="19"/>
        <v>0</v>
      </c>
      <c r="I65" s="109">
        <v>0</v>
      </c>
      <c r="J65" s="85">
        <v>0</v>
      </c>
      <c r="K65" s="129">
        <f t="shared" si="20"/>
        <v>0</v>
      </c>
      <c r="L65" s="85">
        <v>0</v>
      </c>
      <c r="M65" s="130">
        <f t="shared" si="21"/>
        <v>0</v>
      </c>
      <c r="N65" s="8">
        <f t="shared" si="22"/>
        <v>0</v>
      </c>
      <c r="O65" s="84">
        <f t="shared" si="23"/>
        <v>0</v>
      </c>
    </row>
    <row r="66" spans="2:15" x14ac:dyDescent="0.2">
      <c r="B66" s="81"/>
      <c r="C66" s="82">
        <f t="shared" si="26"/>
        <v>41548</v>
      </c>
      <c r="D66" s="82">
        <f t="shared" si="27"/>
        <v>41639</v>
      </c>
      <c r="E66" s="81">
        <f t="shared" si="24"/>
        <v>92</v>
      </c>
      <c r="F66" s="83">
        <f>VLOOKUP(D66,'FERC Interest Rate'!$A:$B,2,TRUE)</f>
        <v>3.2500000000000001E-2</v>
      </c>
      <c r="G66" s="84">
        <f t="shared" si="25"/>
        <v>0</v>
      </c>
      <c r="H66" s="84">
        <f t="shared" si="19"/>
        <v>0</v>
      </c>
      <c r="I66" s="109">
        <v>0</v>
      </c>
      <c r="J66" s="85">
        <v>0</v>
      </c>
      <c r="K66" s="129">
        <f t="shared" si="20"/>
        <v>0</v>
      </c>
      <c r="L66" s="85">
        <v>0</v>
      </c>
      <c r="M66" s="130">
        <f t="shared" si="21"/>
        <v>0</v>
      </c>
      <c r="N66" s="8">
        <f t="shared" si="22"/>
        <v>0</v>
      </c>
      <c r="O66" s="84">
        <f t="shared" si="23"/>
        <v>0</v>
      </c>
    </row>
    <row r="67" spans="2:15" x14ac:dyDescent="0.2">
      <c r="B67" s="81"/>
      <c r="C67" s="82">
        <f t="shared" si="26"/>
        <v>41640</v>
      </c>
      <c r="D67" s="82">
        <f t="shared" si="27"/>
        <v>41729</v>
      </c>
      <c r="E67" s="81">
        <f t="shared" si="24"/>
        <v>90</v>
      </c>
      <c r="F67" s="83">
        <f>VLOOKUP(D67,'FERC Interest Rate'!$A:$B,2,TRUE)</f>
        <v>3.2500000000000001E-2</v>
      </c>
      <c r="G67" s="84">
        <f t="shared" si="25"/>
        <v>0</v>
      </c>
      <c r="H67" s="84">
        <v>0</v>
      </c>
      <c r="I67" s="109">
        <f t="shared" ref="I67:I86" si="28">SUM($I$87:$I$87)/20</f>
        <v>0</v>
      </c>
      <c r="J67" s="85">
        <f>G67*F67*(E67/(DATE(YEAR(D67),12,31)-DATE(YEAR(D67),1,1)+1))</f>
        <v>0</v>
      </c>
      <c r="K67" s="129">
        <f t="shared" si="20"/>
        <v>0</v>
      </c>
      <c r="L67" s="85">
        <f t="shared" ref="L67:L86" si="29">$G$59/20</f>
        <v>0</v>
      </c>
      <c r="M67" s="130">
        <f t="shared" si="21"/>
        <v>0</v>
      </c>
      <c r="N67" s="8">
        <f t="shared" si="22"/>
        <v>0</v>
      </c>
      <c r="O67" s="84">
        <f t="shared" si="23"/>
        <v>0</v>
      </c>
    </row>
    <row r="68" spans="2:15" x14ac:dyDescent="0.2">
      <c r="B68" s="81"/>
      <c r="C68" s="82">
        <f t="shared" si="26"/>
        <v>41730</v>
      </c>
      <c r="D68" s="82">
        <f t="shared" si="27"/>
        <v>41820</v>
      </c>
      <c r="E68" s="81">
        <f t="shared" si="24"/>
        <v>91</v>
      </c>
      <c r="F68" s="83">
        <f>VLOOKUP(D68,'FERC Interest Rate'!$A:$B,2,TRUE)</f>
        <v>3.2500000000000001E-2</v>
      </c>
      <c r="G68" s="84">
        <f t="shared" si="25"/>
        <v>0</v>
      </c>
      <c r="H68" s="84">
        <v>0</v>
      </c>
      <c r="I68" s="109">
        <f t="shared" si="28"/>
        <v>0</v>
      </c>
      <c r="J68" s="85">
        <f>G68*F68*(E68/(DATE(YEAR(D68),12,31)-DATE(YEAR(D68),1,1)+1))</f>
        <v>0</v>
      </c>
      <c r="K68" s="129">
        <f t="shared" si="20"/>
        <v>0</v>
      </c>
      <c r="L68" s="85">
        <f t="shared" si="29"/>
        <v>0</v>
      </c>
      <c r="M68" s="130">
        <f t="shared" si="21"/>
        <v>0</v>
      </c>
      <c r="N68" s="8">
        <f t="shared" si="22"/>
        <v>0</v>
      </c>
      <c r="O68" s="84">
        <f t="shared" si="23"/>
        <v>0</v>
      </c>
    </row>
    <row r="69" spans="2:15" x14ac:dyDescent="0.2">
      <c r="B69" s="81"/>
      <c r="C69" s="82">
        <f t="shared" si="26"/>
        <v>41821</v>
      </c>
      <c r="D69" s="82">
        <f t="shared" si="27"/>
        <v>41912</v>
      </c>
      <c r="E69" s="81">
        <f t="shared" si="24"/>
        <v>92</v>
      </c>
      <c r="F69" s="83">
        <f>VLOOKUP(D69,'FERC Interest Rate'!$A:$B,2,TRUE)</f>
        <v>3.2500000000000001E-2</v>
      </c>
      <c r="G69" s="84">
        <f t="shared" si="25"/>
        <v>0</v>
      </c>
      <c r="H69" s="84">
        <v>0</v>
      </c>
      <c r="I69" s="109">
        <f t="shared" si="28"/>
        <v>0</v>
      </c>
      <c r="J69" s="85">
        <f>G69*F69*(E69/(DATE(YEAR(D69),12,31)-DATE(YEAR(D69),1,1)+1))</f>
        <v>0</v>
      </c>
      <c r="K69" s="129">
        <f t="shared" si="20"/>
        <v>0</v>
      </c>
      <c r="L69" s="85">
        <f t="shared" si="29"/>
        <v>0</v>
      </c>
      <c r="M69" s="130">
        <f t="shared" si="21"/>
        <v>0</v>
      </c>
      <c r="N69" s="8">
        <f t="shared" si="22"/>
        <v>0</v>
      </c>
      <c r="O69" s="84">
        <f t="shared" si="23"/>
        <v>0</v>
      </c>
    </row>
    <row r="70" spans="2:15" x14ac:dyDescent="0.2">
      <c r="B70" s="81"/>
      <c r="C70" s="82">
        <f t="shared" si="26"/>
        <v>41913</v>
      </c>
      <c r="D70" s="82">
        <f t="shared" si="27"/>
        <v>42004</v>
      </c>
      <c r="E70" s="81">
        <f t="shared" si="24"/>
        <v>92</v>
      </c>
      <c r="F70" s="83">
        <f>VLOOKUP(D70,'FERC Interest Rate'!$A:$B,2,TRUE)</f>
        <v>3.2500000000000001E-2</v>
      </c>
      <c r="G70" s="84">
        <f t="shared" si="25"/>
        <v>0</v>
      </c>
      <c r="H70" s="84">
        <v>0</v>
      </c>
      <c r="I70" s="109">
        <f t="shared" si="28"/>
        <v>0</v>
      </c>
      <c r="J70" s="85">
        <f>G70*F70*(E70/(DATE(YEAR(D70),12,31)-DATE(YEAR(D70),1,1)+1))</f>
        <v>0</v>
      </c>
      <c r="K70" s="129">
        <f t="shared" si="20"/>
        <v>0</v>
      </c>
      <c r="L70" s="85">
        <f t="shared" si="29"/>
        <v>0</v>
      </c>
      <c r="M70" s="130">
        <f t="shared" si="21"/>
        <v>0</v>
      </c>
      <c r="N70" s="8">
        <f t="shared" si="22"/>
        <v>0</v>
      </c>
      <c r="O70" s="84">
        <f t="shared" si="23"/>
        <v>0</v>
      </c>
    </row>
    <row r="71" spans="2:15" x14ac:dyDescent="0.2">
      <c r="B71" s="81"/>
      <c r="C71" s="82">
        <f t="shared" si="26"/>
        <v>42005</v>
      </c>
      <c r="D71" s="82">
        <f t="shared" si="27"/>
        <v>42094</v>
      </c>
      <c r="E71" s="81">
        <f t="shared" si="24"/>
        <v>90</v>
      </c>
      <c r="F71" s="83">
        <f>VLOOKUP(D71,'FERC Interest Rate'!$A:$B,2,TRUE)</f>
        <v>3.2500000000000001E-2</v>
      </c>
      <c r="G71" s="84">
        <f t="shared" si="25"/>
        <v>0</v>
      </c>
      <c r="H71" s="84">
        <v>0</v>
      </c>
      <c r="I71" s="109">
        <f t="shared" si="28"/>
        <v>0</v>
      </c>
      <c r="J71" s="85">
        <f>G71*F71*(E71/(DATE(YEAR(D71),12,31)-DATE(YEAR(D71),1,1)+1))</f>
        <v>0</v>
      </c>
      <c r="K71" s="129">
        <f t="shared" si="20"/>
        <v>0</v>
      </c>
      <c r="L71" s="85">
        <f t="shared" si="29"/>
        <v>0</v>
      </c>
      <c r="M71" s="130">
        <f t="shared" si="21"/>
        <v>0</v>
      </c>
      <c r="N71" s="8">
        <f t="shared" si="22"/>
        <v>0</v>
      </c>
      <c r="O71" s="84">
        <f t="shared" si="23"/>
        <v>0</v>
      </c>
    </row>
    <row r="72" spans="2:15" x14ac:dyDescent="0.2">
      <c r="B72" s="81"/>
      <c r="C72" s="82">
        <f t="shared" si="26"/>
        <v>42095</v>
      </c>
      <c r="D72" s="82">
        <f t="shared" si="27"/>
        <v>42185</v>
      </c>
      <c r="E72" s="81">
        <f t="shared" si="24"/>
        <v>91</v>
      </c>
      <c r="F72" s="83">
        <f>VLOOKUP(D72,'FERC Interest Rate'!$A:$B,2,TRUE)</f>
        <v>3.2500000000000001E-2</v>
      </c>
      <c r="G72" s="84">
        <f t="shared" si="25"/>
        <v>0</v>
      </c>
      <c r="H72" s="84">
        <v>0</v>
      </c>
      <c r="I72" s="109">
        <f t="shared" si="28"/>
        <v>0</v>
      </c>
      <c r="J72" s="85">
        <f t="shared" ref="J72:J78" si="30">G72*F72*(E72/(DATE(YEAR(D72),12,31)-DATE(YEAR(D72),1,1)+1))</f>
        <v>0</v>
      </c>
      <c r="K72" s="129">
        <f t="shared" si="20"/>
        <v>0</v>
      </c>
      <c r="L72" s="85">
        <f t="shared" si="29"/>
        <v>0</v>
      </c>
      <c r="M72" s="130">
        <f t="shared" si="21"/>
        <v>0</v>
      </c>
      <c r="N72" s="8">
        <f t="shared" si="22"/>
        <v>0</v>
      </c>
      <c r="O72" s="84">
        <f t="shared" si="23"/>
        <v>0</v>
      </c>
    </row>
    <row r="73" spans="2:15" x14ac:dyDescent="0.2">
      <c r="B73" s="81"/>
      <c r="C73" s="82">
        <f t="shared" si="26"/>
        <v>42186</v>
      </c>
      <c r="D73" s="82">
        <f t="shared" si="27"/>
        <v>42277</v>
      </c>
      <c r="E73" s="81">
        <f t="shared" si="24"/>
        <v>92</v>
      </c>
      <c r="F73" s="83">
        <f>VLOOKUP(D73,'FERC Interest Rate'!$A:$B,2,TRUE)</f>
        <v>3.2500000000000001E-2</v>
      </c>
      <c r="G73" s="84">
        <f t="shared" si="25"/>
        <v>0</v>
      </c>
      <c r="H73" s="84">
        <v>0</v>
      </c>
      <c r="I73" s="109">
        <f t="shared" si="28"/>
        <v>0</v>
      </c>
      <c r="J73" s="85">
        <f t="shared" si="30"/>
        <v>0</v>
      </c>
      <c r="K73" s="129">
        <f t="shared" si="20"/>
        <v>0</v>
      </c>
      <c r="L73" s="85">
        <f t="shared" si="29"/>
        <v>0</v>
      </c>
      <c r="M73" s="130">
        <f t="shared" si="21"/>
        <v>0</v>
      </c>
      <c r="N73" s="8">
        <f t="shared" si="22"/>
        <v>0</v>
      </c>
      <c r="O73" s="84">
        <f t="shared" si="23"/>
        <v>0</v>
      </c>
    </row>
    <row r="74" spans="2:15" x14ac:dyDescent="0.2">
      <c r="B74" s="81"/>
      <c r="C74" s="82">
        <f t="shared" si="26"/>
        <v>42278</v>
      </c>
      <c r="D74" s="82">
        <f t="shared" si="27"/>
        <v>42369</v>
      </c>
      <c r="E74" s="81">
        <f t="shared" si="24"/>
        <v>92</v>
      </c>
      <c r="F74" s="83">
        <f>VLOOKUP(D74,'FERC Interest Rate'!$A:$B,2,TRUE)</f>
        <v>3.2500000000000001E-2</v>
      </c>
      <c r="G74" s="84">
        <f t="shared" si="25"/>
        <v>0</v>
      </c>
      <c r="H74" s="84">
        <v>0</v>
      </c>
      <c r="I74" s="109">
        <f t="shared" si="28"/>
        <v>0</v>
      </c>
      <c r="J74" s="85">
        <f t="shared" si="30"/>
        <v>0</v>
      </c>
      <c r="K74" s="129">
        <f t="shared" si="20"/>
        <v>0</v>
      </c>
      <c r="L74" s="85">
        <f t="shared" si="29"/>
        <v>0</v>
      </c>
      <c r="M74" s="130">
        <f t="shared" si="21"/>
        <v>0</v>
      </c>
      <c r="N74" s="8">
        <f t="shared" si="22"/>
        <v>0</v>
      </c>
      <c r="O74" s="84">
        <f t="shared" si="23"/>
        <v>0</v>
      </c>
    </row>
    <row r="75" spans="2:15" x14ac:dyDescent="0.2">
      <c r="B75" s="81"/>
      <c r="C75" s="82">
        <f t="shared" si="26"/>
        <v>42370</v>
      </c>
      <c r="D75" s="82">
        <f t="shared" si="27"/>
        <v>42460</v>
      </c>
      <c r="E75" s="81">
        <f t="shared" si="24"/>
        <v>91</v>
      </c>
      <c r="F75" s="83">
        <f>VLOOKUP(D75,'FERC Interest Rate'!$A:$B,2,TRUE)</f>
        <v>3.2500000000000001E-2</v>
      </c>
      <c r="G75" s="84">
        <f t="shared" si="25"/>
        <v>0</v>
      </c>
      <c r="H75" s="84">
        <v>0</v>
      </c>
      <c r="I75" s="109">
        <f t="shared" si="28"/>
        <v>0</v>
      </c>
      <c r="J75" s="85">
        <f t="shared" si="30"/>
        <v>0</v>
      </c>
      <c r="K75" s="129">
        <f t="shared" si="20"/>
        <v>0</v>
      </c>
      <c r="L75" s="85">
        <f t="shared" si="29"/>
        <v>0</v>
      </c>
      <c r="M75" s="130">
        <f t="shared" si="21"/>
        <v>0</v>
      </c>
      <c r="N75" s="8">
        <f t="shared" si="22"/>
        <v>0</v>
      </c>
      <c r="O75" s="84">
        <f t="shared" si="23"/>
        <v>0</v>
      </c>
    </row>
    <row r="76" spans="2:15" x14ac:dyDescent="0.2">
      <c r="B76" s="81"/>
      <c r="C76" s="82">
        <f t="shared" si="26"/>
        <v>42461</v>
      </c>
      <c r="D76" s="82">
        <f t="shared" si="27"/>
        <v>42551</v>
      </c>
      <c r="E76" s="81">
        <f t="shared" si="24"/>
        <v>91</v>
      </c>
      <c r="F76" s="83">
        <f>VLOOKUP(D76,'FERC Interest Rate'!$A:$B,2,TRUE)</f>
        <v>3.4599999999999999E-2</v>
      </c>
      <c r="G76" s="84">
        <f t="shared" si="25"/>
        <v>0</v>
      </c>
      <c r="H76" s="84">
        <v>0</v>
      </c>
      <c r="I76" s="109">
        <f t="shared" si="28"/>
        <v>0</v>
      </c>
      <c r="J76" s="85">
        <f t="shared" si="30"/>
        <v>0</v>
      </c>
      <c r="K76" s="129">
        <f t="shared" si="20"/>
        <v>0</v>
      </c>
      <c r="L76" s="85">
        <f t="shared" si="29"/>
        <v>0</v>
      </c>
      <c r="M76" s="130">
        <f t="shared" si="21"/>
        <v>0</v>
      </c>
      <c r="N76" s="8">
        <f t="shared" si="22"/>
        <v>0</v>
      </c>
      <c r="O76" s="84">
        <f t="shared" si="23"/>
        <v>0</v>
      </c>
    </row>
    <row r="77" spans="2:15" x14ac:dyDescent="0.2">
      <c r="B77" s="81"/>
      <c r="C77" s="82">
        <f t="shared" si="26"/>
        <v>42552</v>
      </c>
      <c r="D77" s="82">
        <f t="shared" si="27"/>
        <v>42643</v>
      </c>
      <c r="E77" s="81">
        <f t="shared" si="24"/>
        <v>92</v>
      </c>
      <c r="F77" s="83">
        <f>VLOOKUP(D77,'FERC Interest Rate'!$A:$B,2,TRUE)</f>
        <v>3.5000000000000003E-2</v>
      </c>
      <c r="G77" s="84">
        <f t="shared" si="25"/>
        <v>0</v>
      </c>
      <c r="H77" s="84">
        <v>0</v>
      </c>
      <c r="I77" s="109">
        <f t="shared" si="28"/>
        <v>0</v>
      </c>
      <c r="J77" s="85">
        <f t="shared" si="30"/>
        <v>0</v>
      </c>
      <c r="K77" s="129">
        <f t="shared" si="20"/>
        <v>0</v>
      </c>
      <c r="L77" s="85">
        <f t="shared" si="29"/>
        <v>0</v>
      </c>
      <c r="M77" s="130">
        <f t="shared" si="21"/>
        <v>0</v>
      </c>
      <c r="N77" s="8">
        <f t="shared" si="22"/>
        <v>0</v>
      </c>
      <c r="O77" s="84">
        <f t="shared" si="23"/>
        <v>0</v>
      </c>
    </row>
    <row r="78" spans="2:15" x14ac:dyDescent="0.2">
      <c r="B78" s="81"/>
      <c r="C78" s="82">
        <f t="shared" si="26"/>
        <v>42644</v>
      </c>
      <c r="D78" s="82">
        <f t="shared" si="27"/>
        <v>42735</v>
      </c>
      <c r="E78" s="81">
        <f t="shared" si="24"/>
        <v>92</v>
      </c>
      <c r="F78" s="83">
        <f>VLOOKUP(D78,'FERC Interest Rate'!$A:$B,2,TRUE)</f>
        <v>3.5000000000000003E-2</v>
      </c>
      <c r="G78" s="84">
        <f t="shared" si="25"/>
        <v>0</v>
      </c>
      <c r="H78" s="84">
        <v>0</v>
      </c>
      <c r="I78" s="109">
        <f t="shared" si="28"/>
        <v>0</v>
      </c>
      <c r="J78" s="85">
        <f t="shared" si="30"/>
        <v>0</v>
      </c>
      <c r="K78" s="129">
        <f t="shared" si="20"/>
        <v>0</v>
      </c>
      <c r="L78" s="85">
        <f t="shared" si="29"/>
        <v>0</v>
      </c>
      <c r="M78" s="130">
        <f t="shared" si="21"/>
        <v>0</v>
      </c>
      <c r="N78" s="8">
        <f t="shared" si="22"/>
        <v>0</v>
      </c>
      <c r="O78" s="84">
        <f t="shared" si="23"/>
        <v>0</v>
      </c>
    </row>
    <row r="79" spans="2:15" x14ac:dyDescent="0.2">
      <c r="B79" s="81"/>
      <c r="C79" s="82">
        <f t="shared" si="26"/>
        <v>42736</v>
      </c>
      <c r="D79" s="82">
        <f t="shared" si="27"/>
        <v>42825</v>
      </c>
      <c r="E79" s="81">
        <f t="shared" si="24"/>
        <v>90</v>
      </c>
      <c r="F79" s="83">
        <f>VLOOKUP(D79,'FERC Interest Rate'!$A:$B,2,TRUE)</f>
        <v>3.5000000000000003E-2</v>
      </c>
      <c r="G79" s="84">
        <f t="shared" si="25"/>
        <v>0</v>
      </c>
      <c r="H79" s="84">
        <v>0</v>
      </c>
      <c r="I79" s="109">
        <f t="shared" si="28"/>
        <v>0</v>
      </c>
      <c r="J79" s="85">
        <f t="shared" ref="J79:J84" si="31">G79*F79*(E79/(DATE(YEAR(D79),12,31)-DATE(YEAR(D79),1,1)+1))</f>
        <v>0</v>
      </c>
      <c r="K79" s="129">
        <f t="shared" si="20"/>
        <v>0</v>
      </c>
      <c r="L79" s="85">
        <f t="shared" si="29"/>
        <v>0</v>
      </c>
      <c r="M79" s="130">
        <f t="shared" si="21"/>
        <v>0</v>
      </c>
      <c r="N79" s="8">
        <f t="shared" si="22"/>
        <v>0</v>
      </c>
      <c r="O79" s="84">
        <f t="shared" si="23"/>
        <v>0</v>
      </c>
    </row>
    <row r="80" spans="2:15" x14ac:dyDescent="0.2">
      <c r="B80" s="81"/>
      <c r="C80" s="82">
        <f t="shared" si="26"/>
        <v>42826</v>
      </c>
      <c r="D80" s="82">
        <f t="shared" si="27"/>
        <v>42916</v>
      </c>
      <c r="E80" s="81">
        <f t="shared" si="24"/>
        <v>91</v>
      </c>
      <c r="F80" s="83">
        <f>VLOOKUP(D80,'FERC Interest Rate'!$A:$B,2,TRUE)</f>
        <v>3.7100000000000001E-2</v>
      </c>
      <c r="G80" s="84">
        <f t="shared" si="25"/>
        <v>0</v>
      </c>
      <c r="H80" s="84">
        <v>0</v>
      </c>
      <c r="I80" s="109">
        <f t="shared" si="28"/>
        <v>0</v>
      </c>
      <c r="J80" s="85">
        <f t="shared" si="31"/>
        <v>0</v>
      </c>
      <c r="K80" s="129">
        <f t="shared" si="20"/>
        <v>0</v>
      </c>
      <c r="L80" s="85">
        <f t="shared" si="29"/>
        <v>0</v>
      </c>
      <c r="M80" s="130">
        <f t="shared" si="21"/>
        <v>0</v>
      </c>
      <c r="N80" s="8">
        <f t="shared" si="22"/>
        <v>0</v>
      </c>
      <c r="O80" s="84">
        <f t="shared" si="23"/>
        <v>0</v>
      </c>
    </row>
    <row r="81" spans="1:15" x14ac:dyDescent="0.2">
      <c r="B81" s="81"/>
      <c r="C81" s="82">
        <f t="shared" si="26"/>
        <v>42917</v>
      </c>
      <c r="D81" s="82">
        <f t="shared" si="27"/>
        <v>43008</v>
      </c>
      <c r="E81" s="81">
        <f t="shared" si="24"/>
        <v>92</v>
      </c>
      <c r="F81" s="83">
        <f>VLOOKUP(D81,'FERC Interest Rate'!$A:$B,2,TRUE)</f>
        <v>3.9600000000000003E-2</v>
      </c>
      <c r="G81" s="84">
        <f t="shared" si="25"/>
        <v>0</v>
      </c>
      <c r="H81" s="84">
        <v>0</v>
      </c>
      <c r="I81" s="109">
        <f t="shared" si="28"/>
        <v>0</v>
      </c>
      <c r="J81" s="85">
        <f t="shared" si="31"/>
        <v>0</v>
      </c>
      <c r="K81" s="129">
        <f t="shared" si="20"/>
        <v>0</v>
      </c>
      <c r="L81" s="85">
        <f t="shared" si="29"/>
        <v>0</v>
      </c>
      <c r="M81" s="130">
        <f t="shared" si="21"/>
        <v>0</v>
      </c>
      <c r="N81" s="8">
        <f t="shared" si="22"/>
        <v>0</v>
      </c>
      <c r="O81" s="84">
        <f t="shared" si="23"/>
        <v>0</v>
      </c>
    </row>
    <row r="82" spans="1:15" x14ac:dyDescent="0.2">
      <c r="B82" s="81"/>
      <c r="C82" s="82">
        <f t="shared" si="26"/>
        <v>43009</v>
      </c>
      <c r="D82" s="82">
        <f t="shared" si="27"/>
        <v>43100</v>
      </c>
      <c r="E82" s="81">
        <f t="shared" si="24"/>
        <v>92</v>
      </c>
      <c r="F82" s="83">
        <f>VLOOKUP(D82,'FERC Interest Rate'!$A:$B,2,TRUE)</f>
        <v>4.2099999999999999E-2</v>
      </c>
      <c r="G82" s="84">
        <f t="shared" si="25"/>
        <v>0</v>
      </c>
      <c r="H82" s="84">
        <v>0</v>
      </c>
      <c r="I82" s="109">
        <f t="shared" si="28"/>
        <v>0</v>
      </c>
      <c r="J82" s="85">
        <f t="shared" si="31"/>
        <v>0</v>
      </c>
      <c r="K82" s="129">
        <f t="shared" si="20"/>
        <v>0</v>
      </c>
      <c r="L82" s="85">
        <f t="shared" si="29"/>
        <v>0</v>
      </c>
      <c r="M82" s="130">
        <f t="shared" si="21"/>
        <v>0</v>
      </c>
      <c r="N82" s="8">
        <f t="shared" si="22"/>
        <v>0</v>
      </c>
      <c r="O82" s="84">
        <f t="shared" si="23"/>
        <v>0</v>
      </c>
    </row>
    <row r="83" spans="1:15" x14ac:dyDescent="0.2">
      <c r="B83" s="81"/>
      <c r="C83" s="82">
        <f t="shared" si="26"/>
        <v>43101</v>
      </c>
      <c r="D83" s="82">
        <f t="shared" si="27"/>
        <v>43190</v>
      </c>
      <c r="E83" s="81">
        <f t="shared" si="24"/>
        <v>90</v>
      </c>
      <c r="F83" s="83">
        <f>VLOOKUP(D83,'FERC Interest Rate'!$A:$B,2,TRUE)</f>
        <v>4.2500000000000003E-2</v>
      </c>
      <c r="G83" s="84">
        <f t="shared" si="25"/>
        <v>0</v>
      </c>
      <c r="H83" s="84">
        <v>0</v>
      </c>
      <c r="I83" s="109">
        <f t="shared" si="28"/>
        <v>0</v>
      </c>
      <c r="J83" s="85">
        <f t="shared" si="31"/>
        <v>0</v>
      </c>
      <c r="K83" s="129">
        <f t="shared" si="20"/>
        <v>0</v>
      </c>
      <c r="L83" s="85">
        <f t="shared" si="29"/>
        <v>0</v>
      </c>
      <c r="M83" s="130">
        <f t="shared" si="21"/>
        <v>0</v>
      </c>
      <c r="N83" s="8">
        <f t="shared" si="22"/>
        <v>0</v>
      </c>
      <c r="O83" s="84">
        <f t="shared" si="23"/>
        <v>0</v>
      </c>
    </row>
    <row r="84" spans="1:15" x14ac:dyDescent="0.2">
      <c r="B84" s="81"/>
      <c r="C84" s="82">
        <f t="shared" si="26"/>
        <v>43191</v>
      </c>
      <c r="D84" s="82">
        <f t="shared" si="27"/>
        <v>43281</v>
      </c>
      <c r="E84" s="81">
        <f t="shared" si="24"/>
        <v>91</v>
      </c>
      <c r="F84" s="83">
        <f>VLOOKUP(D84,'FERC Interest Rate'!$A:$B,2,TRUE)</f>
        <v>4.4699999999999997E-2</v>
      </c>
      <c r="G84" s="84">
        <f t="shared" si="25"/>
        <v>0</v>
      </c>
      <c r="H84" s="84">
        <v>0</v>
      </c>
      <c r="I84" s="109">
        <f t="shared" si="28"/>
        <v>0</v>
      </c>
      <c r="J84" s="85">
        <f t="shared" si="31"/>
        <v>0</v>
      </c>
      <c r="K84" s="129">
        <f t="shared" si="20"/>
        <v>0</v>
      </c>
      <c r="L84" s="85">
        <f t="shared" si="29"/>
        <v>0</v>
      </c>
      <c r="M84" s="130">
        <f t="shared" si="21"/>
        <v>0</v>
      </c>
      <c r="N84" s="8">
        <f t="shared" si="22"/>
        <v>0</v>
      </c>
      <c r="O84" s="84">
        <f t="shared" si="23"/>
        <v>0</v>
      </c>
    </row>
    <row r="85" spans="1:15" x14ac:dyDescent="0.2">
      <c r="B85" s="81"/>
      <c r="C85" s="82">
        <f t="shared" si="26"/>
        <v>43282</v>
      </c>
      <c r="D85" s="82">
        <f t="shared" si="27"/>
        <v>43373</v>
      </c>
      <c r="E85" s="81">
        <f t="shared" si="24"/>
        <v>92</v>
      </c>
      <c r="F85" s="83">
        <f>VLOOKUP(D85,'FERC Interest Rate'!$A:$B,2,TRUE)</f>
        <v>5.011111E-2</v>
      </c>
      <c r="G85" s="84">
        <f t="shared" si="25"/>
        <v>0</v>
      </c>
      <c r="H85" s="84">
        <v>0</v>
      </c>
      <c r="I85" s="109">
        <f t="shared" si="28"/>
        <v>0</v>
      </c>
      <c r="J85" s="85">
        <f>G85*F85*(E85/(DATE(YEAR(D85),12,31)-DATE(YEAR(D85),1,1)+1))</f>
        <v>0</v>
      </c>
      <c r="K85" s="129">
        <f t="shared" si="20"/>
        <v>0</v>
      </c>
      <c r="L85" s="85">
        <f t="shared" si="29"/>
        <v>0</v>
      </c>
      <c r="M85" s="130">
        <f t="shared" si="21"/>
        <v>0</v>
      </c>
      <c r="N85" s="8">
        <f t="shared" si="22"/>
        <v>0</v>
      </c>
      <c r="O85" s="84">
        <f t="shared" si="23"/>
        <v>0</v>
      </c>
    </row>
    <row r="86" spans="1:15" x14ac:dyDescent="0.2">
      <c r="B86" s="81"/>
      <c r="C86" s="82">
        <f t="shared" si="26"/>
        <v>43374</v>
      </c>
      <c r="D86" s="82">
        <f t="shared" si="27"/>
        <v>43465</v>
      </c>
      <c r="E86" s="81">
        <f t="shared" si="24"/>
        <v>92</v>
      </c>
      <c r="F86" s="83">
        <f>VLOOKUP(D86,'FERC Interest Rate'!$A:$B,2,TRUE)</f>
        <v>5.2822580000000001E-2</v>
      </c>
      <c r="G86" s="84">
        <f t="shared" si="25"/>
        <v>0</v>
      </c>
      <c r="H86" s="84">
        <v>0</v>
      </c>
      <c r="I86" s="109">
        <f t="shared" si="28"/>
        <v>0</v>
      </c>
      <c r="J86" s="85">
        <f>G86*F86*(E86/(DATE(YEAR(D86),12,31)-DATE(YEAR(D86),1,1)+1))</f>
        <v>0</v>
      </c>
      <c r="K86" s="129">
        <f t="shared" si="20"/>
        <v>0</v>
      </c>
      <c r="L86" s="85">
        <f t="shared" si="29"/>
        <v>0</v>
      </c>
      <c r="M86" s="130">
        <f t="shared" si="21"/>
        <v>0</v>
      </c>
      <c r="N86" s="8">
        <f t="shared" si="22"/>
        <v>0</v>
      </c>
      <c r="O86" s="84">
        <f t="shared" si="23"/>
        <v>0</v>
      </c>
    </row>
    <row r="87" spans="1:15" x14ac:dyDescent="0.2">
      <c r="A87" s="11"/>
      <c r="B87" s="98"/>
      <c r="C87" s="98"/>
      <c r="D87" s="10"/>
      <c r="E87" s="11"/>
      <c r="F87" s="85"/>
      <c r="G87" s="85"/>
      <c r="H87" s="70"/>
      <c r="I87" s="115"/>
      <c r="J87" s="12"/>
      <c r="K87" s="85"/>
      <c r="L87" s="117"/>
      <c r="M87" s="131"/>
    </row>
    <row r="88" spans="1:15" ht="13.5" thickBot="1" x14ac:dyDescent="0.25">
      <c r="A88" s="99"/>
      <c r="B88" s="99"/>
      <c r="C88" s="99"/>
      <c r="D88" s="99"/>
      <c r="E88" s="99"/>
      <c r="F88" s="99"/>
      <c r="G88" s="79">
        <f>+SUM(G59:G87)</f>
        <v>0</v>
      </c>
      <c r="H88" s="79">
        <f t="shared" ref="H88:O88" si="32">+SUM(H59:H87)</f>
        <v>0</v>
      </c>
      <c r="I88" s="119">
        <f t="shared" si="32"/>
        <v>0</v>
      </c>
      <c r="J88" s="79">
        <f t="shared" si="32"/>
        <v>0</v>
      </c>
      <c r="K88" s="79">
        <f t="shared" si="32"/>
        <v>0</v>
      </c>
      <c r="L88" s="79">
        <f t="shared" si="32"/>
        <v>0</v>
      </c>
      <c r="M88" s="120">
        <f t="shared" si="32"/>
        <v>0</v>
      </c>
      <c r="N88" s="79">
        <f t="shared" si="32"/>
        <v>0</v>
      </c>
      <c r="O88" s="79">
        <f t="shared" si="32"/>
        <v>0</v>
      </c>
    </row>
    <row r="89" spans="1:15" ht="14.25" thickTop="1" thickBot="1" x14ac:dyDescent="0.25">
      <c r="I89" s="121"/>
      <c r="J89" s="122"/>
      <c r="K89" s="122"/>
      <c r="L89" s="122"/>
      <c r="M89" s="123"/>
    </row>
  </sheetData>
  <mergeCells count="1">
    <mergeCell ref="A28:B29"/>
  </mergeCells>
  <pageMargins left="0.7" right="0.7" top="0.75" bottom="0.75" header="0.3" footer="0.3"/>
  <pageSetup scale="58" fitToHeight="0" orientation="landscape" r:id="rId1"/>
  <headerFooter alignWithMargins="0">
    <oddHeader>&amp;RTO2019 Annual Update
Attachment 4
WP Schedule 22
Page &amp;P of &amp;N</oddHeader>
    <oddFooter>&amp;R&amp;A</oddFooter>
  </headerFooter>
  <rowBreaks count="1" manualBreakCount="1">
    <brk id="57" max="14"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4"/>
  <sheetViews>
    <sheetView zoomScale="80" zoomScaleNormal="80" workbookViewId="0"/>
  </sheetViews>
  <sheetFormatPr defaultColWidth="9.140625" defaultRowHeight="12.75" x14ac:dyDescent="0.2"/>
  <cols>
    <col min="1" max="1" width="10.28515625" style="6" bestFit="1" customWidth="1"/>
    <col min="2" max="2" width="13.28515625" style="6" bestFit="1" customWidth="1"/>
    <col min="3" max="3" width="15.28515625" style="6" bestFit="1" customWidth="1"/>
    <col min="4" max="4" width="16.28515625" style="6" customWidth="1"/>
    <col min="5" max="5" width="9.7109375" style="6" bestFit="1" customWidth="1"/>
    <col min="6" max="6" width="14.85546875" style="6" customWidth="1"/>
    <col min="7" max="9" width="16.28515625" style="6" customWidth="1"/>
    <col min="10" max="10" width="17.28515625" style="6" customWidth="1"/>
    <col min="11" max="15" width="16.28515625" style="6" customWidth="1"/>
    <col min="16" max="16384" width="9.140625" style="6"/>
  </cols>
  <sheetData>
    <row r="1" spans="1:15" ht="38.25" x14ac:dyDescent="0.2">
      <c r="A1" s="101" t="s">
        <v>8</v>
      </c>
      <c r="B1" s="102" t="s">
        <v>88</v>
      </c>
      <c r="C1" s="101" t="s">
        <v>2</v>
      </c>
      <c r="D1" s="101" t="s">
        <v>1</v>
      </c>
      <c r="E1" s="102" t="s">
        <v>74</v>
      </c>
      <c r="F1" s="102" t="s">
        <v>48</v>
      </c>
    </row>
    <row r="2" spans="1:15" ht="12.75" customHeight="1" thickBot="1" x14ac:dyDescent="0.25">
      <c r="A2" s="96" t="s">
        <v>54</v>
      </c>
      <c r="B2" s="3">
        <v>41913</v>
      </c>
      <c r="C2" s="4">
        <v>1135000</v>
      </c>
      <c r="D2" s="4">
        <v>0</v>
      </c>
      <c r="E2" s="4">
        <v>0</v>
      </c>
      <c r="F2" s="7">
        <f>SUM(C2:E2)</f>
        <v>1135000</v>
      </c>
    </row>
    <row r="3" spans="1:15" x14ac:dyDescent="0.2">
      <c r="B3" s="44" t="s">
        <v>0</v>
      </c>
      <c r="C3" s="124">
        <f>SUM(C2:C2)</f>
        <v>1135000</v>
      </c>
      <c r="D3" s="124">
        <f>SUM(D2:D2)</f>
        <v>0</v>
      </c>
      <c r="E3" s="124">
        <f>SUM(E2:E2)</f>
        <v>0</v>
      </c>
      <c r="F3" s="124">
        <f>SUM(F2:F2)</f>
        <v>1135000</v>
      </c>
      <c r="J3" s="159"/>
      <c r="K3" s="158" t="s">
        <v>14</v>
      </c>
      <c r="L3" s="250" t="s">
        <v>13</v>
      </c>
    </row>
    <row r="4" spans="1:15" x14ac:dyDescent="0.2">
      <c r="A4" s="17" t="s">
        <v>19</v>
      </c>
      <c r="B4" s="18" t="s">
        <v>22</v>
      </c>
      <c r="C4" s="8">
        <v>0</v>
      </c>
      <c r="D4" s="8">
        <v>0</v>
      </c>
      <c r="E4" s="8">
        <v>0</v>
      </c>
      <c r="F4" s="8">
        <f>SUM(C4:E4)</f>
        <v>0</v>
      </c>
      <c r="J4" s="156" t="s">
        <v>11</v>
      </c>
      <c r="K4" s="103">
        <v>41950</v>
      </c>
      <c r="L4" s="251">
        <v>41950</v>
      </c>
    </row>
    <row r="5" spans="1:15" ht="13.5" thickBot="1" x14ac:dyDescent="0.25">
      <c r="A5" s="17" t="s">
        <v>20</v>
      </c>
      <c r="B5" s="18" t="s">
        <v>22</v>
      </c>
      <c r="C5" s="8">
        <v>0</v>
      </c>
      <c r="D5" s="8">
        <v>0</v>
      </c>
      <c r="E5" s="8">
        <v>0</v>
      </c>
      <c r="F5" s="8">
        <f>SUM(C5:E5)</f>
        <v>0</v>
      </c>
      <c r="J5" s="157" t="s">
        <v>17</v>
      </c>
      <c r="K5" s="104">
        <v>41968</v>
      </c>
      <c r="L5" s="252">
        <v>41956</v>
      </c>
    </row>
    <row r="6" spans="1:15" ht="13.5" thickBot="1" x14ac:dyDescent="0.25">
      <c r="A6" s="44"/>
      <c r="B6" s="80" t="s">
        <v>52</v>
      </c>
      <c r="C6" s="79">
        <f>+SUM(C3:C5)</f>
        <v>1135000</v>
      </c>
      <c r="D6" s="79">
        <f>+SUM(D3:D5)</f>
        <v>0</v>
      </c>
      <c r="E6" s="79">
        <f>+SUM(E3:E5)</f>
        <v>0</v>
      </c>
      <c r="F6" s="79">
        <f>+SUM(F3:F5)</f>
        <v>1135000</v>
      </c>
    </row>
    <row r="7" spans="1:15" ht="14.25" thickTop="1" thickBot="1" x14ac:dyDescent="0.25">
      <c r="B7" s="44"/>
      <c r="C7" s="13"/>
      <c r="D7" s="13"/>
      <c r="E7" s="13"/>
      <c r="F7" s="13"/>
    </row>
    <row r="8" spans="1:15" x14ac:dyDescent="0.2">
      <c r="B8" s="149"/>
      <c r="C8" s="5"/>
      <c r="D8" s="17"/>
      <c r="I8" s="143"/>
      <c r="J8" s="128"/>
      <c r="K8" s="128"/>
      <c r="L8" s="128"/>
      <c r="M8" s="108"/>
    </row>
    <row r="9" spans="1:15" ht="36.75" x14ac:dyDescent="0.2">
      <c r="A9" s="90" t="s">
        <v>53</v>
      </c>
      <c r="B9" s="90" t="s">
        <v>3</v>
      </c>
      <c r="C9" s="90" t="s">
        <v>4</v>
      </c>
      <c r="D9" s="90" t="s">
        <v>5</v>
      </c>
      <c r="E9" s="90" t="s">
        <v>6</v>
      </c>
      <c r="F9" s="90" t="s">
        <v>7</v>
      </c>
      <c r="G9" s="90" t="s">
        <v>80</v>
      </c>
      <c r="H9" s="90" t="s">
        <v>81</v>
      </c>
      <c r="I9" s="105" t="s">
        <v>82</v>
      </c>
      <c r="J9" s="106" t="s">
        <v>83</v>
      </c>
      <c r="K9" s="106" t="s">
        <v>84</v>
      </c>
      <c r="L9" s="106" t="s">
        <v>85</v>
      </c>
      <c r="M9" s="107" t="s">
        <v>75</v>
      </c>
      <c r="N9" s="90" t="s">
        <v>86</v>
      </c>
      <c r="O9" s="90" t="s">
        <v>106</v>
      </c>
    </row>
    <row r="10" spans="1:15" x14ac:dyDescent="0.2">
      <c r="A10" s="311" t="s">
        <v>2</v>
      </c>
      <c r="B10" s="311"/>
      <c r="C10" s="282">
        <f>$L$4</f>
        <v>41950</v>
      </c>
      <c r="D10" s="282">
        <f>DATE(YEAR(C10),IF(MONTH(C10)&lt;=3,3,IF(MONTH(C10)&lt;=6,6,IF(MONTH(C10)&lt;=9,9,12))),IF(OR(MONTH(C10)&lt;=3,MONTH(C10)&gt;=10),31,30))</f>
        <v>42004</v>
      </c>
      <c r="E10" s="283">
        <f>D10-C10+1</f>
        <v>55</v>
      </c>
      <c r="F10" s="284">
        <f>VLOOKUP(D10,'FERC Interest Rate'!$A:$B,2,TRUE)</f>
        <v>3.2500000000000001E-2</v>
      </c>
      <c r="G10" s="167">
        <f>$C$3</f>
        <v>1135000</v>
      </c>
      <c r="H10" s="167">
        <f>G10*F10*(E10/(DATE(YEAR(D10),12,31)-DATE(YEAR(D10),1,1)+1))</f>
        <v>5558.3904109589039</v>
      </c>
      <c r="I10" s="285">
        <v>0</v>
      </c>
      <c r="J10" s="167">
        <v>0</v>
      </c>
      <c r="K10" s="167">
        <f>+SUM(I10:J10)</f>
        <v>0</v>
      </c>
      <c r="L10" s="167">
        <v>0</v>
      </c>
      <c r="M10" s="296">
        <f>+SUM(K10:L10)</f>
        <v>0</v>
      </c>
      <c r="N10" s="167">
        <f>+G10+H10+J10</f>
        <v>1140558.3904109588</v>
      </c>
      <c r="O10" s="167">
        <f t="shared" ref="O10:O29" si="0">G10+H10-L10-I10</f>
        <v>1140558.3904109588</v>
      </c>
    </row>
    <row r="11" spans="1:15" x14ac:dyDescent="0.2">
      <c r="A11" s="314"/>
      <c r="B11" s="314"/>
      <c r="C11" s="282">
        <f>D10+1</f>
        <v>42005</v>
      </c>
      <c r="D11" s="282">
        <f t="shared" ref="D11:D29" si="1">EOMONTH(D10,3)</f>
        <v>42094</v>
      </c>
      <c r="E11" s="283">
        <f>D11-C11+1</f>
        <v>90</v>
      </c>
      <c r="F11" s="284">
        <f>VLOOKUP(D11,'FERC Interest Rate'!$A:$B,2,TRUE)</f>
        <v>3.2500000000000001E-2</v>
      </c>
      <c r="G11" s="167">
        <f t="shared" ref="G11:G29" si="2">O10</f>
        <v>1140558.3904109588</v>
      </c>
      <c r="H11" s="167">
        <v>0</v>
      </c>
      <c r="I11" s="285">
        <v>0</v>
      </c>
      <c r="J11" s="167">
        <f>G11*F11*(E11/(DATE(YEAR(D11),12,31)-DATE(YEAR(D11),1,1)+1))</f>
        <v>9140.0912108275461</v>
      </c>
      <c r="K11" s="167">
        <f t="shared" ref="K11:K29" si="3">+SUM(I11:J11)</f>
        <v>9140.0912108275461</v>
      </c>
      <c r="L11" s="167">
        <v>0</v>
      </c>
      <c r="M11" s="296">
        <v>0</v>
      </c>
      <c r="N11" s="167">
        <f t="shared" ref="N11:N29" si="4">+G11+H11+J11</f>
        <v>1149698.4816217863</v>
      </c>
      <c r="O11" s="167">
        <f t="shared" si="0"/>
        <v>1140558.3904109588</v>
      </c>
    </row>
    <row r="12" spans="1:15" x14ac:dyDescent="0.2">
      <c r="A12" s="96" t="s">
        <v>103</v>
      </c>
      <c r="B12" s="81" t="str">
        <f t="shared" ref="B12:B29" si="5">+IF(MONTH(C12)&lt;4,"Q1",IF(MONTH(C12)&lt;7,"Q2",IF(MONTH(C12)&lt;10,"Q3","Q4")))&amp;"/"&amp;YEAR(C12)</f>
        <v>Q2/2015</v>
      </c>
      <c r="C12" s="82">
        <f>D11+1</f>
        <v>42095</v>
      </c>
      <c r="D12" s="82">
        <f t="shared" si="1"/>
        <v>42185</v>
      </c>
      <c r="E12" s="81">
        <f>D12-C12+1</f>
        <v>91</v>
      </c>
      <c r="F12" s="83">
        <f>VLOOKUP(D12,'FERC Interest Rate'!$A:$B,2,TRUE)</f>
        <v>3.2500000000000001E-2</v>
      </c>
      <c r="G12" s="84">
        <f t="shared" si="2"/>
        <v>1140558.3904109588</v>
      </c>
      <c r="H12" s="84">
        <v>0</v>
      </c>
      <c r="I12" s="109">
        <f>(SUM($H$10:$H$29)/20)*3</f>
        <v>833.75856164383549</v>
      </c>
      <c r="J12" s="85">
        <f>G12*F12*(E12/(DATE(YEAR(D12),12,31)-DATE(YEAR(D12),1,1)+1))</f>
        <v>9241.6477798367414</v>
      </c>
      <c r="K12" s="85">
        <f t="shared" si="3"/>
        <v>10075.406341480577</v>
      </c>
      <c r="L12" s="85">
        <f>($C$3/20)*3</f>
        <v>170250</v>
      </c>
      <c r="M12" s="110">
        <f t="shared" ref="M12:M29" si="6">+SUM(K12:L12)</f>
        <v>180325.40634148059</v>
      </c>
      <c r="N12" s="85">
        <f t="shared" si="4"/>
        <v>1149800.0381907956</v>
      </c>
      <c r="O12" s="84">
        <f t="shared" si="0"/>
        <v>969474.6318493149</v>
      </c>
    </row>
    <row r="13" spans="1:15" x14ac:dyDescent="0.2">
      <c r="A13" s="96" t="s">
        <v>57</v>
      </c>
      <c r="B13" s="81" t="str">
        <f t="shared" si="5"/>
        <v>Q3/2015</v>
      </c>
      <c r="C13" s="82">
        <f>D12+1</f>
        <v>42186</v>
      </c>
      <c r="D13" s="82">
        <f t="shared" si="1"/>
        <v>42277</v>
      </c>
      <c r="E13" s="81">
        <f>D13-C13+1</f>
        <v>92</v>
      </c>
      <c r="F13" s="83">
        <f>VLOOKUP(D13,'FERC Interest Rate'!$A:$B,2,TRUE)</f>
        <v>3.2500000000000001E-2</v>
      </c>
      <c r="G13" s="84">
        <f t="shared" si="2"/>
        <v>969474.6318493149</v>
      </c>
      <c r="H13" s="84">
        <v>0</v>
      </c>
      <c r="I13" s="109">
        <f t="shared" ref="I13:I29" si="7">SUM($H$10:$H$29)/20</f>
        <v>277.91952054794518</v>
      </c>
      <c r="J13" s="85">
        <f>G13*F13*(E13/(DATE(YEAR(D13),12,31)-DATE(YEAR(D13),1,1)+1))</f>
        <v>7941.7236965190459</v>
      </c>
      <c r="K13" s="129">
        <f t="shared" si="3"/>
        <v>8219.6432170669905</v>
      </c>
      <c r="L13" s="85">
        <f>$C$3/20</f>
        <v>56750</v>
      </c>
      <c r="M13" s="130">
        <f t="shared" si="6"/>
        <v>64969.643217066987</v>
      </c>
      <c r="N13" s="129">
        <f t="shared" si="4"/>
        <v>977416.35554583394</v>
      </c>
      <c r="O13" s="84">
        <f t="shared" si="0"/>
        <v>912446.71232876694</v>
      </c>
    </row>
    <row r="14" spans="1:15" x14ac:dyDescent="0.2">
      <c r="A14" s="96" t="s">
        <v>58</v>
      </c>
      <c r="B14" s="81" t="str">
        <f t="shared" si="5"/>
        <v>Q4/2015</v>
      </c>
      <c r="C14" s="82">
        <f>D13+1</f>
        <v>42278</v>
      </c>
      <c r="D14" s="82">
        <f t="shared" si="1"/>
        <v>42369</v>
      </c>
      <c r="E14" s="81">
        <f>D14-C14+1</f>
        <v>92</v>
      </c>
      <c r="F14" s="83">
        <f>VLOOKUP(D14,'FERC Interest Rate'!$A:$B,2,TRUE)</f>
        <v>3.2500000000000001E-2</v>
      </c>
      <c r="G14" s="84">
        <f t="shared" si="2"/>
        <v>912446.71232876694</v>
      </c>
      <c r="H14" s="84">
        <v>0</v>
      </c>
      <c r="I14" s="109">
        <f t="shared" si="7"/>
        <v>277.91952054794518</v>
      </c>
      <c r="J14" s="85">
        <f>G14*F14*(E14/(DATE(YEAR(D14),12,31)-DATE(YEAR(D14),1,1)+1))</f>
        <v>7474.563479076749</v>
      </c>
      <c r="K14" s="129">
        <f t="shared" si="3"/>
        <v>7752.4829996246945</v>
      </c>
      <c r="L14" s="85">
        <f>$C$3/20</f>
        <v>56750</v>
      </c>
      <c r="M14" s="130">
        <f t="shared" si="6"/>
        <v>64502.482999624692</v>
      </c>
      <c r="N14" s="129">
        <f t="shared" si="4"/>
        <v>919921.27580784366</v>
      </c>
      <c r="O14" s="84">
        <f t="shared" si="0"/>
        <v>855418.79280821898</v>
      </c>
    </row>
    <row r="15" spans="1:15" x14ac:dyDescent="0.2">
      <c r="A15" s="96" t="s">
        <v>59</v>
      </c>
      <c r="B15" s="81" t="str">
        <f t="shared" si="5"/>
        <v>Q1/2016</v>
      </c>
      <c r="C15" s="82">
        <f t="shared" ref="C15:C29" si="8">D14+1</f>
        <v>42370</v>
      </c>
      <c r="D15" s="82">
        <f t="shared" si="1"/>
        <v>42460</v>
      </c>
      <c r="E15" s="81">
        <f t="shared" ref="E15:E29" si="9">D15-C15+1</f>
        <v>91</v>
      </c>
      <c r="F15" s="83">
        <f>VLOOKUP(D15,'FERC Interest Rate'!$A:$B,2,TRUE)</f>
        <v>3.2500000000000001E-2</v>
      </c>
      <c r="G15" s="84">
        <f t="shared" si="2"/>
        <v>855418.79280821898</v>
      </c>
      <c r="H15" s="84">
        <v>0</v>
      </c>
      <c r="I15" s="109">
        <f t="shared" si="7"/>
        <v>277.91952054794518</v>
      </c>
      <c r="J15" s="85">
        <f t="shared" ref="J15:J29" si="10">G15*F15*(E15/(DATE(YEAR(D15),12,31)-DATE(YEAR(D15),1,1)+1))</f>
        <v>6912.298032050021</v>
      </c>
      <c r="K15" s="129">
        <f t="shared" si="3"/>
        <v>7190.2175525979665</v>
      </c>
      <c r="L15" s="85">
        <f t="shared" ref="L15:L29" si="11">$C$3/20</f>
        <v>56750</v>
      </c>
      <c r="M15" s="130">
        <f t="shared" si="6"/>
        <v>63940.217552597969</v>
      </c>
      <c r="N15" s="129">
        <f t="shared" si="4"/>
        <v>862331.090840269</v>
      </c>
      <c r="O15" s="84">
        <f t="shared" si="0"/>
        <v>798390.87328767101</v>
      </c>
    </row>
    <row r="16" spans="1:15" x14ac:dyDescent="0.2">
      <c r="A16" s="96" t="s">
        <v>60</v>
      </c>
      <c r="B16" s="81" t="str">
        <f t="shared" si="5"/>
        <v>Q2/2016</v>
      </c>
      <c r="C16" s="82">
        <f t="shared" si="8"/>
        <v>42461</v>
      </c>
      <c r="D16" s="82">
        <f t="shared" si="1"/>
        <v>42551</v>
      </c>
      <c r="E16" s="81">
        <f t="shared" si="9"/>
        <v>91</v>
      </c>
      <c r="F16" s="83">
        <f>VLOOKUP(D16,'FERC Interest Rate'!$A:$B,2,TRUE)</f>
        <v>3.4599999999999999E-2</v>
      </c>
      <c r="G16" s="84">
        <f t="shared" si="2"/>
        <v>798390.87328767101</v>
      </c>
      <c r="H16" s="84">
        <v>0</v>
      </c>
      <c r="I16" s="109">
        <f t="shared" si="7"/>
        <v>277.91952054794518</v>
      </c>
      <c r="J16" s="85">
        <f t="shared" si="10"/>
        <v>6868.3429061026254</v>
      </c>
      <c r="K16" s="129">
        <f t="shared" si="3"/>
        <v>7146.2624266505709</v>
      </c>
      <c r="L16" s="85">
        <f t="shared" si="11"/>
        <v>56750</v>
      </c>
      <c r="M16" s="130">
        <f t="shared" si="6"/>
        <v>63896.262426650574</v>
      </c>
      <c r="N16" s="129">
        <f t="shared" si="4"/>
        <v>805259.21619377367</v>
      </c>
      <c r="O16" s="84">
        <f t="shared" si="0"/>
        <v>741362.95376712305</v>
      </c>
    </row>
    <row r="17" spans="1:15" x14ac:dyDescent="0.2">
      <c r="A17" s="96" t="s">
        <v>61</v>
      </c>
      <c r="B17" s="81" t="str">
        <f t="shared" si="5"/>
        <v>Q3/2016</v>
      </c>
      <c r="C17" s="82">
        <f t="shared" si="8"/>
        <v>42552</v>
      </c>
      <c r="D17" s="82">
        <f t="shared" si="1"/>
        <v>42643</v>
      </c>
      <c r="E17" s="81">
        <f t="shared" si="9"/>
        <v>92</v>
      </c>
      <c r="F17" s="83">
        <f>VLOOKUP(D17,'FERC Interest Rate'!$A:$B,2,TRUE)</f>
        <v>3.5000000000000003E-2</v>
      </c>
      <c r="G17" s="84">
        <f t="shared" si="2"/>
        <v>741362.95376712305</v>
      </c>
      <c r="H17" s="84">
        <v>0</v>
      </c>
      <c r="I17" s="109">
        <f t="shared" si="7"/>
        <v>277.91952054794518</v>
      </c>
      <c r="J17" s="85">
        <f t="shared" si="10"/>
        <v>6522.3735276779689</v>
      </c>
      <c r="K17" s="129">
        <f t="shared" si="3"/>
        <v>6800.2930482259144</v>
      </c>
      <c r="L17" s="85">
        <f t="shared" si="11"/>
        <v>56750</v>
      </c>
      <c r="M17" s="130">
        <f t="shared" si="6"/>
        <v>63550.293048225911</v>
      </c>
      <c r="N17" s="129">
        <f t="shared" si="4"/>
        <v>747885.32729480101</v>
      </c>
      <c r="O17" s="84">
        <f t="shared" si="0"/>
        <v>684335.03424657509</v>
      </c>
    </row>
    <row r="18" spans="1:15" x14ac:dyDescent="0.2">
      <c r="A18" s="96" t="s">
        <v>62</v>
      </c>
      <c r="B18" s="81" t="str">
        <f t="shared" si="5"/>
        <v>Q4/2016</v>
      </c>
      <c r="C18" s="82">
        <f t="shared" si="8"/>
        <v>42644</v>
      </c>
      <c r="D18" s="82">
        <f t="shared" si="1"/>
        <v>42735</v>
      </c>
      <c r="E18" s="81">
        <f t="shared" si="9"/>
        <v>92</v>
      </c>
      <c r="F18" s="83">
        <f>VLOOKUP(D18,'FERC Interest Rate'!$A:$B,2,TRUE)</f>
        <v>3.5000000000000003E-2</v>
      </c>
      <c r="G18" s="84">
        <f t="shared" si="2"/>
        <v>684335.03424657509</v>
      </c>
      <c r="H18" s="84">
        <v>0</v>
      </c>
      <c r="I18" s="109">
        <f t="shared" si="7"/>
        <v>277.91952054794518</v>
      </c>
      <c r="J18" s="85">
        <f t="shared" si="10"/>
        <v>6020.6524870873554</v>
      </c>
      <c r="K18" s="129">
        <f t="shared" si="3"/>
        <v>6298.5720076353009</v>
      </c>
      <c r="L18" s="85">
        <f t="shared" si="11"/>
        <v>56750</v>
      </c>
      <c r="M18" s="130">
        <f t="shared" si="6"/>
        <v>63048.572007635303</v>
      </c>
      <c r="N18" s="129">
        <f t="shared" si="4"/>
        <v>690355.6867336625</v>
      </c>
      <c r="O18" s="84">
        <f t="shared" si="0"/>
        <v>627307.11472602712</v>
      </c>
    </row>
    <row r="19" spans="1:15" x14ac:dyDescent="0.2">
      <c r="A19" s="96" t="s">
        <v>63</v>
      </c>
      <c r="B19" s="81" t="str">
        <f t="shared" si="5"/>
        <v>Q1/2017</v>
      </c>
      <c r="C19" s="82">
        <f t="shared" si="8"/>
        <v>42736</v>
      </c>
      <c r="D19" s="82">
        <f t="shared" si="1"/>
        <v>42825</v>
      </c>
      <c r="E19" s="81">
        <f t="shared" si="9"/>
        <v>90</v>
      </c>
      <c r="F19" s="83">
        <f>VLOOKUP(D19,'FERC Interest Rate'!$A:$B,2,TRUE)</f>
        <v>3.5000000000000003E-2</v>
      </c>
      <c r="G19" s="84">
        <f t="shared" si="2"/>
        <v>627307.11472602712</v>
      </c>
      <c r="H19" s="84">
        <v>0</v>
      </c>
      <c r="I19" s="109">
        <f t="shared" si="7"/>
        <v>277.91952054794518</v>
      </c>
      <c r="J19" s="85">
        <f t="shared" si="10"/>
        <v>5413.7463325670833</v>
      </c>
      <c r="K19" s="129">
        <f t="shared" si="3"/>
        <v>5691.6658531150288</v>
      </c>
      <c r="L19" s="85">
        <f t="shared" si="11"/>
        <v>56750</v>
      </c>
      <c r="M19" s="130">
        <f t="shared" si="6"/>
        <v>62441.665853115031</v>
      </c>
      <c r="N19" s="129">
        <f t="shared" si="4"/>
        <v>632720.86105859419</v>
      </c>
      <c r="O19" s="84">
        <f t="shared" si="0"/>
        <v>570279.19520547916</v>
      </c>
    </row>
    <row r="20" spans="1:15" x14ac:dyDescent="0.2">
      <c r="A20" s="96" t="s">
        <v>64</v>
      </c>
      <c r="B20" s="81" t="str">
        <f t="shared" si="5"/>
        <v>Q2/2017</v>
      </c>
      <c r="C20" s="82">
        <f t="shared" si="8"/>
        <v>42826</v>
      </c>
      <c r="D20" s="82">
        <f t="shared" si="1"/>
        <v>42916</v>
      </c>
      <c r="E20" s="81">
        <f t="shared" si="9"/>
        <v>91</v>
      </c>
      <c r="F20" s="83">
        <f>VLOOKUP(D20,'FERC Interest Rate'!$A:$B,2,TRUE)</f>
        <v>3.7100000000000001E-2</v>
      </c>
      <c r="G20" s="84">
        <f t="shared" si="2"/>
        <v>570279.19520547916</v>
      </c>
      <c r="H20" s="84">
        <v>0</v>
      </c>
      <c r="I20" s="109">
        <f t="shared" si="7"/>
        <v>277.91952054794518</v>
      </c>
      <c r="J20" s="85">
        <f t="shared" si="10"/>
        <v>5274.8481943375846</v>
      </c>
      <c r="K20" s="129">
        <f t="shared" si="3"/>
        <v>5552.76771488553</v>
      </c>
      <c r="L20" s="85">
        <f t="shared" si="11"/>
        <v>56750</v>
      </c>
      <c r="M20" s="130">
        <f t="shared" si="6"/>
        <v>62302.767714885529</v>
      </c>
      <c r="N20" s="129">
        <f t="shared" si="4"/>
        <v>575554.04339981673</v>
      </c>
      <c r="O20" s="84">
        <f t="shared" si="0"/>
        <v>513251.2756849312</v>
      </c>
    </row>
    <row r="21" spans="1:15" x14ac:dyDescent="0.2">
      <c r="A21" s="96" t="s">
        <v>65</v>
      </c>
      <c r="B21" s="81" t="str">
        <f t="shared" si="5"/>
        <v>Q3/2017</v>
      </c>
      <c r="C21" s="82">
        <f t="shared" si="8"/>
        <v>42917</v>
      </c>
      <c r="D21" s="82">
        <f t="shared" si="1"/>
        <v>43008</v>
      </c>
      <c r="E21" s="81">
        <f t="shared" si="9"/>
        <v>92</v>
      </c>
      <c r="F21" s="83">
        <f>VLOOKUP(D21,'FERC Interest Rate'!$A:$B,2,TRUE)</f>
        <v>3.9600000000000003E-2</v>
      </c>
      <c r="G21" s="84">
        <f t="shared" si="2"/>
        <v>513251.2756849312</v>
      </c>
      <c r="H21" s="84">
        <v>0</v>
      </c>
      <c r="I21" s="109">
        <f t="shared" si="7"/>
        <v>277.91952054794518</v>
      </c>
      <c r="J21" s="85">
        <f t="shared" si="10"/>
        <v>5122.9508152749086</v>
      </c>
      <c r="K21" s="129">
        <f t="shared" si="3"/>
        <v>5400.870335822854</v>
      </c>
      <c r="L21" s="85">
        <f t="shared" si="11"/>
        <v>56750</v>
      </c>
      <c r="M21" s="130">
        <f t="shared" si="6"/>
        <v>62150.870335822852</v>
      </c>
      <c r="N21" s="129">
        <f t="shared" si="4"/>
        <v>518374.2265002061</v>
      </c>
      <c r="O21" s="84">
        <f t="shared" si="0"/>
        <v>456223.35616438324</v>
      </c>
    </row>
    <row r="22" spans="1:15" x14ac:dyDescent="0.2">
      <c r="A22" s="96" t="s">
        <v>66</v>
      </c>
      <c r="B22" s="81" t="str">
        <f t="shared" si="5"/>
        <v>Q4/2017</v>
      </c>
      <c r="C22" s="82">
        <f t="shared" si="8"/>
        <v>43009</v>
      </c>
      <c r="D22" s="82">
        <f t="shared" si="1"/>
        <v>43100</v>
      </c>
      <c r="E22" s="81">
        <f t="shared" si="9"/>
        <v>92</v>
      </c>
      <c r="F22" s="83">
        <f>VLOOKUP(D22,'FERC Interest Rate'!$A:$B,2,TRUE)</f>
        <v>4.2099999999999999E-2</v>
      </c>
      <c r="G22" s="84">
        <f t="shared" si="2"/>
        <v>456223.35616438324</v>
      </c>
      <c r="H22" s="84">
        <v>0</v>
      </c>
      <c r="I22" s="109">
        <f t="shared" si="7"/>
        <v>277.91952054794518</v>
      </c>
      <c r="J22" s="85">
        <f t="shared" si="10"/>
        <v>4841.2172687558614</v>
      </c>
      <c r="K22" s="129">
        <f t="shared" si="3"/>
        <v>5119.1367893038068</v>
      </c>
      <c r="L22" s="85">
        <f t="shared" si="11"/>
        <v>56750</v>
      </c>
      <c r="M22" s="130">
        <f t="shared" si="6"/>
        <v>61869.136789303804</v>
      </c>
      <c r="N22" s="129">
        <f t="shared" si="4"/>
        <v>461064.57343313907</v>
      </c>
      <c r="O22" s="84">
        <f t="shared" si="0"/>
        <v>399195.43664383527</v>
      </c>
    </row>
    <row r="23" spans="1:15" x14ac:dyDescent="0.2">
      <c r="A23" s="96" t="s">
        <v>67</v>
      </c>
      <c r="B23" s="81" t="str">
        <f t="shared" si="5"/>
        <v>Q1/2018</v>
      </c>
      <c r="C23" s="82">
        <f t="shared" si="8"/>
        <v>43101</v>
      </c>
      <c r="D23" s="82">
        <f t="shared" si="1"/>
        <v>43190</v>
      </c>
      <c r="E23" s="81">
        <f t="shared" si="9"/>
        <v>90</v>
      </c>
      <c r="F23" s="83">
        <f>VLOOKUP(D23,'FERC Interest Rate'!$A:$B,2,TRUE)</f>
        <v>4.2500000000000003E-2</v>
      </c>
      <c r="G23" s="84">
        <f t="shared" si="2"/>
        <v>399195.43664383527</v>
      </c>
      <c r="H23" s="84">
        <v>0</v>
      </c>
      <c r="I23" s="109">
        <f t="shared" si="7"/>
        <v>277.91952054794518</v>
      </c>
      <c r="J23" s="85">
        <f t="shared" si="10"/>
        <v>4183.3494388018353</v>
      </c>
      <c r="K23" s="129">
        <f t="shared" si="3"/>
        <v>4461.2689593497807</v>
      </c>
      <c r="L23" s="85">
        <f t="shared" si="11"/>
        <v>56750</v>
      </c>
      <c r="M23" s="130">
        <f t="shared" si="6"/>
        <v>61211.268959349778</v>
      </c>
      <c r="N23" s="129">
        <f t="shared" si="4"/>
        <v>403378.78608263709</v>
      </c>
      <c r="O23" s="84">
        <f t="shared" si="0"/>
        <v>342167.51712328731</v>
      </c>
    </row>
    <row r="24" spans="1:15" x14ac:dyDescent="0.2">
      <c r="A24" s="96" t="s">
        <v>68</v>
      </c>
      <c r="B24" s="81" t="str">
        <f t="shared" si="5"/>
        <v>Q2/2018</v>
      </c>
      <c r="C24" s="82">
        <f t="shared" si="8"/>
        <v>43191</v>
      </c>
      <c r="D24" s="82">
        <f t="shared" si="1"/>
        <v>43281</v>
      </c>
      <c r="E24" s="81">
        <f t="shared" si="9"/>
        <v>91</v>
      </c>
      <c r="F24" s="83">
        <f>VLOOKUP(D24,'FERC Interest Rate'!$A:$B,2,TRUE)</f>
        <v>4.4699999999999997E-2</v>
      </c>
      <c r="G24" s="84">
        <f t="shared" si="2"/>
        <v>342167.51712328731</v>
      </c>
      <c r="H24" s="84">
        <v>0</v>
      </c>
      <c r="I24" s="109">
        <f t="shared" si="7"/>
        <v>277.91952054794518</v>
      </c>
      <c r="J24" s="85">
        <f t="shared" si="10"/>
        <v>3813.2460531572483</v>
      </c>
      <c r="K24" s="129">
        <f t="shared" si="3"/>
        <v>4091.1655737051933</v>
      </c>
      <c r="L24" s="85">
        <f t="shared" si="11"/>
        <v>56750</v>
      </c>
      <c r="M24" s="130">
        <f t="shared" si="6"/>
        <v>60841.165573705191</v>
      </c>
      <c r="N24" s="129">
        <f t="shared" si="4"/>
        <v>345980.76317644457</v>
      </c>
      <c r="O24" s="84">
        <f t="shared" si="0"/>
        <v>285139.59760273935</v>
      </c>
    </row>
    <row r="25" spans="1:15" x14ac:dyDescent="0.2">
      <c r="A25" s="96" t="s">
        <v>69</v>
      </c>
      <c r="B25" s="81" t="str">
        <f t="shared" si="5"/>
        <v>Q3/2018</v>
      </c>
      <c r="C25" s="82">
        <f t="shared" si="8"/>
        <v>43282</v>
      </c>
      <c r="D25" s="82">
        <f t="shared" si="1"/>
        <v>43373</v>
      </c>
      <c r="E25" s="81">
        <f t="shared" si="9"/>
        <v>92</v>
      </c>
      <c r="F25" s="83">
        <f>VLOOKUP(D25,'FERC Interest Rate'!$A:$B,2,TRUE)</f>
        <v>5.011111E-2</v>
      </c>
      <c r="G25" s="84">
        <f t="shared" si="2"/>
        <v>285139.59760273935</v>
      </c>
      <c r="H25" s="84">
        <v>0</v>
      </c>
      <c r="I25" s="109">
        <f t="shared" si="7"/>
        <v>277.91952054794518</v>
      </c>
      <c r="J25" s="85">
        <f t="shared" si="10"/>
        <v>3601.5256990576659</v>
      </c>
      <c r="K25" s="129">
        <f t="shared" si="3"/>
        <v>3879.4452196056109</v>
      </c>
      <c r="L25" s="85">
        <f t="shared" si="11"/>
        <v>56750</v>
      </c>
      <c r="M25" s="130">
        <f t="shared" si="6"/>
        <v>60629.445219605608</v>
      </c>
      <c r="N25" s="129">
        <f t="shared" si="4"/>
        <v>288741.12330179702</v>
      </c>
      <c r="O25" s="84">
        <f t="shared" si="0"/>
        <v>228111.67808219141</v>
      </c>
    </row>
    <row r="26" spans="1:15" x14ac:dyDescent="0.2">
      <c r="A26" s="96" t="s">
        <v>70</v>
      </c>
      <c r="B26" s="81" t="str">
        <f t="shared" si="5"/>
        <v>Q4/2018</v>
      </c>
      <c r="C26" s="82">
        <f t="shared" si="8"/>
        <v>43374</v>
      </c>
      <c r="D26" s="82">
        <f t="shared" si="1"/>
        <v>43465</v>
      </c>
      <c r="E26" s="81">
        <f t="shared" si="9"/>
        <v>92</v>
      </c>
      <c r="F26" s="83">
        <f>VLOOKUP(D26,'FERC Interest Rate'!$A:$B,2,TRUE)</f>
        <v>5.2822580000000001E-2</v>
      </c>
      <c r="G26" s="84">
        <f t="shared" si="2"/>
        <v>228111.67808219141</v>
      </c>
      <c r="H26" s="84">
        <v>0</v>
      </c>
      <c r="I26" s="109">
        <f t="shared" si="7"/>
        <v>277.91952054794518</v>
      </c>
      <c r="J26" s="85">
        <f t="shared" si="10"/>
        <v>3037.1209795277646</v>
      </c>
      <c r="K26" s="129">
        <f t="shared" si="3"/>
        <v>3315.0405000757096</v>
      </c>
      <c r="L26" s="85">
        <f t="shared" si="11"/>
        <v>56750</v>
      </c>
      <c r="M26" s="130">
        <f t="shared" si="6"/>
        <v>60065.040500075709</v>
      </c>
      <c r="N26" s="129">
        <f t="shared" si="4"/>
        <v>231148.79906171918</v>
      </c>
      <c r="O26" s="84">
        <f t="shared" si="0"/>
        <v>171083.75856164348</v>
      </c>
    </row>
    <row r="27" spans="1:15" x14ac:dyDescent="0.2">
      <c r="A27" s="96" t="s">
        <v>71</v>
      </c>
      <c r="B27" s="81" t="str">
        <f t="shared" si="5"/>
        <v>Q1/2019</v>
      </c>
      <c r="C27" s="82">
        <f t="shared" si="8"/>
        <v>43466</v>
      </c>
      <c r="D27" s="82">
        <f t="shared" si="1"/>
        <v>43555</v>
      </c>
      <c r="E27" s="81">
        <f t="shared" si="9"/>
        <v>90</v>
      </c>
      <c r="F27" s="83">
        <f>VLOOKUP(D27,'FERC Interest Rate'!$A:$B,2,TRUE)</f>
        <v>5.5296770000000002E-2</v>
      </c>
      <c r="G27" s="84">
        <f t="shared" si="2"/>
        <v>171083.75856164348</v>
      </c>
      <c r="H27" s="84">
        <v>0</v>
      </c>
      <c r="I27" s="109">
        <f t="shared" si="7"/>
        <v>277.91952054794518</v>
      </c>
      <c r="J27" s="85">
        <f t="shared" si="10"/>
        <v>2332.6962529114676</v>
      </c>
      <c r="K27" s="129">
        <f t="shared" si="3"/>
        <v>2610.6157734594126</v>
      </c>
      <c r="L27" s="85">
        <f t="shared" si="11"/>
        <v>56750</v>
      </c>
      <c r="M27" s="130">
        <f t="shared" si="6"/>
        <v>59360.615773459416</v>
      </c>
      <c r="N27" s="129">
        <f t="shared" si="4"/>
        <v>173416.45481455495</v>
      </c>
      <c r="O27" s="84">
        <f t="shared" si="0"/>
        <v>114055.83904109553</v>
      </c>
    </row>
    <row r="28" spans="1:15" x14ac:dyDescent="0.2">
      <c r="A28" s="96" t="s">
        <v>72</v>
      </c>
      <c r="B28" s="81" t="str">
        <f t="shared" si="5"/>
        <v>Q2/2019</v>
      </c>
      <c r="C28" s="82">
        <f t="shared" si="8"/>
        <v>43556</v>
      </c>
      <c r="D28" s="82">
        <f t="shared" si="1"/>
        <v>43646</v>
      </c>
      <c r="E28" s="81">
        <f t="shared" si="9"/>
        <v>91</v>
      </c>
      <c r="F28" s="83">
        <f>VLOOKUP(D28,'FERC Interest Rate'!$A:$B,2,TRUE)</f>
        <v>5.7999999999999996E-2</v>
      </c>
      <c r="G28" s="84">
        <f t="shared" si="2"/>
        <v>114055.83904109553</v>
      </c>
      <c r="H28" s="84">
        <v>0</v>
      </c>
      <c r="I28" s="109">
        <f t="shared" si="7"/>
        <v>277.91952054794518</v>
      </c>
      <c r="J28" s="85">
        <f t="shared" si="10"/>
        <v>1649.2786807093212</v>
      </c>
      <c r="K28" s="129">
        <f t="shared" si="3"/>
        <v>1927.1982012572664</v>
      </c>
      <c r="L28" s="85">
        <f t="shared" si="11"/>
        <v>56750</v>
      </c>
      <c r="M28" s="130">
        <f t="shared" si="6"/>
        <v>58677.19820125727</v>
      </c>
      <c r="N28" s="129">
        <f t="shared" si="4"/>
        <v>115705.11772180485</v>
      </c>
      <c r="O28" s="84">
        <f t="shared" si="0"/>
        <v>57027.919520547584</v>
      </c>
    </row>
    <row r="29" spans="1:15" x14ac:dyDescent="0.2">
      <c r="A29" s="96" t="s">
        <v>73</v>
      </c>
      <c r="B29" s="81" t="str">
        <f t="shared" si="5"/>
        <v>Q3/2019</v>
      </c>
      <c r="C29" s="82">
        <f t="shared" si="8"/>
        <v>43647</v>
      </c>
      <c r="D29" s="82">
        <f t="shared" si="1"/>
        <v>43738</v>
      </c>
      <c r="E29" s="81">
        <f t="shared" si="9"/>
        <v>92</v>
      </c>
      <c r="F29" s="83">
        <f>VLOOKUP(D29,'FERC Interest Rate'!$A:$B,2,TRUE)</f>
        <v>0.06</v>
      </c>
      <c r="G29" s="84">
        <f t="shared" si="2"/>
        <v>57027.919520547584</v>
      </c>
      <c r="H29" s="84">
        <v>0</v>
      </c>
      <c r="I29" s="109">
        <f t="shared" si="7"/>
        <v>277.91952054794518</v>
      </c>
      <c r="J29" s="85">
        <f t="shared" si="10"/>
        <v>862.44963220115801</v>
      </c>
      <c r="K29" s="129">
        <f t="shared" si="3"/>
        <v>1140.3691527491033</v>
      </c>
      <c r="L29" s="85">
        <f t="shared" si="11"/>
        <v>56750</v>
      </c>
      <c r="M29" s="130">
        <f t="shared" si="6"/>
        <v>57890.369152749103</v>
      </c>
      <c r="N29" s="129">
        <f t="shared" si="4"/>
        <v>57890.369152748739</v>
      </c>
      <c r="O29" s="84">
        <f t="shared" si="0"/>
        <v>-3.6078517950954847E-10</v>
      </c>
    </row>
    <row r="30" spans="1:15" x14ac:dyDescent="0.2">
      <c r="B30" s="11"/>
      <c r="C30" s="125"/>
      <c r="D30" s="125"/>
      <c r="E30" s="10"/>
      <c r="F30" s="11"/>
      <c r="G30" s="85"/>
      <c r="H30" s="12"/>
      <c r="I30" s="115"/>
      <c r="J30" s="85"/>
      <c r="K30" s="117"/>
      <c r="L30" s="70"/>
      <c r="M30" s="131"/>
      <c r="N30" s="117"/>
      <c r="O30" s="85"/>
    </row>
    <row r="31" spans="1:15" ht="13.5" thickBot="1" x14ac:dyDescent="0.25">
      <c r="A31" s="99"/>
      <c r="B31" s="133"/>
      <c r="C31" s="134"/>
      <c r="D31" s="134"/>
      <c r="E31" s="135"/>
      <c r="F31" s="136"/>
      <c r="G31" s="140">
        <f>+SUM(G10:G30)</f>
        <v>12141388.467465749</v>
      </c>
      <c r="H31" s="140">
        <f t="shared" ref="H31:O31" si="12">+SUM(H10:H30)</f>
        <v>5558.3904109589039</v>
      </c>
      <c r="I31" s="141">
        <f t="shared" si="12"/>
        <v>5558.3904109589039</v>
      </c>
      <c r="J31" s="140">
        <f t="shared" si="12"/>
        <v>100254.12246647994</v>
      </c>
      <c r="K31" s="140">
        <f t="shared" si="12"/>
        <v>105812.51287743887</v>
      </c>
      <c r="L31" s="140">
        <f t="shared" si="12"/>
        <v>1135000</v>
      </c>
      <c r="M31" s="142">
        <f t="shared" si="12"/>
        <v>1231672.4216666115</v>
      </c>
      <c r="N31" s="140">
        <f t="shared" si="12"/>
        <v>12247200.980343187</v>
      </c>
      <c r="O31" s="140">
        <f t="shared" si="12"/>
        <v>11006388.467465749</v>
      </c>
    </row>
    <row r="32" spans="1:15" ht="13.5" thickTop="1" x14ac:dyDescent="0.2">
      <c r="B32" s="117"/>
      <c r="C32" s="117"/>
      <c r="D32" s="117"/>
      <c r="E32" s="117"/>
      <c r="F32" s="117"/>
      <c r="G32" s="117"/>
      <c r="H32" s="117"/>
      <c r="I32" s="116"/>
      <c r="J32" s="117"/>
      <c r="K32" s="117"/>
      <c r="L32" s="117"/>
      <c r="M32" s="131"/>
      <c r="N32" s="117"/>
      <c r="O32" s="117"/>
    </row>
    <row r="33" spans="1:15" ht="36.75" x14ac:dyDescent="0.2">
      <c r="A33" s="90" t="s">
        <v>53</v>
      </c>
      <c r="B33" s="90" t="s">
        <v>3</v>
      </c>
      <c r="C33" s="90" t="s">
        <v>4</v>
      </c>
      <c r="D33" s="90" t="s">
        <v>5</v>
      </c>
      <c r="E33" s="90" t="s">
        <v>6</v>
      </c>
      <c r="F33" s="90" t="s">
        <v>7</v>
      </c>
      <c r="G33" s="90" t="s">
        <v>80</v>
      </c>
      <c r="H33" s="90" t="s">
        <v>81</v>
      </c>
      <c r="I33" s="105" t="s">
        <v>82</v>
      </c>
      <c r="J33" s="106" t="s">
        <v>83</v>
      </c>
      <c r="K33" s="106" t="s">
        <v>84</v>
      </c>
      <c r="L33" s="106" t="s">
        <v>85</v>
      </c>
      <c r="M33" s="107" t="s">
        <v>75</v>
      </c>
      <c r="N33" s="90" t="s">
        <v>86</v>
      </c>
      <c r="O33" s="90" t="s">
        <v>87</v>
      </c>
    </row>
    <row r="34" spans="1:15" x14ac:dyDescent="0.2">
      <c r="B34" s="81"/>
      <c r="C34" s="82">
        <f>$B$2</f>
        <v>41913</v>
      </c>
      <c r="D34" s="82">
        <f>DATE(YEAR(C34),IF(MONTH(C34)&lt;=3,3,IF(MONTH(C34)&lt;=6,6,IF(MONTH(C34)&lt;=9,9,12))),IF(OR(MONTH(C34)&lt;=3,MONTH(C34)&gt;=10),31,30))</f>
        <v>42004</v>
      </c>
      <c r="E34" s="81">
        <f>D34-C34+1</f>
        <v>92</v>
      </c>
      <c r="F34" s="83">
        <f>VLOOKUP(D34,'FERC Interest Rate'!$A:$B,2,TRUE)</f>
        <v>3.2500000000000001E-2</v>
      </c>
      <c r="G34" s="84">
        <f>$E$2</f>
        <v>0</v>
      </c>
      <c r="H34" s="84">
        <f t="shared" ref="H34:H41" si="13">G34*F34*(E34/(DATE(YEAR(D34),12,31)-DATE(YEAR(D34),1,1)+1))</f>
        <v>0</v>
      </c>
      <c r="I34" s="109">
        <v>0</v>
      </c>
      <c r="J34" s="85">
        <v>0</v>
      </c>
      <c r="K34" s="129">
        <f t="shared" ref="K34:K61" si="14">+SUM(I34:J34)</f>
        <v>0</v>
      </c>
      <c r="L34" s="85">
        <v>0</v>
      </c>
      <c r="M34" s="130">
        <f t="shared" ref="M34:M61" si="15">+SUM(K34:L34)</f>
        <v>0</v>
      </c>
      <c r="N34" s="129">
        <f t="shared" ref="N34:N61" si="16">+G34+H34+J34</f>
        <v>0</v>
      </c>
      <c r="O34" s="84">
        <f t="shared" ref="O34:O61" si="17">G34+H34-L34-I34</f>
        <v>0</v>
      </c>
    </row>
    <row r="35" spans="1:15" x14ac:dyDescent="0.2">
      <c r="B35" s="81"/>
      <c r="C35" s="82">
        <f>D34+1</f>
        <v>42005</v>
      </c>
      <c r="D35" s="82">
        <f>EOMONTH(D34,3)</f>
        <v>42094</v>
      </c>
      <c r="E35" s="81">
        <f t="shared" ref="E35:E61" si="18">D35-C35+1</f>
        <v>90</v>
      </c>
      <c r="F35" s="83">
        <f>VLOOKUP(D35,'FERC Interest Rate'!$A:$B,2,TRUE)</f>
        <v>3.2500000000000001E-2</v>
      </c>
      <c r="G35" s="84">
        <f t="shared" ref="G35:G61" si="19">O34</f>
        <v>0</v>
      </c>
      <c r="H35" s="84">
        <f t="shared" si="13"/>
        <v>0</v>
      </c>
      <c r="I35" s="109">
        <v>0</v>
      </c>
      <c r="J35" s="85">
        <v>0</v>
      </c>
      <c r="K35" s="129">
        <f t="shared" si="14"/>
        <v>0</v>
      </c>
      <c r="L35" s="85">
        <v>0</v>
      </c>
      <c r="M35" s="130">
        <f t="shared" si="15"/>
        <v>0</v>
      </c>
      <c r="N35" s="129">
        <f t="shared" si="16"/>
        <v>0</v>
      </c>
      <c r="O35" s="84">
        <f t="shared" si="17"/>
        <v>0</v>
      </c>
    </row>
    <row r="36" spans="1:15" x14ac:dyDescent="0.2">
      <c r="B36" s="81"/>
      <c r="C36" s="82">
        <f t="shared" ref="C36:C61" si="20">D35+1</f>
        <v>42095</v>
      </c>
      <c r="D36" s="82">
        <f t="shared" ref="D36:D61" si="21">EOMONTH(D35,3)</f>
        <v>42185</v>
      </c>
      <c r="E36" s="81">
        <f t="shared" si="18"/>
        <v>91</v>
      </c>
      <c r="F36" s="83">
        <f>VLOOKUP(D36,'FERC Interest Rate'!$A:$B,2,TRUE)</f>
        <v>3.2500000000000001E-2</v>
      </c>
      <c r="G36" s="84">
        <f t="shared" si="19"/>
        <v>0</v>
      </c>
      <c r="H36" s="84">
        <f t="shared" si="13"/>
        <v>0</v>
      </c>
      <c r="I36" s="109">
        <v>0</v>
      </c>
      <c r="J36" s="85">
        <v>0</v>
      </c>
      <c r="K36" s="129">
        <f t="shared" si="14"/>
        <v>0</v>
      </c>
      <c r="L36" s="85">
        <v>0</v>
      </c>
      <c r="M36" s="130">
        <f t="shared" si="15"/>
        <v>0</v>
      </c>
      <c r="N36" s="129">
        <f t="shared" si="16"/>
        <v>0</v>
      </c>
      <c r="O36" s="84">
        <f t="shared" si="17"/>
        <v>0</v>
      </c>
    </row>
    <row r="37" spans="1:15" x14ac:dyDescent="0.2">
      <c r="B37" s="81"/>
      <c r="C37" s="82">
        <f t="shared" si="20"/>
        <v>42186</v>
      </c>
      <c r="D37" s="82">
        <f t="shared" si="21"/>
        <v>42277</v>
      </c>
      <c r="E37" s="81">
        <f t="shared" si="18"/>
        <v>92</v>
      </c>
      <c r="F37" s="83">
        <f>VLOOKUP(D37,'FERC Interest Rate'!$A:$B,2,TRUE)</f>
        <v>3.2500000000000001E-2</v>
      </c>
      <c r="G37" s="84">
        <f t="shared" si="19"/>
        <v>0</v>
      </c>
      <c r="H37" s="84">
        <f t="shared" si="13"/>
        <v>0</v>
      </c>
      <c r="I37" s="109">
        <v>0</v>
      </c>
      <c r="J37" s="85">
        <v>0</v>
      </c>
      <c r="K37" s="129">
        <f t="shared" si="14"/>
        <v>0</v>
      </c>
      <c r="L37" s="85">
        <v>0</v>
      </c>
      <c r="M37" s="130">
        <f t="shared" si="15"/>
        <v>0</v>
      </c>
      <c r="N37" s="129">
        <f t="shared" si="16"/>
        <v>0</v>
      </c>
      <c r="O37" s="84">
        <f t="shared" si="17"/>
        <v>0</v>
      </c>
    </row>
    <row r="38" spans="1:15" x14ac:dyDescent="0.2">
      <c r="B38" s="81"/>
      <c r="C38" s="82">
        <f t="shared" si="20"/>
        <v>42278</v>
      </c>
      <c r="D38" s="82">
        <f t="shared" si="21"/>
        <v>42369</v>
      </c>
      <c r="E38" s="81">
        <f t="shared" si="18"/>
        <v>92</v>
      </c>
      <c r="F38" s="83">
        <f>VLOOKUP(D38,'FERC Interest Rate'!$A:$B,2,TRUE)</f>
        <v>3.2500000000000001E-2</v>
      </c>
      <c r="G38" s="84">
        <f t="shared" si="19"/>
        <v>0</v>
      </c>
      <c r="H38" s="84">
        <f t="shared" si="13"/>
        <v>0</v>
      </c>
      <c r="I38" s="109">
        <v>0</v>
      </c>
      <c r="J38" s="85">
        <v>0</v>
      </c>
      <c r="K38" s="129">
        <f t="shared" si="14"/>
        <v>0</v>
      </c>
      <c r="L38" s="85">
        <v>0</v>
      </c>
      <c r="M38" s="130">
        <f t="shared" si="15"/>
        <v>0</v>
      </c>
      <c r="N38" s="129">
        <f t="shared" si="16"/>
        <v>0</v>
      </c>
      <c r="O38" s="84">
        <f t="shared" si="17"/>
        <v>0</v>
      </c>
    </row>
    <row r="39" spans="1:15" x14ac:dyDescent="0.2">
      <c r="B39" s="81"/>
      <c r="C39" s="82">
        <f t="shared" si="20"/>
        <v>42370</v>
      </c>
      <c r="D39" s="82">
        <f t="shared" si="21"/>
        <v>42460</v>
      </c>
      <c r="E39" s="81">
        <f t="shared" si="18"/>
        <v>91</v>
      </c>
      <c r="F39" s="83">
        <f>VLOOKUP(D39,'FERC Interest Rate'!$A:$B,2,TRUE)</f>
        <v>3.2500000000000001E-2</v>
      </c>
      <c r="G39" s="84">
        <f t="shared" si="19"/>
        <v>0</v>
      </c>
      <c r="H39" s="84">
        <f t="shared" si="13"/>
        <v>0</v>
      </c>
      <c r="I39" s="109">
        <v>0</v>
      </c>
      <c r="J39" s="85">
        <v>0</v>
      </c>
      <c r="K39" s="129">
        <f t="shared" si="14"/>
        <v>0</v>
      </c>
      <c r="L39" s="85">
        <v>0</v>
      </c>
      <c r="M39" s="130">
        <f t="shared" si="15"/>
        <v>0</v>
      </c>
      <c r="N39" s="129">
        <f t="shared" si="16"/>
        <v>0</v>
      </c>
      <c r="O39" s="84">
        <f t="shared" si="17"/>
        <v>0</v>
      </c>
    </row>
    <row r="40" spans="1:15" x14ac:dyDescent="0.2">
      <c r="B40" s="81"/>
      <c r="C40" s="82">
        <f t="shared" si="20"/>
        <v>42461</v>
      </c>
      <c r="D40" s="82">
        <f t="shared" si="21"/>
        <v>42551</v>
      </c>
      <c r="E40" s="81">
        <f t="shared" si="18"/>
        <v>91</v>
      </c>
      <c r="F40" s="83">
        <f>VLOOKUP(D40,'FERC Interest Rate'!$A:$B,2,TRUE)</f>
        <v>3.4599999999999999E-2</v>
      </c>
      <c r="G40" s="84">
        <f t="shared" si="19"/>
        <v>0</v>
      </c>
      <c r="H40" s="84">
        <f t="shared" si="13"/>
        <v>0</v>
      </c>
      <c r="I40" s="109">
        <v>0</v>
      </c>
      <c r="J40" s="85">
        <v>0</v>
      </c>
      <c r="K40" s="129">
        <f t="shared" si="14"/>
        <v>0</v>
      </c>
      <c r="L40" s="85">
        <v>0</v>
      </c>
      <c r="M40" s="130">
        <f t="shared" si="15"/>
        <v>0</v>
      </c>
      <c r="N40" s="129">
        <f t="shared" si="16"/>
        <v>0</v>
      </c>
      <c r="O40" s="84">
        <f t="shared" si="17"/>
        <v>0</v>
      </c>
    </row>
    <row r="41" spans="1:15" x14ac:dyDescent="0.2">
      <c r="B41" s="81"/>
      <c r="C41" s="82">
        <f t="shared" si="20"/>
        <v>42552</v>
      </c>
      <c r="D41" s="82">
        <f t="shared" si="21"/>
        <v>42643</v>
      </c>
      <c r="E41" s="81">
        <f t="shared" si="18"/>
        <v>92</v>
      </c>
      <c r="F41" s="83">
        <f>VLOOKUP(D41,'FERC Interest Rate'!$A:$B,2,TRUE)</f>
        <v>3.5000000000000003E-2</v>
      </c>
      <c r="G41" s="84">
        <f t="shared" si="19"/>
        <v>0</v>
      </c>
      <c r="H41" s="84">
        <f t="shared" si="13"/>
        <v>0</v>
      </c>
      <c r="I41" s="109">
        <v>0</v>
      </c>
      <c r="J41" s="85">
        <v>0</v>
      </c>
      <c r="K41" s="129">
        <f t="shared" si="14"/>
        <v>0</v>
      </c>
      <c r="L41" s="85">
        <v>0</v>
      </c>
      <c r="M41" s="130">
        <f t="shared" si="15"/>
        <v>0</v>
      </c>
      <c r="N41" s="129">
        <f t="shared" si="16"/>
        <v>0</v>
      </c>
      <c r="O41" s="84">
        <f t="shared" si="17"/>
        <v>0</v>
      </c>
    </row>
    <row r="42" spans="1:15" x14ac:dyDescent="0.2">
      <c r="B42" s="81"/>
      <c r="C42" s="82">
        <f t="shared" si="20"/>
        <v>42644</v>
      </c>
      <c r="D42" s="82">
        <f t="shared" si="21"/>
        <v>42735</v>
      </c>
      <c r="E42" s="81">
        <f t="shared" si="18"/>
        <v>92</v>
      </c>
      <c r="F42" s="83">
        <f>VLOOKUP(D42,'FERC Interest Rate'!$A:$B,2,TRUE)</f>
        <v>3.5000000000000003E-2</v>
      </c>
      <c r="G42" s="84">
        <f t="shared" si="19"/>
        <v>0</v>
      </c>
      <c r="H42" s="84">
        <v>0</v>
      </c>
      <c r="I42" s="109">
        <v>0</v>
      </c>
      <c r="J42" s="85">
        <v>0</v>
      </c>
      <c r="K42" s="129">
        <f t="shared" si="14"/>
        <v>0</v>
      </c>
      <c r="L42" s="85">
        <f t="shared" ref="L42:L61" si="22">$G$34/20</f>
        <v>0</v>
      </c>
      <c r="M42" s="130">
        <f t="shared" si="15"/>
        <v>0</v>
      </c>
      <c r="N42" s="129">
        <f t="shared" si="16"/>
        <v>0</v>
      </c>
      <c r="O42" s="84">
        <f t="shared" si="17"/>
        <v>0</v>
      </c>
    </row>
    <row r="43" spans="1:15" x14ac:dyDescent="0.2">
      <c r="B43" s="81"/>
      <c r="C43" s="82">
        <f t="shared" si="20"/>
        <v>42736</v>
      </c>
      <c r="D43" s="82">
        <f t="shared" si="21"/>
        <v>42825</v>
      </c>
      <c r="E43" s="81">
        <f t="shared" si="18"/>
        <v>90</v>
      </c>
      <c r="F43" s="83">
        <f>VLOOKUP(D43,'FERC Interest Rate'!$A:$B,2,TRUE)</f>
        <v>3.5000000000000003E-2</v>
      </c>
      <c r="G43" s="84">
        <f t="shared" si="19"/>
        <v>0</v>
      </c>
      <c r="H43" s="84">
        <v>0</v>
      </c>
      <c r="I43" s="109">
        <v>0</v>
      </c>
      <c r="J43" s="85">
        <v>0</v>
      </c>
      <c r="K43" s="129">
        <f t="shared" si="14"/>
        <v>0</v>
      </c>
      <c r="L43" s="85">
        <f t="shared" si="22"/>
        <v>0</v>
      </c>
      <c r="M43" s="130">
        <f t="shared" si="15"/>
        <v>0</v>
      </c>
      <c r="N43" s="129">
        <f t="shared" si="16"/>
        <v>0</v>
      </c>
      <c r="O43" s="84">
        <f t="shared" si="17"/>
        <v>0</v>
      </c>
    </row>
    <row r="44" spans="1:15" x14ac:dyDescent="0.2">
      <c r="B44" s="81"/>
      <c r="C44" s="82">
        <f t="shared" si="20"/>
        <v>42826</v>
      </c>
      <c r="D44" s="82">
        <f t="shared" si="21"/>
        <v>42916</v>
      </c>
      <c r="E44" s="81">
        <f t="shared" si="18"/>
        <v>91</v>
      </c>
      <c r="F44" s="83">
        <f>VLOOKUP(D44,'FERC Interest Rate'!$A:$B,2,TRUE)</f>
        <v>3.7100000000000001E-2</v>
      </c>
      <c r="G44" s="84">
        <f t="shared" si="19"/>
        <v>0</v>
      </c>
      <c r="H44" s="84">
        <v>0</v>
      </c>
      <c r="I44" s="109">
        <v>0</v>
      </c>
      <c r="J44" s="85">
        <v>0</v>
      </c>
      <c r="K44" s="129">
        <f t="shared" si="14"/>
        <v>0</v>
      </c>
      <c r="L44" s="85">
        <f t="shared" si="22"/>
        <v>0</v>
      </c>
      <c r="M44" s="130">
        <f t="shared" si="15"/>
        <v>0</v>
      </c>
      <c r="N44" s="129">
        <f t="shared" si="16"/>
        <v>0</v>
      </c>
      <c r="O44" s="84">
        <f t="shared" si="17"/>
        <v>0</v>
      </c>
    </row>
    <row r="45" spans="1:15" x14ac:dyDescent="0.2">
      <c r="B45" s="81"/>
      <c r="C45" s="82">
        <f t="shared" si="20"/>
        <v>42917</v>
      </c>
      <c r="D45" s="82">
        <f t="shared" si="21"/>
        <v>43008</v>
      </c>
      <c r="E45" s="81">
        <f t="shared" si="18"/>
        <v>92</v>
      </c>
      <c r="F45" s="83">
        <f>VLOOKUP(D45,'FERC Interest Rate'!$A:$B,2,TRUE)</f>
        <v>3.9600000000000003E-2</v>
      </c>
      <c r="G45" s="84">
        <f t="shared" si="19"/>
        <v>0</v>
      </c>
      <c r="H45" s="84">
        <v>0</v>
      </c>
      <c r="I45" s="109">
        <v>0</v>
      </c>
      <c r="J45" s="85">
        <v>0</v>
      </c>
      <c r="K45" s="129">
        <f t="shared" si="14"/>
        <v>0</v>
      </c>
      <c r="L45" s="85">
        <f t="shared" si="22"/>
        <v>0</v>
      </c>
      <c r="M45" s="130">
        <f t="shared" si="15"/>
        <v>0</v>
      </c>
      <c r="N45" s="129">
        <f t="shared" si="16"/>
        <v>0</v>
      </c>
      <c r="O45" s="84">
        <f t="shared" si="17"/>
        <v>0</v>
      </c>
    </row>
    <row r="46" spans="1:15" x14ac:dyDescent="0.2">
      <c r="B46" s="81"/>
      <c r="C46" s="82">
        <f t="shared" si="20"/>
        <v>43009</v>
      </c>
      <c r="D46" s="82">
        <f t="shared" si="21"/>
        <v>43100</v>
      </c>
      <c r="E46" s="81">
        <f t="shared" si="18"/>
        <v>92</v>
      </c>
      <c r="F46" s="83">
        <f>VLOOKUP(D46,'FERC Interest Rate'!$A:$B,2,TRUE)</f>
        <v>4.2099999999999999E-2</v>
      </c>
      <c r="G46" s="84">
        <f t="shared" si="19"/>
        <v>0</v>
      </c>
      <c r="H46" s="84">
        <v>0</v>
      </c>
      <c r="I46" s="109">
        <v>0</v>
      </c>
      <c r="J46" s="85">
        <v>0</v>
      </c>
      <c r="K46" s="129">
        <f t="shared" si="14"/>
        <v>0</v>
      </c>
      <c r="L46" s="85">
        <f t="shared" si="22"/>
        <v>0</v>
      </c>
      <c r="M46" s="130">
        <f t="shared" si="15"/>
        <v>0</v>
      </c>
      <c r="N46" s="129">
        <f t="shared" si="16"/>
        <v>0</v>
      </c>
      <c r="O46" s="84">
        <f t="shared" si="17"/>
        <v>0</v>
      </c>
    </row>
    <row r="47" spans="1:15" x14ac:dyDescent="0.2">
      <c r="B47" s="81"/>
      <c r="C47" s="82">
        <f t="shared" si="20"/>
        <v>43101</v>
      </c>
      <c r="D47" s="82">
        <f t="shared" si="21"/>
        <v>43190</v>
      </c>
      <c r="E47" s="81">
        <f t="shared" si="18"/>
        <v>90</v>
      </c>
      <c r="F47" s="83">
        <f>VLOOKUP(D47,'FERC Interest Rate'!$A:$B,2,TRUE)</f>
        <v>4.2500000000000003E-2</v>
      </c>
      <c r="G47" s="84">
        <f t="shared" si="19"/>
        <v>0</v>
      </c>
      <c r="H47" s="84">
        <v>0</v>
      </c>
      <c r="I47" s="109">
        <v>0</v>
      </c>
      <c r="J47" s="85">
        <v>0</v>
      </c>
      <c r="K47" s="129">
        <f t="shared" si="14"/>
        <v>0</v>
      </c>
      <c r="L47" s="85">
        <f t="shared" si="22"/>
        <v>0</v>
      </c>
      <c r="M47" s="130">
        <f t="shared" si="15"/>
        <v>0</v>
      </c>
      <c r="N47" s="129">
        <f t="shared" si="16"/>
        <v>0</v>
      </c>
      <c r="O47" s="84">
        <f t="shared" si="17"/>
        <v>0</v>
      </c>
    </row>
    <row r="48" spans="1:15" x14ac:dyDescent="0.2">
      <c r="B48" s="81"/>
      <c r="C48" s="82">
        <f t="shared" si="20"/>
        <v>43191</v>
      </c>
      <c r="D48" s="82">
        <f t="shared" si="21"/>
        <v>43281</v>
      </c>
      <c r="E48" s="81">
        <f t="shared" si="18"/>
        <v>91</v>
      </c>
      <c r="F48" s="83">
        <f>VLOOKUP(D48,'FERC Interest Rate'!$A:$B,2,TRUE)</f>
        <v>4.4699999999999997E-2</v>
      </c>
      <c r="G48" s="84">
        <f t="shared" si="19"/>
        <v>0</v>
      </c>
      <c r="H48" s="84">
        <v>0</v>
      </c>
      <c r="I48" s="109">
        <v>0</v>
      </c>
      <c r="J48" s="85">
        <v>0</v>
      </c>
      <c r="K48" s="129">
        <f t="shared" si="14"/>
        <v>0</v>
      </c>
      <c r="L48" s="85">
        <f t="shared" si="22"/>
        <v>0</v>
      </c>
      <c r="M48" s="130">
        <f t="shared" si="15"/>
        <v>0</v>
      </c>
      <c r="N48" s="129">
        <f t="shared" si="16"/>
        <v>0</v>
      </c>
      <c r="O48" s="84">
        <f t="shared" si="17"/>
        <v>0</v>
      </c>
    </row>
    <row r="49" spans="1:15" x14ac:dyDescent="0.2">
      <c r="B49" s="81"/>
      <c r="C49" s="82">
        <f t="shared" si="20"/>
        <v>43282</v>
      </c>
      <c r="D49" s="82">
        <f t="shared" si="21"/>
        <v>43373</v>
      </c>
      <c r="E49" s="81">
        <f t="shared" si="18"/>
        <v>92</v>
      </c>
      <c r="F49" s="83">
        <f>VLOOKUP(D49,'FERC Interest Rate'!$A:$B,2,TRUE)</f>
        <v>5.011111E-2</v>
      </c>
      <c r="G49" s="84">
        <f t="shared" si="19"/>
        <v>0</v>
      </c>
      <c r="H49" s="84">
        <v>0</v>
      </c>
      <c r="I49" s="109">
        <v>0</v>
      </c>
      <c r="J49" s="85">
        <v>0</v>
      </c>
      <c r="K49" s="129">
        <f t="shared" si="14"/>
        <v>0</v>
      </c>
      <c r="L49" s="85">
        <f t="shared" si="22"/>
        <v>0</v>
      </c>
      <c r="M49" s="130">
        <f t="shared" si="15"/>
        <v>0</v>
      </c>
      <c r="N49" s="129">
        <f t="shared" si="16"/>
        <v>0</v>
      </c>
      <c r="O49" s="84">
        <f t="shared" si="17"/>
        <v>0</v>
      </c>
    </row>
    <row r="50" spans="1:15" x14ac:dyDescent="0.2">
      <c r="B50" s="81"/>
      <c r="C50" s="82">
        <f t="shared" si="20"/>
        <v>43374</v>
      </c>
      <c r="D50" s="82">
        <f t="shared" si="21"/>
        <v>43465</v>
      </c>
      <c r="E50" s="81">
        <f t="shared" si="18"/>
        <v>92</v>
      </c>
      <c r="F50" s="83">
        <f>VLOOKUP(D50,'FERC Interest Rate'!$A:$B,2,TRUE)</f>
        <v>5.2822580000000001E-2</v>
      </c>
      <c r="G50" s="84">
        <f t="shared" si="19"/>
        <v>0</v>
      </c>
      <c r="H50" s="84">
        <v>0</v>
      </c>
      <c r="I50" s="109">
        <v>0</v>
      </c>
      <c r="J50" s="85">
        <v>0</v>
      </c>
      <c r="K50" s="129">
        <f t="shared" si="14"/>
        <v>0</v>
      </c>
      <c r="L50" s="85">
        <f t="shared" si="22"/>
        <v>0</v>
      </c>
      <c r="M50" s="130">
        <f t="shared" si="15"/>
        <v>0</v>
      </c>
      <c r="N50" s="129">
        <f t="shared" si="16"/>
        <v>0</v>
      </c>
      <c r="O50" s="84">
        <f t="shared" si="17"/>
        <v>0</v>
      </c>
    </row>
    <row r="51" spans="1:15" x14ac:dyDescent="0.2">
      <c r="B51" s="81"/>
      <c r="C51" s="82">
        <f t="shared" si="20"/>
        <v>43466</v>
      </c>
      <c r="D51" s="82">
        <f t="shared" si="21"/>
        <v>43555</v>
      </c>
      <c r="E51" s="81">
        <f t="shared" si="18"/>
        <v>90</v>
      </c>
      <c r="F51" s="83">
        <f>VLOOKUP(D51,'FERC Interest Rate'!$A:$B,2,TRUE)</f>
        <v>5.5296770000000002E-2</v>
      </c>
      <c r="G51" s="84">
        <f t="shared" si="19"/>
        <v>0</v>
      </c>
      <c r="H51" s="84">
        <v>0</v>
      </c>
      <c r="I51" s="109">
        <v>0</v>
      </c>
      <c r="J51" s="85">
        <v>0</v>
      </c>
      <c r="K51" s="129">
        <f t="shared" si="14"/>
        <v>0</v>
      </c>
      <c r="L51" s="85">
        <f t="shared" si="22"/>
        <v>0</v>
      </c>
      <c r="M51" s="130">
        <f t="shared" si="15"/>
        <v>0</v>
      </c>
      <c r="N51" s="129">
        <f t="shared" si="16"/>
        <v>0</v>
      </c>
      <c r="O51" s="84">
        <f t="shared" si="17"/>
        <v>0</v>
      </c>
    </row>
    <row r="52" spans="1:15" x14ac:dyDescent="0.2">
      <c r="B52" s="81"/>
      <c r="C52" s="82">
        <f t="shared" si="20"/>
        <v>43556</v>
      </c>
      <c r="D52" s="82">
        <f t="shared" si="21"/>
        <v>43646</v>
      </c>
      <c r="E52" s="81">
        <f t="shared" si="18"/>
        <v>91</v>
      </c>
      <c r="F52" s="83">
        <f>VLOOKUP(D52,'FERC Interest Rate'!$A:$B,2,TRUE)</f>
        <v>5.7999999999999996E-2</v>
      </c>
      <c r="G52" s="84">
        <f t="shared" si="19"/>
        <v>0</v>
      </c>
      <c r="H52" s="84">
        <v>0</v>
      </c>
      <c r="I52" s="109">
        <v>0</v>
      </c>
      <c r="J52" s="85">
        <v>0</v>
      </c>
      <c r="K52" s="129">
        <f t="shared" si="14"/>
        <v>0</v>
      </c>
      <c r="L52" s="85">
        <f t="shared" si="22"/>
        <v>0</v>
      </c>
      <c r="M52" s="130">
        <f t="shared" si="15"/>
        <v>0</v>
      </c>
      <c r="N52" s="129">
        <f t="shared" si="16"/>
        <v>0</v>
      </c>
      <c r="O52" s="84">
        <f t="shared" si="17"/>
        <v>0</v>
      </c>
    </row>
    <row r="53" spans="1:15" x14ac:dyDescent="0.2">
      <c r="B53" s="81"/>
      <c r="C53" s="82">
        <f t="shared" si="20"/>
        <v>43647</v>
      </c>
      <c r="D53" s="82">
        <f t="shared" si="21"/>
        <v>43738</v>
      </c>
      <c r="E53" s="81">
        <f t="shared" si="18"/>
        <v>92</v>
      </c>
      <c r="F53" s="83">
        <f>VLOOKUP(D53,'FERC Interest Rate'!$A:$B,2,TRUE)</f>
        <v>0.06</v>
      </c>
      <c r="G53" s="84">
        <f t="shared" si="19"/>
        <v>0</v>
      </c>
      <c r="H53" s="84">
        <v>0</v>
      </c>
      <c r="I53" s="109">
        <v>0</v>
      </c>
      <c r="J53" s="85">
        <v>0</v>
      </c>
      <c r="K53" s="129">
        <f t="shared" si="14"/>
        <v>0</v>
      </c>
      <c r="L53" s="85">
        <f t="shared" si="22"/>
        <v>0</v>
      </c>
      <c r="M53" s="130">
        <f t="shared" si="15"/>
        <v>0</v>
      </c>
      <c r="N53" s="129">
        <f t="shared" si="16"/>
        <v>0</v>
      </c>
      <c r="O53" s="84">
        <f t="shared" si="17"/>
        <v>0</v>
      </c>
    </row>
    <row r="54" spans="1:15" x14ac:dyDescent="0.2">
      <c r="B54" s="81"/>
      <c r="C54" s="82">
        <f t="shared" si="20"/>
        <v>43739</v>
      </c>
      <c r="D54" s="82">
        <f t="shared" si="21"/>
        <v>43830</v>
      </c>
      <c r="E54" s="81">
        <f t="shared" si="18"/>
        <v>92</v>
      </c>
      <c r="F54" s="83">
        <f>VLOOKUP(D54,'FERC Interest Rate'!$A:$B,2,TRUE)</f>
        <v>6.0349460000000001E-2</v>
      </c>
      <c r="G54" s="84">
        <f t="shared" si="19"/>
        <v>0</v>
      </c>
      <c r="H54" s="84">
        <v>0</v>
      </c>
      <c r="I54" s="109">
        <v>0</v>
      </c>
      <c r="J54" s="85">
        <v>0</v>
      </c>
      <c r="K54" s="129">
        <f t="shared" si="14"/>
        <v>0</v>
      </c>
      <c r="L54" s="85">
        <f t="shared" si="22"/>
        <v>0</v>
      </c>
      <c r="M54" s="130">
        <f t="shared" si="15"/>
        <v>0</v>
      </c>
      <c r="N54" s="129">
        <f t="shared" si="16"/>
        <v>0</v>
      </c>
      <c r="O54" s="84">
        <f t="shared" si="17"/>
        <v>0</v>
      </c>
    </row>
    <row r="55" spans="1:15" x14ac:dyDescent="0.2">
      <c r="B55" s="81"/>
      <c r="C55" s="82">
        <f t="shared" si="20"/>
        <v>43831</v>
      </c>
      <c r="D55" s="82">
        <f t="shared" si="21"/>
        <v>43921</v>
      </c>
      <c r="E55" s="81">
        <f t="shared" si="18"/>
        <v>91</v>
      </c>
      <c r="F55" s="83">
        <f>VLOOKUP(D55,'FERC Interest Rate'!$A:$B,2,TRUE)</f>
        <v>6.2501040000000008E-2</v>
      </c>
      <c r="G55" s="84">
        <f t="shared" si="19"/>
        <v>0</v>
      </c>
      <c r="H55" s="84">
        <v>0</v>
      </c>
      <c r="I55" s="109">
        <v>0</v>
      </c>
      <c r="J55" s="85">
        <v>0</v>
      </c>
      <c r="K55" s="129">
        <f t="shared" si="14"/>
        <v>0</v>
      </c>
      <c r="L55" s="85">
        <f t="shared" si="22"/>
        <v>0</v>
      </c>
      <c r="M55" s="130">
        <f t="shared" si="15"/>
        <v>0</v>
      </c>
      <c r="N55" s="129">
        <f t="shared" si="16"/>
        <v>0</v>
      </c>
      <c r="O55" s="84">
        <f t="shared" si="17"/>
        <v>0</v>
      </c>
    </row>
    <row r="56" spans="1:15" x14ac:dyDescent="0.2">
      <c r="B56" s="81"/>
      <c r="C56" s="82">
        <f t="shared" si="20"/>
        <v>43922</v>
      </c>
      <c r="D56" s="82">
        <f t="shared" si="21"/>
        <v>44012</v>
      </c>
      <c r="E56" s="81">
        <f t="shared" si="18"/>
        <v>91</v>
      </c>
      <c r="F56" s="83">
        <f>VLOOKUP(D56,'FERC Interest Rate'!$A:$B,2,TRUE)</f>
        <v>6.3055559999999997E-2</v>
      </c>
      <c r="G56" s="84">
        <f t="shared" si="19"/>
        <v>0</v>
      </c>
      <c r="H56" s="84">
        <v>0</v>
      </c>
      <c r="I56" s="109">
        <v>0</v>
      </c>
      <c r="J56" s="85">
        <v>0</v>
      </c>
      <c r="K56" s="129">
        <f t="shared" si="14"/>
        <v>0</v>
      </c>
      <c r="L56" s="85">
        <f t="shared" si="22"/>
        <v>0</v>
      </c>
      <c r="M56" s="130">
        <f t="shared" si="15"/>
        <v>0</v>
      </c>
      <c r="N56" s="129">
        <f t="shared" si="16"/>
        <v>0</v>
      </c>
      <c r="O56" s="84">
        <f t="shared" si="17"/>
        <v>0</v>
      </c>
    </row>
    <row r="57" spans="1:15" x14ac:dyDescent="0.2">
      <c r="B57" s="81"/>
      <c r="C57" s="82">
        <f t="shared" si="20"/>
        <v>44013</v>
      </c>
      <c r="D57" s="82">
        <f t="shared" si="21"/>
        <v>44104</v>
      </c>
      <c r="E57" s="81">
        <f t="shared" si="18"/>
        <v>92</v>
      </c>
      <c r="F57" s="83">
        <f>VLOOKUP(D57,'FERC Interest Rate'!$A:$B,2,TRUE)</f>
        <v>6.5000000000000002E-2</v>
      </c>
      <c r="G57" s="84">
        <f t="shared" si="19"/>
        <v>0</v>
      </c>
      <c r="H57" s="84">
        <v>0</v>
      </c>
      <c r="I57" s="109">
        <v>0</v>
      </c>
      <c r="J57" s="85">
        <v>0</v>
      </c>
      <c r="K57" s="129">
        <f t="shared" si="14"/>
        <v>0</v>
      </c>
      <c r="L57" s="85">
        <f t="shared" si="22"/>
        <v>0</v>
      </c>
      <c r="M57" s="130">
        <f t="shared" si="15"/>
        <v>0</v>
      </c>
      <c r="N57" s="129">
        <f t="shared" si="16"/>
        <v>0</v>
      </c>
      <c r="O57" s="84">
        <f t="shared" si="17"/>
        <v>0</v>
      </c>
    </row>
    <row r="58" spans="1:15" x14ac:dyDescent="0.2">
      <c r="B58" s="81"/>
      <c r="C58" s="82">
        <f t="shared" si="20"/>
        <v>44105</v>
      </c>
      <c r="D58" s="82">
        <f t="shared" si="21"/>
        <v>44196</v>
      </c>
      <c r="E58" s="81">
        <f t="shared" si="18"/>
        <v>92</v>
      </c>
      <c r="F58" s="83">
        <f>VLOOKUP(D58,'FERC Interest Rate'!$A:$B,2,TRUE)</f>
        <v>6.5000000000000002E-2</v>
      </c>
      <c r="G58" s="84">
        <f t="shared" si="19"/>
        <v>0</v>
      </c>
      <c r="H58" s="84">
        <v>0</v>
      </c>
      <c r="I58" s="109">
        <v>0</v>
      </c>
      <c r="J58" s="85">
        <v>0</v>
      </c>
      <c r="K58" s="129">
        <f t="shared" si="14"/>
        <v>0</v>
      </c>
      <c r="L58" s="85">
        <f t="shared" si="22"/>
        <v>0</v>
      </c>
      <c r="M58" s="130">
        <f t="shared" si="15"/>
        <v>0</v>
      </c>
      <c r="N58" s="129">
        <f t="shared" si="16"/>
        <v>0</v>
      </c>
      <c r="O58" s="84">
        <f t="shared" si="17"/>
        <v>0</v>
      </c>
    </row>
    <row r="59" spans="1:15" x14ac:dyDescent="0.2">
      <c r="B59" s="81"/>
      <c r="C59" s="82">
        <f t="shared" si="20"/>
        <v>44197</v>
      </c>
      <c r="D59" s="82">
        <f t="shared" si="21"/>
        <v>44286</v>
      </c>
      <c r="E59" s="81">
        <f t="shared" si="18"/>
        <v>90</v>
      </c>
      <c r="F59" s="83">
        <f>VLOOKUP(D59,'FERC Interest Rate'!$A:$B,2,TRUE)</f>
        <v>6.5000000000000002E-2</v>
      </c>
      <c r="G59" s="84">
        <f t="shared" si="19"/>
        <v>0</v>
      </c>
      <c r="H59" s="84">
        <v>0</v>
      </c>
      <c r="I59" s="109">
        <v>0</v>
      </c>
      <c r="J59" s="85">
        <v>0</v>
      </c>
      <c r="K59" s="129">
        <f t="shared" si="14"/>
        <v>0</v>
      </c>
      <c r="L59" s="85">
        <f t="shared" si="22"/>
        <v>0</v>
      </c>
      <c r="M59" s="130">
        <f t="shared" si="15"/>
        <v>0</v>
      </c>
      <c r="N59" s="129">
        <f t="shared" si="16"/>
        <v>0</v>
      </c>
      <c r="O59" s="84">
        <f t="shared" si="17"/>
        <v>0</v>
      </c>
    </row>
    <row r="60" spans="1:15" x14ac:dyDescent="0.2">
      <c r="B60" s="81"/>
      <c r="C60" s="82">
        <f t="shared" si="20"/>
        <v>44287</v>
      </c>
      <c r="D60" s="82">
        <f t="shared" si="21"/>
        <v>44377</v>
      </c>
      <c r="E60" s="81">
        <f t="shared" si="18"/>
        <v>91</v>
      </c>
      <c r="F60" s="83">
        <f>VLOOKUP(D60,'FERC Interest Rate'!$A:$B,2,TRUE)</f>
        <v>6.5000000000000002E-2</v>
      </c>
      <c r="G60" s="84">
        <f t="shared" si="19"/>
        <v>0</v>
      </c>
      <c r="H60" s="84">
        <v>0</v>
      </c>
      <c r="I60" s="109">
        <v>0</v>
      </c>
      <c r="J60" s="85">
        <v>0</v>
      </c>
      <c r="K60" s="129">
        <f t="shared" si="14"/>
        <v>0</v>
      </c>
      <c r="L60" s="85">
        <f t="shared" si="22"/>
        <v>0</v>
      </c>
      <c r="M60" s="130">
        <f t="shared" si="15"/>
        <v>0</v>
      </c>
      <c r="N60" s="129">
        <f t="shared" si="16"/>
        <v>0</v>
      </c>
      <c r="O60" s="84">
        <f t="shared" si="17"/>
        <v>0</v>
      </c>
    </row>
    <row r="61" spans="1:15" x14ac:dyDescent="0.2">
      <c r="B61" s="81"/>
      <c r="C61" s="82">
        <f t="shared" si="20"/>
        <v>44378</v>
      </c>
      <c r="D61" s="82">
        <f t="shared" si="21"/>
        <v>44469</v>
      </c>
      <c r="E61" s="81">
        <f t="shared" si="18"/>
        <v>92</v>
      </c>
      <c r="F61" s="83">
        <f>VLOOKUP(D61,'FERC Interest Rate'!$A:$B,2,TRUE)</f>
        <v>6.5000000000000002E-2</v>
      </c>
      <c r="G61" s="84">
        <f t="shared" si="19"/>
        <v>0</v>
      </c>
      <c r="H61" s="84">
        <v>0</v>
      </c>
      <c r="I61" s="109">
        <v>0</v>
      </c>
      <c r="J61" s="85">
        <v>0</v>
      </c>
      <c r="K61" s="129">
        <f t="shared" si="14"/>
        <v>0</v>
      </c>
      <c r="L61" s="85">
        <f t="shared" si="22"/>
        <v>0</v>
      </c>
      <c r="M61" s="130">
        <f t="shared" si="15"/>
        <v>0</v>
      </c>
      <c r="N61" s="129">
        <f t="shared" si="16"/>
        <v>0</v>
      </c>
      <c r="O61" s="84">
        <f t="shared" si="17"/>
        <v>0</v>
      </c>
    </row>
    <row r="62" spans="1:15" x14ac:dyDescent="0.2">
      <c r="B62" s="11"/>
      <c r="C62" s="98"/>
      <c r="D62" s="98"/>
      <c r="E62" s="10"/>
      <c r="F62" s="11"/>
      <c r="G62" s="85"/>
      <c r="H62" s="85"/>
      <c r="I62" s="132"/>
      <c r="J62" s="12"/>
      <c r="K62" s="12"/>
      <c r="L62" s="85"/>
      <c r="M62" s="131"/>
      <c r="N62" s="117"/>
    </row>
    <row r="63" spans="1:15" ht="13.5" thickBot="1" x14ac:dyDescent="0.25">
      <c r="A63" s="99"/>
      <c r="B63" s="99"/>
      <c r="C63" s="99"/>
      <c r="D63" s="99"/>
      <c r="E63" s="99"/>
      <c r="F63" s="99"/>
      <c r="G63" s="79">
        <f>+SUM(G34:G62)</f>
        <v>0</v>
      </c>
      <c r="H63" s="79">
        <f t="shared" ref="H63:O63" si="23">+SUM(H34:H62)</f>
        <v>0</v>
      </c>
      <c r="I63" s="119">
        <f t="shared" si="23"/>
        <v>0</v>
      </c>
      <c r="J63" s="79">
        <f t="shared" si="23"/>
        <v>0</v>
      </c>
      <c r="K63" s="79">
        <f t="shared" si="23"/>
        <v>0</v>
      </c>
      <c r="L63" s="79">
        <f t="shared" si="23"/>
        <v>0</v>
      </c>
      <c r="M63" s="120">
        <f t="shared" si="23"/>
        <v>0</v>
      </c>
      <c r="N63" s="79">
        <f t="shared" si="23"/>
        <v>0</v>
      </c>
      <c r="O63" s="79">
        <f t="shared" si="23"/>
        <v>0</v>
      </c>
    </row>
    <row r="64" spans="1:15" ht="14.25" thickTop="1" thickBot="1" x14ac:dyDescent="0.25">
      <c r="I64" s="121"/>
      <c r="J64" s="122"/>
      <c r="K64" s="122"/>
      <c r="L64" s="122"/>
      <c r="M64" s="123"/>
    </row>
  </sheetData>
  <mergeCells count="1">
    <mergeCell ref="A10:B11"/>
  </mergeCells>
  <pageMargins left="0.7" right="0.7" top="0.75" bottom="0.75" header="0.3" footer="0.3"/>
  <pageSetup scale="55" fitToHeight="0" orientation="landscape" r:id="rId1"/>
  <headerFooter alignWithMargins="0">
    <oddHeader>&amp;RTO2019 Annual Update
Attachment 4
WP Schedule 22
Page &amp;P of &amp;N</oddHeader>
    <oddFooter>&amp;R&amp;A</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4"/>
  <sheetViews>
    <sheetView zoomScale="80" zoomScaleNormal="80" workbookViewId="0"/>
  </sheetViews>
  <sheetFormatPr defaultColWidth="9.140625" defaultRowHeight="12.75" x14ac:dyDescent="0.2"/>
  <cols>
    <col min="1" max="1" width="10.28515625" style="6" bestFit="1" customWidth="1"/>
    <col min="2" max="2" width="14.140625" style="6" customWidth="1"/>
    <col min="3" max="4" width="13.28515625" style="6" customWidth="1"/>
    <col min="5" max="5" width="9.7109375" style="6" bestFit="1" customWidth="1"/>
    <col min="6" max="9" width="16.28515625" style="6" customWidth="1"/>
    <col min="10" max="10" width="17.42578125" style="6" customWidth="1"/>
    <col min="11" max="15" width="16.28515625" style="6" customWidth="1"/>
    <col min="16" max="16384" width="9.140625" style="6"/>
  </cols>
  <sheetData>
    <row r="1" spans="1:15" ht="38.25" x14ac:dyDescent="0.2">
      <c r="A1" s="101" t="s">
        <v>8</v>
      </c>
      <c r="B1" s="102" t="s">
        <v>88</v>
      </c>
      <c r="C1" s="101" t="s">
        <v>2</v>
      </c>
      <c r="D1" s="101" t="s">
        <v>1</v>
      </c>
      <c r="E1" s="102" t="s">
        <v>74</v>
      </c>
      <c r="F1" s="102" t="s">
        <v>48</v>
      </c>
    </row>
    <row r="2" spans="1:15" ht="13.5" thickBot="1" x14ac:dyDescent="0.25">
      <c r="A2" s="96" t="s">
        <v>54</v>
      </c>
      <c r="B2" s="3">
        <v>41958</v>
      </c>
      <c r="C2" s="4">
        <v>581000</v>
      </c>
      <c r="D2" s="4">
        <v>0</v>
      </c>
      <c r="E2" s="4">
        <v>0</v>
      </c>
      <c r="F2" s="7">
        <f>SUM(C2:E2)</f>
        <v>581000</v>
      </c>
    </row>
    <row r="3" spans="1:15" x14ac:dyDescent="0.2">
      <c r="B3" s="20" t="s">
        <v>0</v>
      </c>
      <c r="C3" s="124">
        <f>SUM(C2:C2)</f>
        <v>581000</v>
      </c>
      <c r="D3" s="124">
        <f>SUM(D2:D2)</f>
        <v>0</v>
      </c>
      <c r="E3" s="124">
        <f>SUM(E2:E2)</f>
        <v>0</v>
      </c>
      <c r="F3" s="124">
        <f>SUM(C3:E3)</f>
        <v>581000</v>
      </c>
      <c r="J3" s="159"/>
      <c r="K3" s="158" t="s">
        <v>14</v>
      </c>
      <c r="L3" s="250" t="s">
        <v>13</v>
      </c>
    </row>
    <row r="4" spans="1:15" x14ac:dyDescent="0.2">
      <c r="A4" s="17" t="s">
        <v>19</v>
      </c>
      <c r="B4" s="18" t="s">
        <v>22</v>
      </c>
      <c r="C4" s="8">
        <v>0</v>
      </c>
      <c r="D4" s="8">
        <v>0</v>
      </c>
      <c r="E4" s="8">
        <v>0</v>
      </c>
      <c r="F4" s="8">
        <f>SUM(C4:E4)</f>
        <v>0</v>
      </c>
      <c r="J4" s="156" t="s">
        <v>11</v>
      </c>
      <c r="K4" s="103">
        <v>41952</v>
      </c>
      <c r="L4" s="251">
        <v>41952</v>
      </c>
    </row>
    <row r="5" spans="1:15" ht="13.5" thickBot="1" x14ac:dyDescent="0.25">
      <c r="A5" s="17" t="s">
        <v>20</v>
      </c>
      <c r="B5" s="18" t="s">
        <v>22</v>
      </c>
      <c r="C5" s="8">
        <v>0</v>
      </c>
      <c r="D5" s="8">
        <v>0</v>
      </c>
      <c r="E5" s="8">
        <v>0</v>
      </c>
      <c r="F5" s="8">
        <f>SUM(C5:E5)</f>
        <v>0</v>
      </c>
      <c r="J5" s="157" t="s">
        <v>17</v>
      </c>
      <c r="K5" s="104">
        <v>41957</v>
      </c>
      <c r="L5" s="252">
        <v>41958</v>
      </c>
    </row>
    <row r="6" spans="1:15" ht="13.5" thickBot="1" x14ac:dyDescent="0.25">
      <c r="A6" s="44"/>
      <c r="B6" s="80" t="s">
        <v>52</v>
      </c>
      <c r="C6" s="79">
        <f>+SUM(C3:C5)</f>
        <v>581000</v>
      </c>
      <c r="D6" s="79">
        <f>+SUM(D3:D5)</f>
        <v>0</v>
      </c>
      <c r="E6" s="79">
        <f>+SUM(E3:E5)</f>
        <v>0</v>
      </c>
      <c r="F6" s="79">
        <f>+SUM(F3:F5)</f>
        <v>581000</v>
      </c>
    </row>
    <row r="7" spans="1:15" ht="14.25" thickTop="1" thickBot="1" x14ac:dyDescent="0.25"/>
    <row r="8" spans="1:15" x14ac:dyDescent="0.2">
      <c r="B8" s="19"/>
      <c r="C8" s="5"/>
      <c r="D8" s="17"/>
      <c r="I8" s="143"/>
      <c r="J8" s="128"/>
      <c r="K8" s="128"/>
      <c r="L8" s="128"/>
      <c r="M8" s="108"/>
    </row>
    <row r="9" spans="1:15" ht="36.75" x14ac:dyDescent="0.2">
      <c r="A9" s="90" t="s">
        <v>53</v>
      </c>
      <c r="B9" s="90" t="s">
        <v>3</v>
      </c>
      <c r="C9" s="90" t="s">
        <v>4</v>
      </c>
      <c r="D9" s="90" t="s">
        <v>5</v>
      </c>
      <c r="E9" s="90" t="s">
        <v>6</v>
      </c>
      <c r="F9" s="90" t="s">
        <v>7</v>
      </c>
      <c r="G9" s="90" t="s">
        <v>80</v>
      </c>
      <c r="H9" s="90" t="s">
        <v>81</v>
      </c>
      <c r="I9" s="105" t="s">
        <v>82</v>
      </c>
      <c r="J9" s="106" t="s">
        <v>83</v>
      </c>
      <c r="K9" s="106" t="s">
        <v>84</v>
      </c>
      <c r="L9" s="106" t="s">
        <v>85</v>
      </c>
      <c r="M9" s="107" t="s">
        <v>75</v>
      </c>
      <c r="N9" s="90" t="s">
        <v>86</v>
      </c>
      <c r="O9" s="90" t="s">
        <v>87</v>
      </c>
    </row>
    <row r="10" spans="1:15" x14ac:dyDescent="0.2">
      <c r="A10" s="17" t="s">
        <v>54</v>
      </c>
      <c r="B10" s="81" t="str">
        <f t="shared" ref="B10:B29" si="0">+IF(MONTH(C10)&lt;4,"Q1",IF(MONTH(C10)&lt;7,"Q2",IF(MONTH(C10)&lt;10,"Q3","Q4")))&amp;"/"&amp;YEAR(C10)</f>
        <v>Q4/2014</v>
      </c>
      <c r="C10" s="146">
        <f>$L$4</f>
        <v>41952</v>
      </c>
      <c r="D10" s="146">
        <f>DATE(YEAR(C10),IF(MONTH(C10)&lt;=3,3,IF(MONTH(C10)&lt;=6,6,IF(MONTH(C10)&lt;=9,9,12))),IF(OR(MONTH(C10)&lt;=3,MONTH(C10)&gt;=10),31,30))</f>
        <v>42004</v>
      </c>
      <c r="E10" s="81">
        <f>D10-C10+1</f>
        <v>53</v>
      </c>
      <c r="F10" s="83">
        <f>VLOOKUP(D10,'FERC Interest Rate'!$A:$C,2,TRUE)</f>
        <v>3.2500000000000001E-2</v>
      </c>
      <c r="G10" s="84">
        <f>$C$3</f>
        <v>581000</v>
      </c>
      <c r="H10" s="84">
        <f>G10*F10*(E10/(DATE(YEAR(D10),12,31)-DATE(YEAR(D10),1,1)+1))</f>
        <v>2741.8424657534242</v>
      </c>
      <c r="I10" s="109">
        <f t="shared" ref="I10:I29" si="1">SUM($H$10:$H$30)/20</f>
        <v>137.0921232876712</v>
      </c>
      <c r="J10" s="84">
        <v>0</v>
      </c>
      <c r="K10" s="7">
        <f>+SUM(I10:J10)</f>
        <v>137.0921232876712</v>
      </c>
      <c r="L10" s="84">
        <f>$C$3/20</f>
        <v>29050</v>
      </c>
      <c r="M10" s="164">
        <f>+SUM(K10:L10)</f>
        <v>29187.092123287672</v>
      </c>
      <c r="N10" s="165">
        <f>+G10+H10+J10</f>
        <v>583741.84246575343</v>
      </c>
      <c r="O10" s="84">
        <f t="shared" ref="O10:O29" si="2">G10+H10-L10-I10</f>
        <v>554554.75034246582</v>
      </c>
    </row>
    <row r="11" spans="1:15" x14ac:dyDescent="0.2">
      <c r="A11" s="17" t="s">
        <v>55</v>
      </c>
      <c r="B11" s="81" t="str">
        <f t="shared" si="0"/>
        <v>Q1/2015</v>
      </c>
      <c r="C11" s="146">
        <f>D10+1</f>
        <v>42005</v>
      </c>
      <c r="D11" s="146">
        <f>EOMONTH(D10,3)</f>
        <v>42094</v>
      </c>
      <c r="E11" s="81">
        <f t="shared" ref="E11:E29" si="3">D11-C11+1</f>
        <v>90</v>
      </c>
      <c r="F11" s="83">
        <f>VLOOKUP(D11,'FERC Interest Rate'!$A:$C,2,TRUE)</f>
        <v>3.2500000000000001E-2</v>
      </c>
      <c r="G11" s="84">
        <f t="shared" ref="G11:G29" si="4">O10</f>
        <v>554554.75034246582</v>
      </c>
      <c r="H11" s="84">
        <v>0</v>
      </c>
      <c r="I11" s="109">
        <f t="shared" si="1"/>
        <v>137.0921232876712</v>
      </c>
      <c r="J11" s="84">
        <f t="shared" ref="J11:J29" si="5">G11*F11*(E11/(DATE(YEAR(D11),12,31)-DATE(YEAR(D11),1,1)+1))</f>
        <v>4444.0346431553771</v>
      </c>
      <c r="K11" s="7">
        <f t="shared" ref="K11:K29" si="6">+SUM(I11:J11)</f>
        <v>4581.1267664430479</v>
      </c>
      <c r="L11" s="84">
        <f>$C$3/20</f>
        <v>29050</v>
      </c>
      <c r="M11" s="164">
        <f t="shared" ref="M11:M29" si="7">+SUM(K11:L11)</f>
        <v>33631.126766443049</v>
      </c>
      <c r="N11" s="165">
        <f t="shared" ref="N11:N29" si="8">+G11+H11+J11</f>
        <v>558998.78498562123</v>
      </c>
      <c r="O11" s="84">
        <f t="shared" si="2"/>
        <v>525367.65821917821</v>
      </c>
    </row>
    <row r="12" spans="1:15" x14ac:dyDescent="0.2">
      <c r="A12" s="17" t="s">
        <v>56</v>
      </c>
      <c r="B12" s="81" t="str">
        <f t="shared" si="0"/>
        <v>Q2/2015</v>
      </c>
      <c r="C12" s="146">
        <f t="shared" ref="C12:C29" si="9">D11+1</f>
        <v>42095</v>
      </c>
      <c r="D12" s="146">
        <f t="shared" ref="D12:D29" si="10">EOMONTH(D11,3)</f>
        <v>42185</v>
      </c>
      <c r="E12" s="81">
        <f t="shared" si="3"/>
        <v>91</v>
      </c>
      <c r="F12" s="83">
        <f>VLOOKUP(D12,'FERC Interest Rate'!$A:$C,2,TRUE)</f>
        <v>3.2500000000000001E-2</v>
      </c>
      <c r="G12" s="84">
        <f t="shared" si="4"/>
        <v>525367.65821917821</v>
      </c>
      <c r="H12" s="84">
        <v>0</v>
      </c>
      <c r="I12" s="109">
        <f t="shared" si="1"/>
        <v>137.0921232876712</v>
      </c>
      <c r="J12" s="84">
        <f t="shared" si="5"/>
        <v>4256.9173950225195</v>
      </c>
      <c r="K12" s="7">
        <f t="shared" si="6"/>
        <v>4394.0095183101903</v>
      </c>
      <c r="L12" s="84">
        <f t="shared" ref="L12:L29" si="11">$C$3/20</f>
        <v>29050</v>
      </c>
      <c r="M12" s="164">
        <f t="shared" si="7"/>
        <v>33444.009518310188</v>
      </c>
      <c r="N12" s="165">
        <f t="shared" si="8"/>
        <v>529624.57561420067</v>
      </c>
      <c r="O12" s="84">
        <f t="shared" si="2"/>
        <v>496180.56609589054</v>
      </c>
    </row>
    <row r="13" spans="1:15" x14ac:dyDescent="0.2">
      <c r="A13" s="17" t="s">
        <v>57</v>
      </c>
      <c r="B13" s="81" t="str">
        <f t="shared" si="0"/>
        <v>Q3/2015</v>
      </c>
      <c r="C13" s="146">
        <f t="shared" si="9"/>
        <v>42186</v>
      </c>
      <c r="D13" s="146">
        <f t="shared" si="10"/>
        <v>42277</v>
      </c>
      <c r="E13" s="81">
        <f t="shared" si="3"/>
        <v>92</v>
      </c>
      <c r="F13" s="83">
        <f>VLOOKUP(D13,'FERC Interest Rate'!$A:$C,2,TRUE)</f>
        <v>3.2500000000000001E-2</v>
      </c>
      <c r="G13" s="84">
        <f t="shared" si="4"/>
        <v>496180.56609589054</v>
      </c>
      <c r="H13" s="84">
        <v>0</v>
      </c>
      <c r="I13" s="109">
        <f t="shared" si="1"/>
        <v>137.0921232876712</v>
      </c>
      <c r="J13" s="84">
        <f t="shared" si="5"/>
        <v>4064.6024455526381</v>
      </c>
      <c r="K13" s="7">
        <f t="shared" si="6"/>
        <v>4201.6945688403093</v>
      </c>
      <c r="L13" s="84">
        <f t="shared" si="11"/>
        <v>29050</v>
      </c>
      <c r="M13" s="164">
        <f t="shared" si="7"/>
        <v>33251.694568840307</v>
      </c>
      <c r="N13" s="165">
        <f t="shared" si="8"/>
        <v>500245.16854144318</v>
      </c>
      <c r="O13" s="84">
        <f t="shared" si="2"/>
        <v>466993.47397260286</v>
      </c>
    </row>
    <row r="14" spans="1:15" x14ac:dyDescent="0.2">
      <c r="A14" s="17" t="s">
        <v>58</v>
      </c>
      <c r="B14" s="81" t="str">
        <f t="shared" si="0"/>
        <v>Q4/2015</v>
      </c>
      <c r="C14" s="146">
        <f t="shared" si="9"/>
        <v>42278</v>
      </c>
      <c r="D14" s="146">
        <f t="shared" si="10"/>
        <v>42369</v>
      </c>
      <c r="E14" s="81">
        <f t="shared" si="3"/>
        <v>92</v>
      </c>
      <c r="F14" s="83">
        <f>VLOOKUP(D14,'FERC Interest Rate'!$A:$C,2,TRUE)</f>
        <v>3.2500000000000001E-2</v>
      </c>
      <c r="G14" s="84">
        <f t="shared" si="4"/>
        <v>466993.47397260286</v>
      </c>
      <c r="H14" s="84">
        <v>0</v>
      </c>
      <c r="I14" s="109">
        <f t="shared" si="1"/>
        <v>137.0921232876712</v>
      </c>
      <c r="J14" s="84">
        <f t="shared" si="5"/>
        <v>3825.5081840495413</v>
      </c>
      <c r="K14" s="7">
        <f t="shared" si="6"/>
        <v>3962.6003073372126</v>
      </c>
      <c r="L14" s="84">
        <f t="shared" si="11"/>
        <v>29050</v>
      </c>
      <c r="M14" s="164">
        <f t="shared" si="7"/>
        <v>33012.600307337212</v>
      </c>
      <c r="N14" s="165">
        <f t="shared" si="8"/>
        <v>470818.98215665243</v>
      </c>
      <c r="O14" s="84">
        <f t="shared" si="2"/>
        <v>437806.38184931519</v>
      </c>
    </row>
    <row r="15" spans="1:15" x14ac:dyDescent="0.2">
      <c r="A15" s="17" t="s">
        <v>59</v>
      </c>
      <c r="B15" s="81" t="str">
        <f t="shared" si="0"/>
        <v>Q1/2016</v>
      </c>
      <c r="C15" s="146">
        <f t="shared" si="9"/>
        <v>42370</v>
      </c>
      <c r="D15" s="146">
        <f t="shared" si="10"/>
        <v>42460</v>
      </c>
      <c r="E15" s="81">
        <f t="shared" si="3"/>
        <v>91</v>
      </c>
      <c r="F15" s="83">
        <f>VLOOKUP(D15,'FERC Interest Rate'!$A:$C,2,TRUE)</f>
        <v>3.2500000000000001E-2</v>
      </c>
      <c r="G15" s="84">
        <f t="shared" si="4"/>
        <v>437806.38184931519</v>
      </c>
      <c r="H15" s="84">
        <v>0</v>
      </c>
      <c r="I15" s="109">
        <f t="shared" si="1"/>
        <v>137.0921232876712</v>
      </c>
      <c r="J15" s="84">
        <f t="shared" si="5"/>
        <v>3537.7387276484965</v>
      </c>
      <c r="K15" s="7">
        <f t="shared" si="6"/>
        <v>3674.8308509361677</v>
      </c>
      <c r="L15" s="84">
        <f t="shared" si="11"/>
        <v>29050</v>
      </c>
      <c r="M15" s="164">
        <f t="shared" si="7"/>
        <v>32724.830850936167</v>
      </c>
      <c r="N15" s="165">
        <f t="shared" si="8"/>
        <v>441344.1205769637</v>
      </c>
      <c r="O15" s="84">
        <f t="shared" si="2"/>
        <v>408619.28972602752</v>
      </c>
    </row>
    <row r="16" spans="1:15" x14ac:dyDescent="0.2">
      <c r="A16" s="17" t="s">
        <v>60</v>
      </c>
      <c r="B16" s="81" t="str">
        <f t="shared" si="0"/>
        <v>Q2/2016</v>
      </c>
      <c r="C16" s="146">
        <f t="shared" si="9"/>
        <v>42461</v>
      </c>
      <c r="D16" s="146">
        <f t="shared" si="10"/>
        <v>42551</v>
      </c>
      <c r="E16" s="81">
        <f t="shared" si="3"/>
        <v>91</v>
      </c>
      <c r="F16" s="83">
        <f>VLOOKUP(D16,'FERC Interest Rate'!$A:$C,2,TRUE)</f>
        <v>3.4599999999999999E-2</v>
      </c>
      <c r="G16" s="84">
        <f t="shared" si="4"/>
        <v>408619.28972602752</v>
      </c>
      <c r="H16" s="84">
        <v>0</v>
      </c>
      <c r="I16" s="109">
        <f t="shared" si="1"/>
        <v>137.0921232876712</v>
      </c>
      <c r="J16" s="84">
        <f t="shared" si="5"/>
        <v>3515.2423377906289</v>
      </c>
      <c r="K16" s="7">
        <f t="shared" si="6"/>
        <v>3652.3344610783001</v>
      </c>
      <c r="L16" s="84">
        <f t="shared" si="11"/>
        <v>29050</v>
      </c>
      <c r="M16" s="164">
        <f t="shared" si="7"/>
        <v>32702.334461078299</v>
      </c>
      <c r="N16" s="165">
        <f t="shared" si="8"/>
        <v>412134.53206381813</v>
      </c>
      <c r="O16" s="84">
        <f t="shared" si="2"/>
        <v>379432.19760273985</v>
      </c>
    </row>
    <row r="17" spans="1:15" x14ac:dyDescent="0.2">
      <c r="A17" s="17" t="s">
        <v>61</v>
      </c>
      <c r="B17" s="81" t="str">
        <f t="shared" si="0"/>
        <v>Q3/2016</v>
      </c>
      <c r="C17" s="146">
        <f t="shared" si="9"/>
        <v>42552</v>
      </c>
      <c r="D17" s="146">
        <f t="shared" si="10"/>
        <v>42643</v>
      </c>
      <c r="E17" s="81">
        <f t="shared" si="3"/>
        <v>92</v>
      </c>
      <c r="F17" s="83">
        <f>VLOOKUP(D17,'FERC Interest Rate'!$A:$C,2,TRUE)</f>
        <v>3.5000000000000003E-2</v>
      </c>
      <c r="G17" s="84">
        <f t="shared" si="4"/>
        <v>379432.19760273985</v>
      </c>
      <c r="H17" s="84">
        <v>0</v>
      </c>
      <c r="I17" s="109">
        <f t="shared" si="1"/>
        <v>137.0921232876712</v>
      </c>
      <c r="J17" s="84">
        <f t="shared" si="5"/>
        <v>3338.1739789093508</v>
      </c>
      <c r="K17" s="7">
        <f t="shared" si="6"/>
        <v>3475.2661021970221</v>
      </c>
      <c r="L17" s="84">
        <f t="shared" si="11"/>
        <v>29050</v>
      </c>
      <c r="M17" s="164">
        <f t="shared" si="7"/>
        <v>32525.266102197023</v>
      </c>
      <c r="N17" s="165">
        <f t="shared" si="8"/>
        <v>382770.37158164917</v>
      </c>
      <c r="O17" s="84">
        <f t="shared" si="2"/>
        <v>350245.10547945218</v>
      </c>
    </row>
    <row r="18" spans="1:15" x14ac:dyDescent="0.2">
      <c r="A18" s="17" t="s">
        <v>62</v>
      </c>
      <c r="B18" s="81" t="str">
        <f t="shared" si="0"/>
        <v>Q4/2016</v>
      </c>
      <c r="C18" s="146">
        <f t="shared" si="9"/>
        <v>42644</v>
      </c>
      <c r="D18" s="146">
        <f t="shared" si="10"/>
        <v>42735</v>
      </c>
      <c r="E18" s="81">
        <f t="shared" si="3"/>
        <v>92</v>
      </c>
      <c r="F18" s="83">
        <f>VLOOKUP(D18,'FERC Interest Rate'!$A:$C,2,TRUE)</f>
        <v>3.5000000000000003E-2</v>
      </c>
      <c r="G18" s="84">
        <f t="shared" si="4"/>
        <v>350245.10547945218</v>
      </c>
      <c r="H18" s="84">
        <v>0</v>
      </c>
      <c r="I18" s="109">
        <f t="shared" si="1"/>
        <v>137.0921232876712</v>
      </c>
      <c r="J18" s="84">
        <f t="shared" si="5"/>
        <v>3081.3913651470934</v>
      </c>
      <c r="K18" s="7">
        <f t="shared" si="6"/>
        <v>3218.4834884347647</v>
      </c>
      <c r="L18" s="84">
        <f t="shared" si="11"/>
        <v>29050</v>
      </c>
      <c r="M18" s="164">
        <f t="shared" si="7"/>
        <v>32268.483488434766</v>
      </c>
      <c r="N18" s="165">
        <f t="shared" si="8"/>
        <v>353326.49684459926</v>
      </c>
      <c r="O18" s="84">
        <f t="shared" si="2"/>
        <v>321058.01335616451</v>
      </c>
    </row>
    <row r="19" spans="1:15" x14ac:dyDescent="0.2">
      <c r="A19" s="17" t="s">
        <v>63</v>
      </c>
      <c r="B19" s="81" t="str">
        <f t="shared" si="0"/>
        <v>Q1/2017</v>
      </c>
      <c r="C19" s="146">
        <f t="shared" si="9"/>
        <v>42736</v>
      </c>
      <c r="D19" s="146">
        <f t="shared" si="10"/>
        <v>42825</v>
      </c>
      <c r="E19" s="81">
        <f t="shared" si="3"/>
        <v>90</v>
      </c>
      <c r="F19" s="83">
        <f>VLOOKUP(D19,'FERC Interest Rate'!$A:$C,2,TRUE)</f>
        <v>3.5000000000000003E-2</v>
      </c>
      <c r="G19" s="84">
        <f t="shared" si="4"/>
        <v>321058.01335616451</v>
      </c>
      <c r="H19" s="84">
        <v>0</v>
      </c>
      <c r="I19" s="109">
        <f t="shared" si="1"/>
        <v>137.0921232876712</v>
      </c>
      <c r="J19" s="84">
        <f t="shared" si="5"/>
        <v>2770.7746358134746</v>
      </c>
      <c r="K19" s="7">
        <f t="shared" si="6"/>
        <v>2907.8667591011458</v>
      </c>
      <c r="L19" s="84">
        <f t="shared" si="11"/>
        <v>29050</v>
      </c>
      <c r="M19" s="164">
        <f t="shared" si="7"/>
        <v>31957.866759101147</v>
      </c>
      <c r="N19" s="165">
        <f t="shared" si="8"/>
        <v>323828.787991978</v>
      </c>
      <c r="O19" s="84">
        <f t="shared" si="2"/>
        <v>291870.92123287683</v>
      </c>
    </row>
    <row r="20" spans="1:15" x14ac:dyDescent="0.2">
      <c r="A20" s="17" t="s">
        <v>64</v>
      </c>
      <c r="B20" s="81" t="str">
        <f t="shared" si="0"/>
        <v>Q2/2017</v>
      </c>
      <c r="C20" s="146">
        <f t="shared" si="9"/>
        <v>42826</v>
      </c>
      <c r="D20" s="146">
        <f t="shared" si="10"/>
        <v>42916</v>
      </c>
      <c r="E20" s="81">
        <f t="shared" si="3"/>
        <v>91</v>
      </c>
      <c r="F20" s="83">
        <f>VLOOKUP(D20,'FERC Interest Rate'!$A:$C,2,TRUE)</f>
        <v>3.7100000000000001E-2</v>
      </c>
      <c r="G20" s="84">
        <f t="shared" si="4"/>
        <v>291870.92123287683</v>
      </c>
      <c r="H20" s="84">
        <v>0</v>
      </c>
      <c r="I20" s="109">
        <f t="shared" si="1"/>
        <v>137.0921232876712</v>
      </c>
      <c r="J20" s="84">
        <f t="shared" si="5"/>
        <v>2699.6860744501791</v>
      </c>
      <c r="K20" s="7">
        <f t="shared" si="6"/>
        <v>2836.7781977378504</v>
      </c>
      <c r="L20" s="84">
        <f t="shared" si="11"/>
        <v>29050</v>
      </c>
      <c r="M20" s="164">
        <f t="shared" si="7"/>
        <v>31886.778197737851</v>
      </c>
      <c r="N20" s="165">
        <f t="shared" si="8"/>
        <v>294570.60730732704</v>
      </c>
      <c r="O20" s="84">
        <f t="shared" si="2"/>
        <v>262683.82910958916</v>
      </c>
    </row>
    <row r="21" spans="1:15" x14ac:dyDescent="0.2">
      <c r="A21" s="17" t="s">
        <v>65</v>
      </c>
      <c r="B21" s="81" t="str">
        <f t="shared" si="0"/>
        <v>Q3/2017</v>
      </c>
      <c r="C21" s="146">
        <f t="shared" si="9"/>
        <v>42917</v>
      </c>
      <c r="D21" s="146">
        <f t="shared" si="10"/>
        <v>43008</v>
      </c>
      <c r="E21" s="81">
        <f t="shared" si="3"/>
        <v>92</v>
      </c>
      <c r="F21" s="83">
        <f>VLOOKUP(D21,'FERC Interest Rate'!$A:$C,2,TRUE)</f>
        <v>3.9600000000000003E-2</v>
      </c>
      <c r="G21" s="84">
        <f t="shared" si="4"/>
        <v>262683.82910958916</v>
      </c>
      <c r="H21" s="84">
        <v>0</v>
      </c>
      <c r="I21" s="109">
        <f t="shared" si="1"/>
        <v>137.0921232876712</v>
      </c>
      <c r="J21" s="84">
        <f t="shared" si="5"/>
        <v>2621.9444553754943</v>
      </c>
      <c r="K21" s="7">
        <f t="shared" si="6"/>
        <v>2759.0365786631655</v>
      </c>
      <c r="L21" s="84">
        <f t="shared" si="11"/>
        <v>29050</v>
      </c>
      <c r="M21" s="164">
        <f t="shared" si="7"/>
        <v>31809.036578663166</v>
      </c>
      <c r="N21" s="165">
        <f t="shared" si="8"/>
        <v>265305.77356496465</v>
      </c>
      <c r="O21" s="84">
        <f t="shared" si="2"/>
        <v>233496.73698630149</v>
      </c>
    </row>
    <row r="22" spans="1:15" x14ac:dyDescent="0.2">
      <c r="A22" s="17" t="s">
        <v>66</v>
      </c>
      <c r="B22" s="81" t="str">
        <f t="shared" si="0"/>
        <v>Q4/2017</v>
      </c>
      <c r="C22" s="146">
        <f t="shared" si="9"/>
        <v>43009</v>
      </c>
      <c r="D22" s="146">
        <f t="shared" si="10"/>
        <v>43100</v>
      </c>
      <c r="E22" s="81">
        <f t="shared" si="3"/>
        <v>92</v>
      </c>
      <c r="F22" s="83">
        <f>VLOOKUP(D22,'FERC Interest Rate'!$A:$C,2,TRUE)</f>
        <v>4.2099999999999999E-2</v>
      </c>
      <c r="G22" s="84">
        <f t="shared" si="4"/>
        <v>233496.73698630149</v>
      </c>
      <c r="H22" s="84">
        <v>0</v>
      </c>
      <c r="I22" s="109">
        <f t="shared" si="1"/>
        <v>137.0921232876712</v>
      </c>
      <c r="J22" s="84">
        <f t="shared" si="5"/>
        <v>2477.7522238228571</v>
      </c>
      <c r="K22" s="7">
        <f t="shared" si="6"/>
        <v>2614.8443471105284</v>
      </c>
      <c r="L22" s="84">
        <f t="shared" si="11"/>
        <v>29050</v>
      </c>
      <c r="M22" s="164">
        <f t="shared" si="7"/>
        <v>31664.844347110527</v>
      </c>
      <c r="N22" s="165">
        <f t="shared" si="8"/>
        <v>235974.48921012436</v>
      </c>
      <c r="O22" s="84">
        <f t="shared" si="2"/>
        <v>204309.64486301382</v>
      </c>
    </row>
    <row r="23" spans="1:15" x14ac:dyDescent="0.2">
      <c r="A23" s="17" t="s">
        <v>67</v>
      </c>
      <c r="B23" s="81" t="str">
        <f t="shared" si="0"/>
        <v>Q1/2018</v>
      </c>
      <c r="C23" s="146">
        <f t="shared" si="9"/>
        <v>43101</v>
      </c>
      <c r="D23" s="146">
        <f t="shared" si="10"/>
        <v>43190</v>
      </c>
      <c r="E23" s="81">
        <f t="shared" si="3"/>
        <v>90</v>
      </c>
      <c r="F23" s="83">
        <f>VLOOKUP(D23,'FERC Interest Rate'!$A:$C,2,TRUE)</f>
        <v>4.2500000000000003E-2</v>
      </c>
      <c r="G23" s="84">
        <f t="shared" si="4"/>
        <v>204309.64486301382</v>
      </c>
      <c r="H23" s="84">
        <v>0</v>
      </c>
      <c r="I23" s="109">
        <f t="shared" si="1"/>
        <v>137.0921232876712</v>
      </c>
      <c r="J23" s="84">
        <f t="shared" si="5"/>
        <v>2141.0531276740489</v>
      </c>
      <c r="K23" s="7">
        <f t="shared" si="6"/>
        <v>2278.1452509617202</v>
      </c>
      <c r="L23" s="84">
        <f t="shared" si="11"/>
        <v>29050</v>
      </c>
      <c r="M23" s="164">
        <f t="shared" si="7"/>
        <v>31328.145250961719</v>
      </c>
      <c r="N23" s="165">
        <f t="shared" si="8"/>
        <v>206450.69799068786</v>
      </c>
      <c r="O23" s="84">
        <f t="shared" si="2"/>
        <v>175122.55273972615</v>
      </c>
    </row>
    <row r="24" spans="1:15" x14ac:dyDescent="0.2">
      <c r="A24" s="17" t="s">
        <v>68</v>
      </c>
      <c r="B24" s="81" t="str">
        <f t="shared" si="0"/>
        <v>Q2/2018</v>
      </c>
      <c r="C24" s="146">
        <f t="shared" si="9"/>
        <v>43191</v>
      </c>
      <c r="D24" s="146">
        <f t="shared" si="10"/>
        <v>43281</v>
      </c>
      <c r="E24" s="81">
        <f t="shared" si="3"/>
        <v>91</v>
      </c>
      <c r="F24" s="83">
        <f>VLOOKUP(D24,'FERC Interest Rate'!$A:$C,2,TRUE)</f>
        <v>4.4699999999999997E-2</v>
      </c>
      <c r="G24" s="84">
        <f t="shared" si="4"/>
        <v>175122.55273972615</v>
      </c>
      <c r="H24" s="84">
        <v>0</v>
      </c>
      <c r="I24" s="109">
        <f t="shared" si="1"/>
        <v>137.0921232876712</v>
      </c>
      <c r="J24" s="84">
        <f t="shared" si="5"/>
        <v>1951.6328980257097</v>
      </c>
      <c r="K24" s="7">
        <f t="shared" si="6"/>
        <v>2088.7250213133807</v>
      </c>
      <c r="L24" s="84">
        <f t="shared" si="11"/>
        <v>29050</v>
      </c>
      <c r="M24" s="164">
        <f t="shared" si="7"/>
        <v>31138.725021313381</v>
      </c>
      <c r="N24" s="165">
        <f t="shared" si="8"/>
        <v>177074.18563775186</v>
      </c>
      <c r="O24" s="84">
        <f t="shared" si="2"/>
        <v>145935.46061643847</v>
      </c>
    </row>
    <row r="25" spans="1:15" x14ac:dyDescent="0.2">
      <c r="A25" s="17" t="s">
        <v>69</v>
      </c>
      <c r="B25" s="81" t="str">
        <f t="shared" si="0"/>
        <v>Q3/2018</v>
      </c>
      <c r="C25" s="146">
        <f t="shared" si="9"/>
        <v>43282</v>
      </c>
      <c r="D25" s="146">
        <f t="shared" si="10"/>
        <v>43373</v>
      </c>
      <c r="E25" s="81">
        <f t="shared" si="3"/>
        <v>92</v>
      </c>
      <c r="F25" s="83">
        <f>VLOOKUP(D25,'FERC Interest Rate'!$A:$C,2,TRUE)</f>
        <v>5.011111E-2</v>
      </c>
      <c r="G25" s="84">
        <f t="shared" si="4"/>
        <v>145935.46061643847</v>
      </c>
      <c r="H25" s="84">
        <v>0</v>
      </c>
      <c r="I25" s="109">
        <f t="shared" si="1"/>
        <v>137.0921232876712</v>
      </c>
      <c r="J25" s="84">
        <f t="shared" si="5"/>
        <v>1843.2736674692974</v>
      </c>
      <c r="K25" s="7">
        <f t="shared" si="6"/>
        <v>1980.3657907569686</v>
      </c>
      <c r="L25" s="84">
        <f t="shared" si="11"/>
        <v>29050</v>
      </c>
      <c r="M25" s="164">
        <f t="shared" si="7"/>
        <v>31030.365790756969</v>
      </c>
      <c r="N25" s="165">
        <f t="shared" si="8"/>
        <v>147778.73428390778</v>
      </c>
      <c r="O25" s="84">
        <f t="shared" si="2"/>
        <v>116748.3684931508</v>
      </c>
    </row>
    <row r="26" spans="1:15" x14ac:dyDescent="0.2">
      <c r="A26" s="17" t="s">
        <v>70</v>
      </c>
      <c r="B26" s="81" t="str">
        <f t="shared" si="0"/>
        <v>Q4/2018</v>
      </c>
      <c r="C26" s="146">
        <f t="shared" si="9"/>
        <v>43374</v>
      </c>
      <c r="D26" s="146">
        <f t="shared" si="10"/>
        <v>43465</v>
      </c>
      <c r="E26" s="81">
        <f t="shared" si="3"/>
        <v>92</v>
      </c>
      <c r="F26" s="83">
        <f>VLOOKUP(D26,'FERC Interest Rate'!$A:$C,2,TRUE)</f>
        <v>5.2822580000000001E-2</v>
      </c>
      <c r="G26" s="84">
        <f t="shared" si="4"/>
        <v>116748.3684931508</v>
      </c>
      <c r="H26" s="84">
        <v>0</v>
      </c>
      <c r="I26" s="109">
        <f t="shared" si="1"/>
        <v>137.0921232876712</v>
      </c>
      <c r="J26" s="84">
        <f t="shared" si="5"/>
        <v>1554.4093237893214</v>
      </c>
      <c r="K26" s="7">
        <f t="shared" si="6"/>
        <v>1691.5014470769927</v>
      </c>
      <c r="L26" s="84">
        <f t="shared" si="11"/>
        <v>29050</v>
      </c>
      <c r="M26" s="164">
        <f t="shared" si="7"/>
        <v>30741.501447076993</v>
      </c>
      <c r="N26" s="165">
        <f t="shared" si="8"/>
        <v>118302.77781694013</v>
      </c>
      <c r="O26" s="84">
        <f t="shared" si="2"/>
        <v>87561.276369863132</v>
      </c>
    </row>
    <row r="27" spans="1:15" x14ac:dyDescent="0.2">
      <c r="A27" s="17" t="s">
        <v>71</v>
      </c>
      <c r="B27" s="81" t="str">
        <f t="shared" si="0"/>
        <v>Q1/2019</v>
      </c>
      <c r="C27" s="146">
        <f t="shared" si="9"/>
        <v>43466</v>
      </c>
      <c r="D27" s="146">
        <f t="shared" si="10"/>
        <v>43555</v>
      </c>
      <c r="E27" s="81">
        <f t="shared" si="3"/>
        <v>90</v>
      </c>
      <c r="F27" s="83">
        <f>VLOOKUP(D27,'FERC Interest Rate'!$A:$C,2,TRUE)</f>
        <v>5.5296770000000002E-2</v>
      </c>
      <c r="G27" s="84">
        <f t="shared" si="4"/>
        <v>87561.276369863132</v>
      </c>
      <c r="H27" s="84">
        <v>0</v>
      </c>
      <c r="I27" s="109">
        <f t="shared" si="1"/>
        <v>137.0921232876712</v>
      </c>
      <c r="J27" s="84">
        <f t="shared" si="5"/>
        <v>1193.8822422733372</v>
      </c>
      <c r="K27" s="7">
        <f t="shared" si="6"/>
        <v>1330.9743655610084</v>
      </c>
      <c r="L27" s="84">
        <f t="shared" si="11"/>
        <v>29050</v>
      </c>
      <c r="M27" s="164">
        <f t="shared" si="7"/>
        <v>30380.974365561007</v>
      </c>
      <c r="N27" s="165">
        <f t="shared" si="8"/>
        <v>88755.158612136467</v>
      </c>
      <c r="O27" s="84">
        <f t="shared" si="2"/>
        <v>58374.18424657546</v>
      </c>
    </row>
    <row r="28" spans="1:15" x14ac:dyDescent="0.2">
      <c r="A28" s="17" t="s">
        <v>72</v>
      </c>
      <c r="B28" s="81" t="str">
        <f t="shared" si="0"/>
        <v>Q2/2019</v>
      </c>
      <c r="C28" s="146">
        <f t="shared" si="9"/>
        <v>43556</v>
      </c>
      <c r="D28" s="146">
        <f t="shared" si="10"/>
        <v>43646</v>
      </c>
      <c r="E28" s="81">
        <f t="shared" si="3"/>
        <v>91</v>
      </c>
      <c r="F28" s="83">
        <f>VLOOKUP(D28,'FERC Interest Rate'!$A:$C,2,TRUE)</f>
        <v>5.7999999999999996E-2</v>
      </c>
      <c r="G28" s="84">
        <f t="shared" si="4"/>
        <v>58374.18424657546</v>
      </c>
      <c r="H28" s="84">
        <v>0</v>
      </c>
      <c r="I28" s="109">
        <f t="shared" si="1"/>
        <v>137.0921232876712</v>
      </c>
      <c r="J28" s="84">
        <f t="shared" si="5"/>
        <v>844.10669713267202</v>
      </c>
      <c r="K28" s="7">
        <f t="shared" si="6"/>
        <v>981.19882042034328</v>
      </c>
      <c r="L28" s="84">
        <f t="shared" si="11"/>
        <v>29050</v>
      </c>
      <c r="M28" s="164">
        <f t="shared" si="7"/>
        <v>30031.198820420344</v>
      </c>
      <c r="N28" s="165">
        <f t="shared" si="8"/>
        <v>59218.290943708133</v>
      </c>
      <c r="O28" s="84">
        <f t="shared" si="2"/>
        <v>29187.092123287788</v>
      </c>
    </row>
    <row r="29" spans="1:15" x14ac:dyDescent="0.2">
      <c r="A29" s="17" t="s">
        <v>73</v>
      </c>
      <c r="B29" s="81" t="str">
        <f t="shared" si="0"/>
        <v>Q3/2019</v>
      </c>
      <c r="C29" s="146">
        <f t="shared" si="9"/>
        <v>43647</v>
      </c>
      <c r="D29" s="146">
        <f t="shared" si="10"/>
        <v>43738</v>
      </c>
      <c r="E29" s="81">
        <f t="shared" si="3"/>
        <v>92</v>
      </c>
      <c r="F29" s="83">
        <f>VLOOKUP(D29,'FERC Interest Rate'!$A:$C,2,TRUE)</f>
        <v>0.06</v>
      </c>
      <c r="G29" s="84">
        <f t="shared" si="4"/>
        <v>29187.092123287788</v>
      </c>
      <c r="H29" s="84">
        <v>0</v>
      </c>
      <c r="I29" s="109">
        <f t="shared" si="1"/>
        <v>137.0921232876712</v>
      </c>
      <c r="J29" s="84">
        <f t="shared" si="5"/>
        <v>441.40479046725642</v>
      </c>
      <c r="K29" s="7">
        <f t="shared" si="6"/>
        <v>578.49691375492762</v>
      </c>
      <c r="L29" s="84">
        <f t="shared" si="11"/>
        <v>29050</v>
      </c>
      <c r="M29" s="164">
        <f t="shared" si="7"/>
        <v>29628.496913754927</v>
      </c>
      <c r="N29" s="165">
        <f t="shared" si="8"/>
        <v>29628.496913755043</v>
      </c>
      <c r="O29" s="84">
        <f t="shared" si="2"/>
        <v>1.1692691259668209E-10</v>
      </c>
    </row>
    <row r="30" spans="1:15" x14ac:dyDescent="0.2">
      <c r="B30" s="11"/>
      <c r="C30" s="125"/>
      <c r="D30" s="125"/>
      <c r="E30" s="10"/>
      <c r="F30" s="11"/>
      <c r="G30" s="84"/>
      <c r="H30" s="7"/>
      <c r="I30" s="166"/>
      <c r="J30" s="84"/>
      <c r="K30" s="7"/>
      <c r="L30" s="7"/>
      <c r="M30" s="164"/>
      <c r="N30" s="165"/>
      <c r="O30" s="84"/>
    </row>
    <row r="31" spans="1:15" ht="13.5" thickBot="1" x14ac:dyDescent="0.25">
      <c r="A31" s="99"/>
      <c r="B31" s="136"/>
      <c r="C31" s="147"/>
      <c r="D31" s="147"/>
      <c r="E31" s="135"/>
      <c r="F31" s="136"/>
      <c r="G31" s="144">
        <f>+SUM(G10:G30)</f>
        <v>6126547.5034246603</v>
      </c>
      <c r="H31" s="137">
        <f t="shared" ref="H31:O31" si="12">+SUM(H10:H30)</f>
        <v>2741.8424657534242</v>
      </c>
      <c r="I31" s="138">
        <f t="shared" si="12"/>
        <v>2741.8424657534247</v>
      </c>
      <c r="J31" s="144">
        <f t="shared" si="12"/>
        <v>50603.529213569294</v>
      </c>
      <c r="K31" s="137">
        <f t="shared" si="12"/>
        <v>53345.371679322714</v>
      </c>
      <c r="L31" s="137">
        <f t="shared" si="12"/>
        <v>581000</v>
      </c>
      <c r="M31" s="139">
        <f t="shared" si="12"/>
        <v>634345.37167932279</v>
      </c>
      <c r="N31" s="137">
        <f t="shared" si="12"/>
        <v>6179892.8751039822</v>
      </c>
      <c r="O31" s="144">
        <f t="shared" si="12"/>
        <v>5545547.5034246612</v>
      </c>
    </row>
    <row r="32" spans="1:15" ht="13.5" thickTop="1" x14ac:dyDescent="0.2">
      <c r="B32" s="2"/>
      <c r="C32" s="9"/>
      <c r="D32" s="9"/>
      <c r="E32" s="10"/>
      <c r="F32" s="11"/>
      <c r="G32" s="16"/>
      <c r="H32" s="14"/>
      <c r="I32" s="115"/>
      <c r="J32" s="16"/>
      <c r="K32" s="117"/>
      <c r="L32" s="14"/>
      <c r="M32" s="131"/>
      <c r="O32" s="117"/>
    </row>
    <row r="33" spans="1:15" ht="36.75" x14ac:dyDescent="0.2">
      <c r="A33" s="90" t="s">
        <v>53</v>
      </c>
      <c r="B33" s="90" t="s">
        <v>3</v>
      </c>
      <c r="C33" s="90" t="s">
        <v>4</v>
      </c>
      <c r="D33" s="90" t="s">
        <v>5</v>
      </c>
      <c r="E33" s="90" t="s">
        <v>6</v>
      </c>
      <c r="F33" s="90" t="s">
        <v>7</v>
      </c>
      <c r="G33" s="90" t="s">
        <v>80</v>
      </c>
      <c r="H33" s="90" t="s">
        <v>81</v>
      </c>
      <c r="I33" s="105" t="s">
        <v>82</v>
      </c>
      <c r="J33" s="106" t="s">
        <v>83</v>
      </c>
      <c r="K33" s="106" t="s">
        <v>84</v>
      </c>
      <c r="L33" s="106" t="s">
        <v>85</v>
      </c>
      <c r="M33" s="107" t="s">
        <v>75</v>
      </c>
      <c r="N33" s="90" t="s">
        <v>86</v>
      </c>
      <c r="O33" s="90" t="s">
        <v>87</v>
      </c>
    </row>
    <row r="34" spans="1:15" x14ac:dyDescent="0.2">
      <c r="B34" s="81"/>
      <c r="C34" s="82">
        <f>B2</f>
        <v>41958</v>
      </c>
      <c r="D34" s="82">
        <f>DATE(YEAR(C34),IF(MONTH(C34)&lt;=3,3,IF(MONTH(C34)&lt;=6,6,IF(MONTH(C34)&lt;=9,9,12))),IF(OR(MONTH(C34)&lt;=3,MONTH(C34)&gt;=10),31,30))</f>
        <v>42004</v>
      </c>
      <c r="E34" s="81">
        <f>D34-C34+1</f>
        <v>47</v>
      </c>
      <c r="F34" s="83">
        <f>VLOOKUP(D34,'FERC Interest Rate'!$A:$B,2,TRUE)</f>
        <v>3.2500000000000001E-2</v>
      </c>
      <c r="G34" s="84">
        <f>$E$2</f>
        <v>0</v>
      </c>
      <c r="H34" s="84">
        <f t="shared" ref="H34:H41" si="13">G34*F34*(E34/(DATE(YEAR(D34),12,31)-DATE(YEAR(D34),1,1)+1))</f>
        <v>0</v>
      </c>
      <c r="I34" s="109">
        <v>0</v>
      </c>
      <c r="J34" s="85">
        <v>0</v>
      </c>
      <c r="K34" s="129">
        <f t="shared" ref="K34:K61" si="14">+SUM(I34:J34)</f>
        <v>0</v>
      </c>
      <c r="L34" s="85">
        <v>0</v>
      </c>
      <c r="M34" s="130">
        <f t="shared" ref="M34:M61" si="15">+SUM(K34:L34)</f>
        <v>0</v>
      </c>
      <c r="N34" s="8">
        <f t="shared" ref="N34:N61" si="16">+G34+H34+J34</f>
        <v>0</v>
      </c>
      <c r="O34" s="84">
        <f t="shared" ref="O34:O61" si="17">G34+H34-L34-I34</f>
        <v>0</v>
      </c>
    </row>
    <row r="35" spans="1:15" x14ac:dyDescent="0.2">
      <c r="B35" s="81"/>
      <c r="C35" s="82">
        <f>D34+1</f>
        <v>42005</v>
      </c>
      <c r="D35" s="82">
        <f>EOMONTH(D34,3)</f>
        <v>42094</v>
      </c>
      <c r="E35" s="81">
        <f t="shared" ref="E35:E61" si="18">D35-C35+1</f>
        <v>90</v>
      </c>
      <c r="F35" s="83">
        <f>VLOOKUP(D35,'FERC Interest Rate'!$A:$B,2,TRUE)</f>
        <v>3.2500000000000001E-2</v>
      </c>
      <c r="G35" s="84">
        <f t="shared" ref="G35:G61" si="19">O34</f>
        <v>0</v>
      </c>
      <c r="H35" s="84">
        <f t="shared" si="13"/>
        <v>0</v>
      </c>
      <c r="I35" s="109">
        <v>0</v>
      </c>
      <c r="J35" s="85">
        <v>0</v>
      </c>
      <c r="K35" s="129">
        <f t="shared" si="14"/>
        <v>0</v>
      </c>
      <c r="L35" s="85">
        <v>0</v>
      </c>
      <c r="M35" s="130">
        <f t="shared" si="15"/>
        <v>0</v>
      </c>
      <c r="N35" s="8">
        <f t="shared" si="16"/>
        <v>0</v>
      </c>
      <c r="O35" s="84">
        <f t="shared" si="17"/>
        <v>0</v>
      </c>
    </row>
    <row r="36" spans="1:15" x14ac:dyDescent="0.2">
      <c r="B36" s="81"/>
      <c r="C36" s="82">
        <f t="shared" ref="C36:C61" si="20">D35+1</f>
        <v>42095</v>
      </c>
      <c r="D36" s="82">
        <f t="shared" ref="D36:D61" si="21">EOMONTH(D35,3)</f>
        <v>42185</v>
      </c>
      <c r="E36" s="81">
        <f t="shared" si="18"/>
        <v>91</v>
      </c>
      <c r="F36" s="83">
        <f>VLOOKUP(D36,'FERC Interest Rate'!$A:$B,2,TRUE)</f>
        <v>3.2500000000000001E-2</v>
      </c>
      <c r="G36" s="84">
        <f t="shared" si="19"/>
        <v>0</v>
      </c>
      <c r="H36" s="84">
        <f t="shared" si="13"/>
        <v>0</v>
      </c>
      <c r="I36" s="109">
        <v>0</v>
      </c>
      <c r="J36" s="85">
        <v>0</v>
      </c>
      <c r="K36" s="129">
        <f t="shared" si="14"/>
        <v>0</v>
      </c>
      <c r="L36" s="85">
        <v>0</v>
      </c>
      <c r="M36" s="130">
        <f t="shared" si="15"/>
        <v>0</v>
      </c>
      <c r="N36" s="8">
        <f t="shared" si="16"/>
        <v>0</v>
      </c>
      <c r="O36" s="84">
        <f t="shared" si="17"/>
        <v>0</v>
      </c>
    </row>
    <row r="37" spans="1:15" x14ac:dyDescent="0.2">
      <c r="B37" s="81"/>
      <c r="C37" s="82">
        <f t="shared" si="20"/>
        <v>42186</v>
      </c>
      <c r="D37" s="82">
        <f t="shared" si="21"/>
        <v>42277</v>
      </c>
      <c r="E37" s="81">
        <f t="shared" si="18"/>
        <v>92</v>
      </c>
      <c r="F37" s="83">
        <f>VLOOKUP(D37,'FERC Interest Rate'!$A:$B,2,TRUE)</f>
        <v>3.2500000000000001E-2</v>
      </c>
      <c r="G37" s="84">
        <f t="shared" si="19"/>
        <v>0</v>
      </c>
      <c r="H37" s="84">
        <f t="shared" si="13"/>
        <v>0</v>
      </c>
      <c r="I37" s="109">
        <v>0</v>
      </c>
      <c r="J37" s="85">
        <v>0</v>
      </c>
      <c r="K37" s="129">
        <f t="shared" si="14"/>
        <v>0</v>
      </c>
      <c r="L37" s="85">
        <v>0</v>
      </c>
      <c r="M37" s="130">
        <f t="shared" si="15"/>
        <v>0</v>
      </c>
      <c r="N37" s="8">
        <f t="shared" si="16"/>
        <v>0</v>
      </c>
      <c r="O37" s="84">
        <f t="shared" si="17"/>
        <v>0</v>
      </c>
    </row>
    <row r="38" spans="1:15" x14ac:dyDescent="0.2">
      <c r="B38" s="81"/>
      <c r="C38" s="82">
        <f t="shared" si="20"/>
        <v>42278</v>
      </c>
      <c r="D38" s="82">
        <f t="shared" si="21"/>
        <v>42369</v>
      </c>
      <c r="E38" s="81">
        <f t="shared" si="18"/>
        <v>92</v>
      </c>
      <c r="F38" s="83">
        <f>VLOOKUP(D38,'FERC Interest Rate'!$A:$B,2,TRUE)</f>
        <v>3.2500000000000001E-2</v>
      </c>
      <c r="G38" s="84">
        <f t="shared" si="19"/>
        <v>0</v>
      </c>
      <c r="H38" s="84">
        <f t="shared" si="13"/>
        <v>0</v>
      </c>
      <c r="I38" s="109">
        <v>0</v>
      </c>
      <c r="J38" s="85">
        <v>0</v>
      </c>
      <c r="K38" s="129">
        <f t="shared" si="14"/>
        <v>0</v>
      </c>
      <c r="L38" s="85">
        <v>0</v>
      </c>
      <c r="M38" s="130">
        <f t="shared" si="15"/>
        <v>0</v>
      </c>
      <c r="N38" s="8">
        <f t="shared" si="16"/>
        <v>0</v>
      </c>
      <c r="O38" s="84">
        <f t="shared" si="17"/>
        <v>0</v>
      </c>
    </row>
    <row r="39" spans="1:15" x14ac:dyDescent="0.2">
      <c r="B39" s="81"/>
      <c r="C39" s="82">
        <f t="shared" si="20"/>
        <v>42370</v>
      </c>
      <c r="D39" s="82">
        <f t="shared" si="21"/>
        <v>42460</v>
      </c>
      <c r="E39" s="81">
        <f t="shared" si="18"/>
        <v>91</v>
      </c>
      <c r="F39" s="83">
        <f>VLOOKUP(D39,'FERC Interest Rate'!$A:$B,2,TRUE)</f>
        <v>3.2500000000000001E-2</v>
      </c>
      <c r="G39" s="84">
        <f t="shared" si="19"/>
        <v>0</v>
      </c>
      <c r="H39" s="84">
        <f t="shared" si="13"/>
        <v>0</v>
      </c>
      <c r="I39" s="109">
        <v>0</v>
      </c>
      <c r="J39" s="85">
        <v>0</v>
      </c>
      <c r="K39" s="129">
        <f t="shared" si="14"/>
        <v>0</v>
      </c>
      <c r="L39" s="85">
        <v>0</v>
      </c>
      <c r="M39" s="130">
        <f t="shared" si="15"/>
        <v>0</v>
      </c>
      <c r="N39" s="8">
        <f t="shared" si="16"/>
        <v>0</v>
      </c>
      <c r="O39" s="84">
        <f t="shared" si="17"/>
        <v>0</v>
      </c>
    </row>
    <row r="40" spans="1:15" x14ac:dyDescent="0.2">
      <c r="B40" s="81"/>
      <c r="C40" s="82">
        <f t="shared" si="20"/>
        <v>42461</v>
      </c>
      <c r="D40" s="82">
        <f t="shared" si="21"/>
        <v>42551</v>
      </c>
      <c r="E40" s="81">
        <f t="shared" si="18"/>
        <v>91</v>
      </c>
      <c r="F40" s="83">
        <f>VLOOKUP(D40,'FERC Interest Rate'!$A:$B,2,TRUE)</f>
        <v>3.4599999999999999E-2</v>
      </c>
      <c r="G40" s="84">
        <f t="shared" si="19"/>
        <v>0</v>
      </c>
      <c r="H40" s="84">
        <f t="shared" si="13"/>
        <v>0</v>
      </c>
      <c r="I40" s="109">
        <v>0</v>
      </c>
      <c r="J40" s="85">
        <v>0</v>
      </c>
      <c r="K40" s="129">
        <f t="shared" si="14"/>
        <v>0</v>
      </c>
      <c r="L40" s="85">
        <v>0</v>
      </c>
      <c r="M40" s="130">
        <f t="shared" si="15"/>
        <v>0</v>
      </c>
      <c r="N40" s="8">
        <f t="shared" si="16"/>
        <v>0</v>
      </c>
      <c r="O40" s="84">
        <f t="shared" si="17"/>
        <v>0</v>
      </c>
    </row>
    <row r="41" spans="1:15" x14ac:dyDescent="0.2">
      <c r="B41" s="81"/>
      <c r="C41" s="82">
        <f t="shared" si="20"/>
        <v>42552</v>
      </c>
      <c r="D41" s="82">
        <f t="shared" si="21"/>
        <v>42643</v>
      </c>
      <c r="E41" s="81">
        <f t="shared" si="18"/>
        <v>92</v>
      </c>
      <c r="F41" s="83">
        <f>VLOOKUP(D41,'FERC Interest Rate'!$A:$B,2,TRUE)</f>
        <v>3.5000000000000003E-2</v>
      </c>
      <c r="G41" s="84">
        <f t="shared" si="19"/>
        <v>0</v>
      </c>
      <c r="H41" s="84">
        <f t="shared" si="13"/>
        <v>0</v>
      </c>
      <c r="I41" s="109">
        <v>0</v>
      </c>
      <c r="J41" s="85">
        <v>0</v>
      </c>
      <c r="K41" s="129">
        <f t="shared" si="14"/>
        <v>0</v>
      </c>
      <c r="L41" s="85">
        <v>0</v>
      </c>
      <c r="M41" s="130">
        <f t="shared" si="15"/>
        <v>0</v>
      </c>
      <c r="N41" s="8">
        <f t="shared" si="16"/>
        <v>0</v>
      </c>
      <c r="O41" s="84">
        <f t="shared" si="17"/>
        <v>0</v>
      </c>
    </row>
    <row r="42" spans="1:15" x14ac:dyDescent="0.2">
      <c r="B42" s="81"/>
      <c r="C42" s="82">
        <f t="shared" si="20"/>
        <v>42644</v>
      </c>
      <c r="D42" s="82">
        <f t="shared" si="21"/>
        <v>42735</v>
      </c>
      <c r="E42" s="81">
        <f t="shared" si="18"/>
        <v>92</v>
      </c>
      <c r="F42" s="83">
        <f>VLOOKUP(D42,'FERC Interest Rate'!$A:$B,2,TRUE)</f>
        <v>3.5000000000000003E-2</v>
      </c>
      <c r="G42" s="84">
        <f t="shared" si="19"/>
        <v>0</v>
      </c>
      <c r="H42" s="84">
        <v>0</v>
      </c>
      <c r="I42" s="109">
        <f>SUM($I$65:$I$93)/20</f>
        <v>0</v>
      </c>
      <c r="J42" s="85">
        <f t="shared" ref="J42:J59" si="22">G42*F42*(E42/(DATE(YEAR(D42),12,31)-DATE(YEAR(D42),1,1)+1))</f>
        <v>0</v>
      </c>
      <c r="K42" s="129">
        <f t="shared" si="14"/>
        <v>0</v>
      </c>
      <c r="L42" s="85">
        <f>$F$65/20</f>
        <v>0</v>
      </c>
      <c r="M42" s="130">
        <f t="shared" si="15"/>
        <v>0</v>
      </c>
      <c r="N42" s="8">
        <f t="shared" si="16"/>
        <v>0</v>
      </c>
      <c r="O42" s="84">
        <f t="shared" si="17"/>
        <v>0</v>
      </c>
    </row>
    <row r="43" spans="1:15" x14ac:dyDescent="0.2">
      <c r="B43" s="81"/>
      <c r="C43" s="82">
        <f t="shared" si="20"/>
        <v>42736</v>
      </c>
      <c r="D43" s="82">
        <f t="shared" si="21"/>
        <v>42825</v>
      </c>
      <c r="E43" s="81">
        <f t="shared" si="18"/>
        <v>90</v>
      </c>
      <c r="F43" s="83">
        <f>VLOOKUP(D43,'FERC Interest Rate'!$A:$B,2,TRUE)</f>
        <v>3.5000000000000003E-2</v>
      </c>
      <c r="G43" s="84">
        <f t="shared" si="19"/>
        <v>0</v>
      </c>
      <c r="H43" s="84">
        <v>0</v>
      </c>
      <c r="I43" s="109">
        <f t="shared" ref="I43:I61" si="23">SUM($I$65:$I$93)/20</f>
        <v>0</v>
      </c>
      <c r="J43" s="85">
        <f t="shared" si="22"/>
        <v>0</v>
      </c>
      <c r="K43" s="129">
        <f t="shared" si="14"/>
        <v>0</v>
      </c>
      <c r="L43" s="85">
        <f t="shared" ref="L43:L61" si="24">$F$65/20</f>
        <v>0</v>
      </c>
      <c r="M43" s="130">
        <f t="shared" si="15"/>
        <v>0</v>
      </c>
      <c r="N43" s="8">
        <f t="shared" si="16"/>
        <v>0</v>
      </c>
      <c r="O43" s="84">
        <f t="shared" si="17"/>
        <v>0</v>
      </c>
    </row>
    <row r="44" spans="1:15" x14ac:dyDescent="0.2">
      <c r="B44" s="81"/>
      <c r="C44" s="82">
        <f t="shared" si="20"/>
        <v>42826</v>
      </c>
      <c r="D44" s="82">
        <f t="shared" si="21"/>
        <v>42916</v>
      </c>
      <c r="E44" s="81">
        <f t="shared" si="18"/>
        <v>91</v>
      </c>
      <c r="F44" s="83">
        <f>VLOOKUP(D44,'FERC Interest Rate'!$A:$B,2,TRUE)</f>
        <v>3.7100000000000001E-2</v>
      </c>
      <c r="G44" s="84">
        <f t="shared" si="19"/>
        <v>0</v>
      </c>
      <c r="H44" s="84">
        <v>0</v>
      </c>
      <c r="I44" s="109">
        <f t="shared" si="23"/>
        <v>0</v>
      </c>
      <c r="J44" s="85">
        <f t="shared" si="22"/>
        <v>0</v>
      </c>
      <c r="K44" s="129">
        <f t="shared" si="14"/>
        <v>0</v>
      </c>
      <c r="L44" s="85">
        <f t="shared" si="24"/>
        <v>0</v>
      </c>
      <c r="M44" s="130">
        <f t="shared" si="15"/>
        <v>0</v>
      </c>
      <c r="N44" s="8">
        <f t="shared" si="16"/>
        <v>0</v>
      </c>
      <c r="O44" s="84">
        <f t="shared" si="17"/>
        <v>0</v>
      </c>
    </row>
    <row r="45" spans="1:15" x14ac:dyDescent="0.2">
      <c r="B45" s="81"/>
      <c r="C45" s="82">
        <f t="shared" si="20"/>
        <v>42917</v>
      </c>
      <c r="D45" s="82">
        <f t="shared" si="21"/>
        <v>43008</v>
      </c>
      <c r="E45" s="81">
        <f t="shared" si="18"/>
        <v>92</v>
      </c>
      <c r="F45" s="83">
        <f>VLOOKUP(D45,'FERC Interest Rate'!$A:$B,2,TRUE)</f>
        <v>3.9600000000000003E-2</v>
      </c>
      <c r="G45" s="84">
        <f t="shared" si="19"/>
        <v>0</v>
      </c>
      <c r="H45" s="84">
        <v>0</v>
      </c>
      <c r="I45" s="109">
        <f t="shared" si="23"/>
        <v>0</v>
      </c>
      <c r="J45" s="85">
        <f t="shared" si="22"/>
        <v>0</v>
      </c>
      <c r="K45" s="129">
        <f t="shared" si="14"/>
        <v>0</v>
      </c>
      <c r="L45" s="85">
        <f t="shared" si="24"/>
        <v>0</v>
      </c>
      <c r="M45" s="130">
        <f t="shared" si="15"/>
        <v>0</v>
      </c>
      <c r="N45" s="8">
        <f t="shared" si="16"/>
        <v>0</v>
      </c>
      <c r="O45" s="84">
        <f t="shared" si="17"/>
        <v>0</v>
      </c>
    </row>
    <row r="46" spans="1:15" x14ac:dyDescent="0.2">
      <c r="B46" s="81"/>
      <c r="C46" s="82">
        <f t="shared" si="20"/>
        <v>43009</v>
      </c>
      <c r="D46" s="82">
        <f t="shared" si="21"/>
        <v>43100</v>
      </c>
      <c r="E46" s="81">
        <f t="shared" si="18"/>
        <v>92</v>
      </c>
      <c r="F46" s="83">
        <f>VLOOKUP(D46,'FERC Interest Rate'!$A:$B,2,TRUE)</f>
        <v>4.2099999999999999E-2</v>
      </c>
      <c r="G46" s="84">
        <f t="shared" si="19"/>
        <v>0</v>
      </c>
      <c r="H46" s="84">
        <v>0</v>
      </c>
      <c r="I46" s="109">
        <f t="shared" si="23"/>
        <v>0</v>
      </c>
      <c r="J46" s="85">
        <f t="shared" si="22"/>
        <v>0</v>
      </c>
      <c r="K46" s="129">
        <f t="shared" si="14"/>
        <v>0</v>
      </c>
      <c r="L46" s="85">
        <f t="shared" si="24"/>
        <v>0</v>
      </c>
      <c r="M46" s="130">
        <f t="shared" si="15"/>
        <v>0</v>
      </c>
      <c r="N46" s="8">
        <f t="shared" si="16"/>
        <v>0</v>
      </c>
      <c r="O46" s="84">
        <f t="shared" si="17"/>
        <v>0</v>
      </c>
    </row>
    <row r="47" spans="1:15" x14ac:dyDescent="0.2">
      <c r="B47" s="81"/>
      <c r="C47" s="82">
        <f t="shared" si="20"/>
        <v>43101</v>
      </c>
      <c r="D47" s="82">
        <f t="shared" si="21"/>
        <v>43190</v>
      </c>
      <c r="E47" s="81">
        <f t="shared" si="18"/>
        <v>90</v>
      </c>
      <c r="F47" s="83">
        <f>VLOOKUP(D47,'FERC Interest Rate'!$A:$B,2,TRUE)</f>
        <v>4.2500000000000003E-2</v>
      </c>
      <c r="G47" s="84">
        <f t="shared" si="19"/>
        <v>0</v>
      </c>
      <c r="H47" s="84">
        <v>0</v>
      </c>
      <c r="I47" s="109">
        <f t="shared" si="23"/>
        <v>0</v>
      </c>
      <c r="J47" s="85">
        <f t="shared" si="22"/>
        <v>0</v>
      </c>
      <c r="K47" s="129">
        <f t="shared" si="14"/>
        <v>0</v>
      </c>
      <c r="L47" s="85">
        <f t="shared" si="24"/>
        <v>0</v>
      </c>
      <c r="M47" s="130">
        <f t="shared" si="15"/>
        <v>0</v>
      </c>
      <c r="N47" s="8">
        <f t="shared" si="16"/>
        <v>0</v>
      </c>
      <c r="O47" s="84">
        <f t="shared" si="17"/>
        <v>0</v>
      </c>
    </row>
    <row r="48" spans="1:15" x14ac:dyDescent="0.2">
      <c r="B48" s="81"/>
      <c r="C48" s="82">
        <f t="shared" si="20"/>
        <v>43191</v>
      </c>
      <c r="D48" s="82">
        <f t="shared" si="21"/>
        <v>43281</v>
      </c>
      <c r="E48" s="81">
        <f t="shared" si="18"/>
        <v>91</v>
      </c>
      <c r="F48" s="83">
        <f>VLOOKUP(D48,'FERC Interest Rate'!$A:$B,2,TRUE)</f>
        <v>4.4699999999999997E-2</v>
      </c>
      <c r="G48" s="84">
        <f t="shared" si="19"/>
        <v>0</v>
      </c>
      <c r="H48" s="84">
        <v>0</v>
      </c>
      <c r="I48" s="109">
        <f t="shared" si="23"/>
        <v>0</v>
      </c>
      <c r="J48" s="85">
        <f t="shared" si="22"/>
        <v>0</v>
      </c>
      <c r="K48" s="129">
        <f t="shared" si="14"/>
        <v>0</v>
      </c>
      <c r="L48" s="85">
        <f t="shared" si="24"/>
        <v>0</v>
      </c>
      <c r="M48" s="130">
        <f t="shared" si="15"/>
        <v>0</v>
      </c>
      <c r="N48" s="8">
        <f t="shared" si="16"/>
        <v>0</v>
      </c>
      <c r="O48" s="84">
        <f t="shared" si="17"/>
        <v>0</v>
      </c>
    </row>
    <row r="49" spans="1:15" x14ac:dyDescent="0.2">
      <c r="B49" s="81"/>
      <c r="C49" s="82">
        <f t="shared" si="20"/>
        <v>43282</v>
      </c>
      <c r="D49" s="82">
        <f t="shared" si="21"/>
        <v>43373</v>
      </c>
      <c r="E49" s="81">
        <f t="shared" si="18"/>
        <v>92</v>
      </c>
      <c r="F49" s="83">
        <f>VLOOKUP(D49,'FERC Interest Rate'!$A:$B,2,TRUE)</f>
        <v>5.011111E-2</v>
      </c>
      <c r="G49" s="84">
        <f t="shared" si="19"/>
        <v>0</v>
      </c>
      <c r="H49" s="84">
        <v>0</v>
      </c>
      <c r="I49" s="109">
        <f t="shared" si="23"/>
        <v>0</v>
      </c>
      <c r="J49" s="85">
        <f t="shared" si="22"/>
        <v>0</v>
      </c>
      <c r="K49" s="129">
        <f t="shared" si="14"/>
        <v>0</v>
      </c>
      <c r="L49" s="85">
        <f t="shared" si="24"/>
        <v>0</v>
      </c>
      <c r="M49" s="130">
        <f t="shared" si="15"/>
        <v>0</v>
      </c>
      <c r="N49" s="8">
        <f t="shared" si="16"/>
        <v>0</v>
      </c>
      <c r="O49" s="84">
        <f t="shared" si="17"/>
        <v>0</v>
      </c>
    </row>
    <row r="50" spans="1:15" x14ac:dyDescent="0.2">
      <c r="B50" s="81"/>
      <c r="C50" s="82">
        <f t="shared" si="20"/>
        <v>43374</v>
      </c>
      <c r="D50" s="82">
        <f t="shared" si="21"/>
        <v>43465</v>
      </c>
      <c r="E50" s="81">
        <f t="shared" si="18"/>
        <v>92</v>
      </c>
      <c r="F50" s="83">
        <f>VLOOKUP(D50,'FERC Interest Rate'!$A:$B,2,TRUE)</f>
        <v>5.2822580000000001E-2</v>
      </c>
      <c r="G50" s="84">
        <f t="shared" si="19"/>
        <v>0</v>
      </c>
      <c r="H50" s="84">
        <v>0</v>
      </c>
      <c r="I50" s="109">
        <f t="shared" si="23"/>
        <v>0</v>
      </c>
      <c r="J50" s="85">
        <f t="shared" si="22"/>
        <v>0</v>
      </c>
      <c r="K50" s="129">
        <f t="shared" si="14"/>
        <v>0</v>
      </c>
      <c r="L50" s="85">
        <f t="shared" si="24"/>
        <v>0</v>
      </c>
      <c r="M50" s="130">
        <f t="shared" si="15"/>
        <v>0</v>
      </c>
      <c r="N50" s="8">
        <f t="shared" si="16"/>
        <v>0</v>
      </c>
      <c r="O50" s="84">
        <f t="shared" si="17"/>
        <v>0</v>
      </c>
    </row>
    <row r="51" spans="1:15" x14ac:dyDescent="0.2">
      <c r="B51" s="81"/>
      <c r="C51" s="82">
        <f t="shared" si="20"/>
        <v>43466</v>
      </c>
      <c r="D51" s="82">
        <f t="shared" si="21"/>
        <v>43555</v>
      </c>
      <c r="E51" s="81">
        <f t="shared" si="18"/>
        <v>90</v>
      </c>
      <c r="F51" s="83">
        <f>VLOOKUP(D51,'FERC Interest Rate'!$A:$B,2,TRUE)</f>
        <v>5.5296770000000002E-2</v>
      </c>
      <c r="G51" s="84">
        <f t="shared" si="19"/>
        <v>0</v>
      </c>
      <c r="H51" s="84">
        <v>0</v>
      </c>
      <c r="I51" s="109">
        <f t="shared" si="23"/>
        <v>0</v>
      </c>
      <c r="J51" s="85">
        <f t="shared" si="22"/>
        <v>0</v>
      </c>
      <c r="K51" s="129">
        <f t="shared" si="14"/>
        <v>0</v>
      </c>
      <c r="L51" s="85">
        <f t="shared" si="24"/>
        <v>0</v>
      </c>
      <c r="M51" s="130">
        <f t="shared" si="15"/>
        <v>0</v>
      </c>
      <c r="N51" s="8">
        <f t="shared" si="16"/>
        <v>0</v>
      </c>
      <c r="O51" s="84">
        <f t="shared" si="17"/>
        <v>0</v>
      </c>
    </row>
    <row r="52" spans="1:15" x14ac:dyDescent="0.2">
      <c r="B52" s="81"/>
      <c r="C52" s="82">
        <f t="shared" si="20"/>
        <v>43556</v>
      </c>
      <c r="D52" s="82">
        <f t="shared" si="21"/>
        <v>43646</v>
      </c>
      <c r="E52" s="81">
        <f t="shared" si="18"/>
        <v>91</v>
      </c>
      <c r="F52" s="83">
        <f>VLOOKUP(D52,'FERC Interest Rate'!$A:$B,2,TRUE)</f>
        <v>5.7999999999999996E-2</v>
      </c>
      <c r="G52" s="84">
        <f t="shared" si="19"/>
        <v>0</v>
      </c>
      <c r="H52" s="84">
        <v>0</v>
      </c>
      <c r="I52" s="109">
        <f t="shared" si="23"/>
        <v>0</v>
      </c>
      <c r="J52" s="85">
        <f t="shared" si="22"/>
        <v>0</v>
      </c>
      <c r="K52" s="129">
        <f t="shared" si="14"/>
        <v>0</v>
      </c>
      <c r="L52" s="85">
        <f t="shared" si="24"/>
        <v>0</v>
      </c>
      <c r="M52" s="130">
        <f t="shared" si="15"/>
        <v>0</v>
      </c>
      <c r="N52" s="8">
        <f t="shared" si="16"/>
        <v>0</v>
      </c>
      <c r="O52" s="84">
        <f t="shared" si="17"/>
        <v>0</v>
      </c>
    </row>
    <row r="53" spans="1:15" x14ac:dyDescent="0.2">
      <c r="B53" s="81"/>
      <c r="C53" s="82">
        <f t="shared" si="20"/>
        <v>43647</v>
      </c>
      <c r="D53" s="82">
        <f t="shared" si="21"/>
        <v>43738</v>
      </c>
      <c r="E53" s="81">
        <f t="shared" si="18"/>
        <v>92</v>
      </c>
      <c r="F53" s="83">
        <f>VLOOKUP(D53,'FERC Interest Rate'!$A:$B,2,TRUE)</f>
        <v>0.06</v>
      </c>
      <c r="G53" s="84">
        <f t="shared" si="19"/>
        <v>0</v>
      </c>
      <c r="H53" s="84">
        <v>0</v>
      </c>
      <c r="I53" s="109">
        <f t="shared" si="23"/>
        <v>0</v>
      </c>
      <c r="J53" s="85">
        <f t="shared" si="22"/>
        <v>0</v>
      </c>
      <c r="K53" s="129">
        <f t="shared" si="14"/>
        <v>0</v>
      </c>
      <c r="L53" s="85">
        <f t="shared" si="24"/>
        <v>0</v>
      </c>
      <c r="M53" s="130">
        <f t="shared" si="15"/>
        <v>0</v>
      </c>
      <c r="N53" s="8">
        <f t="shared" si="16"/>
        <v>0</v>
      </c>
      <c r="O53" s="84">
        <f t="shared" si="17"/>
        <v>0</v>
      </c>
    </row>
    <row r="54" spans="1:15" x14ac:dyDescent="0.2">
      <c r="B54" s="81"/>
      <c r="C54" s="82">
        <f t="shared" si="20"/>
        <v>43739</v>
      </c>
      <c r="D54" s="82">
        <f t="shared" si="21"/>
        <v>43830</v>
      </c>
      <c r="E54" s="81">
        <f t="shared" si="18"/>
        <v>92</v>
      </c>
      <c r="F54" s="83">
        <f>VLOOKUP(D54,'FERC Interest Rate'!$A:$B,2,TRUE)</f>
        <v>6.0349460000000001E-2</v>
      </c>
      <c r="G54" s="84">
        <f t="shared" si="19"/>
        <v>0</v>
      </c>
      <c r="H54" s="84">
        <v>0</v>
      </c>
      <c r="I54" s="109">
        <f t="shared" si="23"/>
        <v>0</v>
      </c>
      <c r="J54" s="85">
        <f t="shared" si="22"/>
        <v>0</v>
      </c>
      <c r="K54" s="129">
        <f t="shared" si="14"/>
        <v>0</v>
      </c>
      <c r="L54" s="85">
        <f t="shared" si="24"/>
        <v>0</v>
      </c>
      <c r="M54" s="130">
        <f t="shared" si="15"/>
        <v>0</v>
      </c>
      <c r="N54" s="8">
        <f t="shared" si="16"/>
        <v>0</v>
      </c>
      <c r="O54" s="84">
        <f t="shared" si="17"/>
        <v>0</v>
      </c>
    </row>
    <row r="55" spans="1:15" x14ac:dyDescent="0.2">
      <c r="B55" s="81"/>
      <c r="C55" s="82">
        <f t="shared" si="20"/>
        <v>43831</v>
      </c>
      <c r="D55" s="82">
        <f t="shared" si="21"/>
        <v>43921</v>
      </c>
      <c r="E55" s="81">
        <f t="shared" si="18"/>
        <v>91</v>
      </c>
      <c r="F55" s="83">
        <f>VLOOKUP(D55,'FERC Interest Rate'!$A:$B,2,TRUE)</f>
        <v>6.2501040000000008E-2</v>
      </c>
      <c r="G55" s="84">
        <f t="shared" si="19"/>
        <v>0</v>
      </c>
      <c r="H55" s="84">
        <v>0</v>
      </c>
      <c r="I55" s="109">
        <f t="shared" si="23"/>
        <v>0</v>
      </c>
      <c r="J55" s="85">
        <f t="shared" si="22"/>
        <v>0</v>
      </c>
      <c r="K55" s="129">
        <f t="shared" si="14"/>
        <v>0</v>
      </c>
      <c r="L55" s="85">
        <f t="shared" si="24"/>
        <v>0</v>
      </c>
      <c r="M55" s="130">
        <f t="shared" si="15"/>
        <v>0</v>
      </c>
      <c r="N55" s="8">
        <f t="shared" si="16"/>
        <v>0</v>
      </c>
      <c r="O55" s="84">
        <f t="shared" si="17"/>
        <v>0</v>
      </c>
    </row>
    <row r="56" spans="1:15" x14ac:dyDescent="0.2">
      <c r="B56" s="81"/>
      <c r="C56" s="82">
        <f t="shared" si="20"/>
        <v>43922</v>
      </c>
      <c r="D56" s="82">
        <f t="shared" si="21"/>
        <v>44012</v>
      </c>
      <c r="E56" s="81">
        <f t="shared" si="18"/>
        <v>91</v>
      </c>
      <c r="F56" s="83">
        <f>VLOOKUP(D56,'FERC Interest Rate'!$A:$B,2,TRUE)</f>
        <v>6.3055559999999997E-2</v>
      </c>
      <c r="G56" s="84">
        <f t="shared" si="19"/>
        <v>0</v>
      </c>
      <c r="H56" s="84">
        <v>0</v>
      </c>
      <c r="I56" s="109">
        <f t="shared" si="23"/>
        <v>0</v>
      </c>
      <c r="J56" s="85">
        <f t="shared" si="22"/>
        <v>0</v>
      </c>
      <c r="K56" s="129">
        <f t="shared" si="14"/>
        <v>0</v>
      </c>
      <c r="L56" s="85">
        <f t="shared" si="24"/>
        <v>0</v>
      </c>
      <c r="M56" s="130">
        <f t="shared" si="15"/>
        <v>0</v>
      </c>
      <c r="N56" s="8">
        <f t="shared" si="16"/>
        <v>0</v>
      </c>
      <c r="O56" s="84">
        <f t="shared" si="17"/>
        <v>0</v>
      </c>
    </row>
    <row r="57" spans="1:15" x14ac:dyDescent="0.2">
      <c r="B57" s="81"/>
      <c r="C57" s="82">
        <f t="shared" si="20"/>
        <v>44013</v>
      </c>
      <c r="D57" s="82">
        <f t="shared" si="21"/>
        <v>44104</v>
      </c>
      <c r="E57" s="81">
        <f t="shared" si="18"/>
        <v>92</v>
      </c>
      <c r="F57" s="83">
        <f>VLOOKUP(D57,'FERC Interest Rate'!$A:$B,2,TRUE)</f>
        <v>6.5000000000000002E-2</v>
      </c>
      <c r="G57" s="84">
        <f t="shared" si="19"/>
        <v>0</v>
      </c>
      <c r="H57" s="84">
        <v>0</v>
      </c>
      <c r="I57" s="109">
        <f t="shared" si="23"/>
        <v>0</v>
      </c>
      <c r="J57" s="85">
        <f t="shared" si="22"/>
        <v>0</v>
      </c>
      <c r="K57" s="129">
        <f t="shared" si="14"/>
        <v>0</v>
      </c>
      <c r="L57" s="85">
        <f t="shared" si="24"/>
        <v>0</v>
      </c>
      <c r="M57" s="130">
        <f t="shared" si="15"/>
        <v>0</v>
      </c>
      <c r="N57" s="8">
        <f t="shared" si="16"/>
        <v>0</v>
      </c>
      <c r="O57" s="84">
        <f t="shared" si="17"/>
        <v>0</v>
      </c>
    </row>
    <row r="58" spans="1:15" x14ac:dyDescent="0.2">
      <c r="B58" s="81"/>
      <c r="C58" s="82">
        <f t="shared" si="20"/>
        <v>44105</v>
      </c>
      <c r="D58" s="82">
        <f t="shared" si="21"/>
        <v>44196</v>
      </c>
      <c r="E58" s="81">
        <f t="shared" si="18"/>
        <v>92</v>
      </c>
      <c r="F58" s="83">
        <f>VLOOKUP(D58,'FERC Interest Rate'!$A:$B,2,TRUE)</f>
        <v>6.5000000000000002E-2</v>
      </c>
      <c r="G58" s="84">
        <f t="shared" si="19"/>
        <v>0</v>
      </c>
      <c r="H58" s="84">
        <v>0</v>
      </c>
      <c r="I58" s="109">
        <f t="shared" si="23"/>
        <v>0</v>
      </c>
      <c r="J58" s="85">
        <f t="shared" si="22"/>
        <v>0</v>
      </c>
      <c r="K58" s="129">
        <f t="shared" si="14"/>
        <v>0</v>
      </c>
      <c r="L58" s="85">
        <f t="shared" si="24"/>
        <v>0</v>
      </c>
      <c r="M58" s="130">
        <f t="shared" si="15"/>
        <v>0</v>
      </c>
      <c r="N58" s="8">
        <f t="shared" si="16"/>
        <v>0</v>
      </c>
      <c r="O58" s="84">
        <f t="shared" si="17"/>
        <v>0</v>
      </c>
    </row>
    <row r="59" spans="1:15" x14ac:dyDescent="0.2">
      <c r="B59" s="81"/>
      <c r="C59" s="82">
        <f t="shared" si="20"/>
        <v>44197</v>
      </c>
      <c r="D59" s="82">
        <f t="shared" si="21"/>
        <v>44286</v>
      </c>
      <c r="E59" s="81">
        <f t="shared" si="18"/>
        <v>90</v>
      </c>
      <c r="F59" s="83">
        <f>VLOOKUP(D59,'FERC Interest Rate'!$A:$B,2,TRUE)</f>
        <v>6.5000000000000002E-2</v>
      </c>
      <c r="G59" s="84">
        <f t="shared" si="19"/>
        <v>0</v>
      </c>
      <c r="H59" s="84">
        <v>0</v>
      </c>
      <c r="I59" s="109">
        <f t="shared" si="23"/>
        <v>0</v>
      </c>
      <c r="J59" s="85">
        <f t="shared" si="22"/>
        <v>0</v>
      </c>
      <c r="K59" s="129">
        <f t="shared" si="14"/>
        <v>0</v>
      </c>
      <c r="L59" s="85">
        <f t="shared" si="24"/>
        <v>0</v>
      </c>
      <c r="M59" s="130">
        <f t="shared" si="15"/>
        <v>0</v>
      </c>
      <c r="N59" s="8">
        <f t="shared" si="16"/>
        <v>0</v>
      </c>
      <c r="O59" s="84">
        <f t="shared" si="17"/>
        <v>0</v>
      </c>
    </row>
    <row r="60" spans="1:15" x14ac:dyDescent="0.2">
      <c r="B60" s="81"/>
      <c r="C60" s="82">
        <f t="shared" si="20"/>
        <v>44287</v>
      </c>
      <c r="D60" s="82">
        <f t="shared" si="21"/>
        <v>44377</v>
      </c>
      <c r="E60" s="81">
        <f t="shared" si="18"/>
        <v>91</v>
      </c>
      <c r="F60" s="83">
        <f>VLOOKUP(D60,'FERC Interest Rate'!$A:$B,2,TRUE)</f>
        <v>6.5000000000000002E-2</v>
      </c>
      <c r="G60" s="84">
        <f t="shared" si="19"/>
        <v>0</v>
      </c>
      <c r="H60" s="84">
        <v>0</v>
      </c>
      <c r="I60" s="109">
        <f t="shared" si="23"/>
        <v>0</v>
      </c>
      <c r="J60" s="85">
        <f>G60*F60*(E60/(DATE(YEAR(D60),12,31)-DATE(YEAR(D60),1,1)+1))</f>
        <v>0</v>
      </c>
      <c r="K60" s="129">
        <f t="shared" si="14"/>
        <v>0</v>
      </c>
      <c r="L60" s="85">
        <f t="shared" si="24"/>
        <v>0</v>
      </c>
      <c r="M60" s="130">
        <f t="shared" si="15"/>
        <v>0</v>
      </c>
      <c r="N60" s="8">
        <f t="shared" si="16"/>
        <v>0</v>
      </c>
      <c r="O60" s="84">
        <f t="shared" si="17"/>
        <v>0</v>
      </c>
    </row>
    <row r="61" spans="1:15" x14ac:dyDescent="0.2">
      <c r="B61" s="81"/>
      <c r="C61" s="82">
        <f t="shared" si="20"/>
        <v>44378</v>
      </c>
      <c r="D61" s="82">
        <f t="shared" si="21"/>
        <v>44469</v>
      </c>
      <c r="E61" s="81">
        <f t="shared" si="18"/>
        <v>92</v>
      </c>
      <c r="F61" s="83">
        <f>VLOOKUP(D61,'FERC Interest Rate'!$A:$B,2,TRUE)</f>
        <v>6.5000000000000002E-2</v>
      </c>
      <c r="G61" s="84">
        <f t="shared" si="19"/>
        <v>0</v>
      </c>
      <c r="H61" s="84">
        <v>0</v>
      </c>
      <c r="I61" s="109">
        <f t="shared" si="23"/>
        <v>0</v>
      </c>
      <c r="J61" s="85">
        <f>G61*F61*(E61/(DATE(YEAR(D61),12,31)-DATE(YEAR(D61),1,1)+1))</f>
        <v>0</v>
      </c>
      <c r="K61" s="129">
        <f t="shared" si="14"/>
        <v>0</v>
      </c>
      <c r="L61" s="85">
        <f t="shared" si="24"/>
        <v>0</v>
      </c>
      <c r="M61" s="130">
        <f t="shared" si="15"/>
        <v>0</v>
      </c>
      <c r="N61" s="8">
        <f t="shared" si="16"/>
        <v>0</v>
      </c>
      <c r="O61" s="84">
        <f t="shared" si="17"/>
        <v>0</v>
      </c>
    </row>
    <row r="62" spans="1:15" x14ac:dyDescent="0.2">
      <c r="B62" s="11"/>
      <c r="C62" s="98"/>
      <c r="D62" s="98"/>
      <c r="E62" s="10"/>
      <c r="F62" s="11"/>
      <c r="G62" s="85"/>
      <c r="H62" s="85"/>
      <c r="I62" s="132"/>
      <c r="J62" s="12"/>
      <c r="K62" s="12"/>
      <c r="L62" s="85"/>
      <c r="M62" s="131"/>
    </row>
    <row r="63" spans="1:15" ht="13.5" thickBot="1" x14ac:dyDescent="0.25">
      <c r="A63" s="99"/>
      <c r="B63" s="99"/>
      <c r="C63" s="99"/>
      <c r="D63" s="99"/>
      <c r="E63" s="99"/>
      <c r="F63" s="99"/>
      <c r="G63" s="137">
        <f>+SUM(G34:G62)</f>
        <v>0</v>
      </c>
      <c r="H63" s="137">
        <f t="shared" ref="H63:O63" si="25">+SUM(H34:H62)</f>
        <v>0</v>
      </c>
      <c r="I63" s="138">
        <f t="shared" si="25"/>
        <v>0</v>
      </c>
      <c r="J63" s="137">
        <f t="shared" si="25"/>
        <v>0</v>
      </c>
      <c r="K63" s="137">
        <f t="shared" si="25"/>
        <v>0</v>
      </c>
      <c r="L63" s="137">
        <f t="shared" si="25"/>
        <v>0</v>
      </c>
      <c r="M63" s="139">
        <f t="shared" si="25"/>
        <v>0</v>
      </c>
      <c r="N63" s="137">
        <f t="shared" si="25"/>
        <v>0</v>
      </c>
      <c r="O63" s="137">
        <f t="shared" si="25"/>
        <v>0</v>
      </c>
    </row>
    <row r="64" spans="1:15" ht="14.25" thickTop="1" thickBot="1" x14ac:dyDescent="0.25">
      <c r="I64" s="121"/>
      <c r="J64" s="122"/>
      <c r="K64" s="122"/>
      <c r="L64" s="122"/>
      <c r="M64" s="123"/>
    </row>
  </sheetData>
  <pageMargins left="0.7" right="0.7" top="0.75" bottom="0.75" header="0.3" footer="0.3"/>
  <pageSetup scale="55" fitToHeight="0" orientation="landscape" r:id="rId1"/>
  <headerFooter alignWithMargins="0">
    <oddHeader>&amp;RTO2019 Annual Update
Attachment 4
WP Schedule 22
Page &amp;P of &amp;N</oddHeader>
    <oddFooter>&amp;R&amp;A</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05"/>
  <sheetViews>
    <sheetView zoomScale="80" zoomScaleNormal="80" workbookViewId="0"/>
  </sheetViews>
  <sheetFormatPr defaultColWidth="9.140625" defaultRowHeight="12.75" x14ac:dyDescent="0.2"/>
  <cols>
    <col min="1" max="1" width="10.28515625" style="6" customWidth="1"/>
    <col min="2" max="2" width="13.5703125" style="6" customWidth="1"/>
    <col min="3" max="3" width="14.7109375" style="6" customWidth="1"/>
    <col min="4" max="4" width="13.5703125" style="6" customWidth="1"/>
    <col min="5" max="5" width="12.42578125" style="6" customWidth="1"/>
    <col min="6" max="6" width="15.140625" style="6" bestFit="1" customWidth="1"/>
    <col min="7" max="9" width="16.140625" style="6" customWidth="1"/>
    <col min="10" max="10" width="17.28515625" style="6" bestFit="1" customWidth="1"/>
    <col min="11" max="15" width="16.140625" style="6" customWidth="1"/>
    <col min="16" max="16" width="1.42578125" style="6" customWidth="1"/>
    <col min="17" max="18" width="9.140625" style="6"/>
    <col min="19" max="22" width="13.5703125" style="6" customWidth="1"/>
    <col min="23" max="16384" width="9.140625" style="6"/>
  </cols>
  <sheetData>
    <row r="1" spans="1:12" ht="38.25" x14ac:dyDescent="0.2">
      <c r="A1" s="101" t="s">
        <v>8</v>
      </c>
      <c r="B1" s="102" t="s">
        <v>88</v>
      </c>
      <c r="C1" s="101" t="s">
        <v>2</v>
      </c>
      <c r="D1" s="101" t="s">
        <v>1</v>
      </c>
      <c r="E1" s="102" t="s">
        <v>74</v>
      </c>
      <c r="F1" s="102" t="s">
        <v>48</v>
      </c>
    </row>
    <row r="2" spans="1:12" ht="12.75" customHeight="1" x14ac:dyDescent="0.2">
      <c r="A2" s="96" t="s">
        <v>54</v>
      </c>
      <c r="B2" s="3">
        <v>41831</v>
      </c>
      <c r="C2" s="4">
        <v>38561</v>
      </c>
      <c r="D2" s="4">
        <v>0</v>
      </c>
      <c r="E2" s="55">
        <v>820.99610606341548</v>
      </c>
      <c r="F2" s="7">
        <f>SUM(C2:E2)</f>
        <v>39381.996106063416</v>
      </c>
    </row>
    <row r="3" spans="1:12" ht="12.75" customHeight="1" x14ac:dyDescent="0.2">
      <c r="A3" s="96" t="s">
        <v>55</v>
      </c>
      <c r="B3" s="3">
        <v>41831</v>
      </c>
      <c r="C3" s="4">
        <v>78491</v>
      </c>
      <c r="D3" s="4">
        <v>0</v>
      </c>
      <c r="E3" s="55">
        <v>1709.5604178255765</v>
      </c>
      <c r="F3" s="7">
        <f t="shared" ref="F3:F15" si="0">SUM(C3:E3)</f>
        <v>80200.560417825574</v>
      </c>
    </row>
    <row r="4" spans="1:12" x14ac:dyDescent="0.2">
      <c r="A4" s="96" t="s">
        <v>56</v>
      </c>
      <c r="B4" s="3">
        <v>41873</v>
      </c>
      <c r="C4" s="4">
        <v>137548</v>
      </c>
      <c r="D4" s="4">
        <v>0</v>
      </c>
      <c r="E4" s="55">
        <v>3018.2349959824464</v>
      </c>
      <c r="F4" s="7">
        <f t="shared" si="0"/>
        <v>140566.23499598244</v>
      </c>
    </row>
    <row r="5" spans="1:12" x14ac:dyDescent="0.2">
      <c r="A5" s="96" t="s">
        <v>57</v>
      </c>
      <c r="B5" s="3">
        <v>41978</v>
      </c>
      <c r="C5" s="4">
        <v>190908</v>
      </c>
      <c r="D5" s="4">
        <v>0</v>
      </c>
      <c r="E5" s="55">
        <v>4130.7073366709928</v>
      </c>
      <c r="F5" s="7">
        <f t="shared" si="0"/>
        <v>195038.70733667098</v>
      </c>
    </row>
    <row r="6" spans="1:12" ht="12.75" customHeight="1" x14ac:dyDescent="0.2">
      <c r="A6" s="96" t="s">
        <v>58</v>
      </c>
      <c r="B6" s="3">
        <v>42058</v>
      </c>
      <c r="C6" s="4">
        <v>191013</v>
      </c>
      <c r="D6" s="4">
        <v>0</v>
      </c>
      <c r="E6" s="55">
        <v>3923.479325050992</v>
      </c>
      <c r="F6" s="7">
        <f t="shared" si="0"/>
        <v>194936.47932505098</v>
      </c>
    </row>
    <row r="7" spans="1:12" x14ac:dyDescent="0.2">
      <c r="A7" s="96" t="s">
        <v>59</v>
      </c>
      <c r="B7" s="3">
        <v>42143</v>
      </c>
      <c r="C7" s="4">
        <v>145282</v>
      </c>
      <c r="D7" s="4">
        <v>0</v>
      </c>
      <c r="E7" s="55">
        <v>2637.7044316706842</v>
      </c>
      <c r="F7" s="7">
        <f t="shared" si="0"/>
        <v>147919.70443167069</v>
      </c>
    </row>
    <row r="8" spans="1:12" x14ac:dyDescent="0.2">
      <c r="A8" s="96" t="s">
        <v>60</v>
      </c>
      <c r="B8" s="3">
        <v>42242</v>
      </c>
      <c r="C8" s="4">
        <v>97056</v>
      </c>
      <c r="D8" s="4">
        <v>0</v>
      </c>
      <c r="E8" s="55">
        <v>1397.7289078435008</v>
      </c>
      <c r="F8" s="7">
        <f t="shared" si="0"/>
        <v>98453.728907843499</v>
      </c>
    </row>
    <row r="9" spans="1:12" x14ac:dyDescent="0.2">
      <c r="A9" s="96" t="s">
        <v>61</v>
      </c>
      <c r="B9" s="3">
        <v>42333</v>
      </c>
      <c r="C9" s="4">
        <v>64128</v>
      </c>
      <c r="D9" s="4">
        <v>0</v>
      </c>
      <c r="E9" s="55">
        <v>657.58847889239132</v>
      </c>
      <c r="F9" s="7">
        <f t="shared" si="0"/>
        <v>64785.588478892394</v>
      </c>
    </row>
    <row r="10" spans="1:12" x14ac:dyDescent="0.2">
      <c r="A10" s="96" t="s">
        <v>62</v>
      </c>
      <c r="B10" s="3">
        <v>42423</v>
      </c>
      <c r="C10" s="4">
        <v>29664</v>
      </c>
      <c r="D10" s="4">
        <v>0</v>
      </c>
      <c r="E10" s="4">
        <v>0</v>
      </c>
      <c r="F10" s="7">
        <f t="shared" si="0"/>
        <v>29664</v>
      </c>
    </row>
    <row r="11" spans="1:12" x14ac:dyDescent="0.2">
      <c r="A11" s="96" t="s">
        <v>63</v>
      </c>
      <c r="B11" s="3">
        <v>42569</v>
      </c>
      <c r="C11" s="4">
        <v>20944</v>
      </c>
      <c r="D11" s="4">
        <v>0</v>
      </c>
      <c r="E11" s="4">
        <v>0</v>
      </c>
      <c r="F11" s="7">
        <f t="shared" si="0"/>
        <v>20944</v>
      </c>
    </row>
    <row r="12" spans="1:12" x14ac:dyDescent="0.2">
      <c r="A12" s="96" t="s">
        <v>64</v>
      </c>
      <c r="B12" s="3">
        <v>42664</v>
      </c>
      <c r="C12" s="4">
        <v>13570</v>
      </c>
      <c r="D12" s="4">
        <v>0</v>
      </c>
      <c r="E12" s="4">
        <v>0</v>
      </c>
      <c r="F12" s="7">
        <f t="shared" si="0"/>
        <v>13570</v>
      </c>
    </row>
    <row r="13" spans="1:12" x14ac:dyDescent="0.2">
      <c r="A13" s="96" t="s">
        <v>65</v>
      </c>
      <c r="B13" s="3">
        <v>42724</v>
      </c>
      <c r="C13" s="4">
        <v>8438</v>
      </c>
      <c r="D13" s="4">
        <v>0</v>
      </c>
      <c r="E13" s="4">
        <v>0</v>
      </c>
      <c r="F13" s="7">
        <f t="shared" si="0"/>
        <v>8438</v>
      </c>
    </row>
    <row r="14" spans="1:12" x14ac:dyDescent="0.2">
      <c r="A14" s="96" t="s">
        <v>66</v>
      </c>
      <c r="B14" s="3">
        <v>42856</v>
      </c>
      <c r="C14" s="4">
        <v>5037</v>
      </c>
      <c r="D14" s="4">
        <v>0</v>
      </c>
      <c r="E14" s="4">
        <v>0</v>
      </c>
      <c r="F14" s="7">
        <f t="shared" si="0"/>
        <v>5037</v>
      </c>
    </row>
    <row r="15" spans="1:12" ht="13.5" thickBot="1" x14ac:dyDescent="0.25">
      <c r="A15" s="96" t="s">
        <v>67</v>
      </c>
      <c r="B15" s="3">
        <v>43066</v>
      </c>
      <c r="C15" s="4">
        <v>1156</v>
      </c>
      <c r="D15" s="4">
        <v>0</v>
      </c>
      <c r="E15" s="4">
        <v>0</v>
      </c>
      <c r="F15" s="7">
        <f t="shared" si="0"/>
        <v>1156</v>
      </c>
    </row>
    <row r="16" spans="1:12" x14ac:dyDescent="0.2">
      <c r="B16" s="44" t="s">
        <v>0</v>
      </c>
      <c r="C16" s="124">
        <f>SUM(C2:C15)</f>
        <v>1021796</v>
      </c>
      <c r="D16" s="124">
        <f>SUM(D2:D15)</f>
        <v>0</v>
      </c>
      <c r="E16" s="124">
        <f>SUM(E2:E15)</f>
        <v>18296</v>
      </c>
      <c r="F16" s="124">
        <f>SUM(F2:F15)</f>
        <v>1040091.9999999999</v>
      </c>
      <c r="J16" s="159"/>
      <c r="K16" s="158" t="s">
        <v>14</v>
      </c>
      <c r="L16" s="250" t="s">
        <v>13</v>
      </c>
    </row>
    <row r="17" spans="1:15" x14ac:dyDescent="0.2">
      <c r="A17" s="17" t="s">
        <v>19</v>
      </c>
      <c r="B17" s="18" t="s">
        <v>22</v>
      </c>
      <c r="C17" s="8">
        <v>0</v>
      </c>
      <c r="D17" s="8">
        <v>0</v>
      </c>
      <c r="E17" s="8">
        <v>0</v>
      </c>
      <c r="F17" s="8">
        <f>SUM(C17:E17)</f>
        <v>0</v>
      </c>
      <c r="J17" s="156" t="s">
        <v>11</v>
      </c>
      <c r="K17" s="103">
        <v>42473</v>
      </c>
      <c r="L17" s="251">
        <f>K17</f>
        <v>42473</v>
      </c>
    </row>
    <row r="18" spans="1:15" ht="13.5" thickBot="1" x14ac:dyDescent="0.25">
      <c r="A18" s="17" t="s">
        <v>20</v>
      </c>
      <c r="B18" s="18" t="s">
        <v>22</v>
      </c>
      <c r="C18" s="8">
        <v>0</v>
      </c>
      <c r="D18" s="8">
        <v>0</v>
      </c>
      <c r="E18" s="8">
        <v>0</v>
      </c>
      <c r="F18" s="8">
        <f>SUM(C18:E18)</f>
        <v>0</v>
      </c>
      <c r="J18" s="157" t="s">
        <v>17</v>
      </c>
      <c r="K18" s="104">
        <v>42473</v>
      </c>
      <c r="L18" s="252">
        <v>42490</v>
      </c>
    </row>
    <row r="19" spans="1:15" ht="13.5" thickBot="1" x14ac:dyDescent="0.25">
      <c r="B19" s="44" t="s">
        <v>52</v>
      </c>
      <c r="C19" s="79">
        <f>+SUM(C16:C18)</f>
        <v>1021796</v>
      </c>
      <c r="D19" s="79">
        <f>+SUM(D16:D18)</f>
        <v>0</v>
      </c>
      <c r="E19" s="79">
        <f>+SUM(E16:E18)</f>
        <v>18296</v>
      </c>
      <c r="F19" s="79">
        <f>+SUM(F16:F18)</f>
        <v>1040091.9999999999</v>
      </c>
    </row>
    <row r="20" spans="1:15" ht="14.25" thickTop="1" thickBot="1" x14ac:dyDescent="0.25">
      <c r="B20" s="44"/>
      <c r="C20" s="13"/>
      <c r="D20" s="13"/>
      <c r="E20" s="13"/>
      <c r="F20" s="13"/>
      <c r="L20" s="8"/>
    </row>
    <row r="21" spans="1:15" x14ac:dyDescent="0.2">
      <c r="B21" s="43"/>
      <c r="C21" s="5"/>
      <c r="D21" s="17"/>
      <c r="I21" s="143"/>
      <c r="J21" s="128"/>
      <c r="K21" s="128"/>
      <c r="L21" s="128"/>
      <c r="M21" s="108"/>
    </row>
    <row r="22" spans="1:15" ht="36.75" x14ac:dyDescent="0.2">
      <c r="A22" s="90" t="s">
        <v>53</v>
      </c>
      <c r="B22" s="90" t="s">
        <v>3</v>
      </c>
      <c r="C22" s="90" t="s">
        <v>4</v>
      </c>
      <c r="D22" s="90" t="s">
        <v>5</v>
      </c>
      <c r="E22" s="90" t="s">
        <v>6</v>
      </c>
      <c r="F22" s="90" t="s">
        <v>7</v>
      </c>
      <c r="G22" s="90" t="s">
        <v>80</v>
      </c>
      <c r="H22" s="90" t="s">
        <v>81</v>
      </c>
      <c r="I22" s="105" t="s">
        <v>82</v>
      </c>
      <c r="J22" s="106" t="s">
        <v>83</v>
      </c>
      <c r="K22" s="106" t="s">
        <v>84</v>
      </c>
      <c r="L22" s="106" t="s">
        <v>85</v>
      </c>
      <c r="M22" s="107" t="s">
        <v>75</v>
      </c>
      <c r="N22" s="90" t="s">
        <v>86</v>
      </c>
      <c r="O22" s="90" t="s">
        <v>87</v>
      </c>
    </row>
    <row r="23" spans="1:15" x14ac:dyDescent="0.2">
      <c r="A23" s="309" t="s">
        <v>10</v>
      </c>
      <c r="B23" s="309"/>
      <c r="C23" s="82">
        <f>$L$17</f>
        <v>42473</v>
      </c>
      <c r="D23" s="82">
        <f t="shared" ref="D23:D42" si="1">DATE(YEAR(C23),IF(MONTH(C23)&lt;=3,3,IF(MONTH(C23)&lt;=6,6,IF(MONTH(C23)&lt;=9,9,12))),IF(OR(MONTH(C23)&lt;=3,MONTH(C23)&gt;=10),31,30))</f>
        <v>42551</v>
      </c>
      <c r="E23" s="81">
        <f t="shared" ref="E23:E42" si="2">D23-C23+1</f>
        <v>79</v>
      </c>
      <c r="F23" s="83">
        <f>VLOOKUP(D23,'FERC Interest Rate'!$A:$B,2,TRUE)</f>
        <v>3.4599999999999999E-2</v>
      </c>
      <c r="G23" s="84">
        <f>+SUM(C2:C10)</f>
        <v>972651</v>
      </c>
      <c r="H23" s="84">
        <f>G23*F23*(E23/(DATE(YEAR(D23),12,31)-DATE(YEAR(D23),1,1)+1))</f>
        <v>7264.0553098360651</v>
      </c>
      <c r="I23" s="109">
        <v>0</v>
      </c>
      <c r="J23" s="85">
        <v>0</v>
      </c>
      <c r="K23" s="129">
        <f t="shared" ref="K23:K42" si="3">+SUM(I23:J23)</f>
        <v>0</v>
      </c>
      <c r="L23" s="85">
        <v>0</v>
      </c>
      <c r="M23" s="130">
        <f t="shared" ref="M23:M42" si="4">+SUM(K23:L23)</f>
        <v>0</v>
      </c>
      <c r="N23" s="8">
        <f t="shared" ref="N23:N42" si="5">+G23+H23+J23</f>
        <v>979915.05530983605</v>
      </c>
      <c r="O23" s="84">
        <f t="shared" ref="O23:O42" si="6">G23+H23-L23-I23</f>
        <v>979915.05530983605</v>
      </c>
    </row>
    <row r="24" spans="1:15" x14ac:dyDescent="0.2">
      <c r="A24" s="274" t="s">
        <v>111</v>
      </c>
      <c r="B24" s="81" t="str">
        <f t="shared" ref="B24:B42" si="7">+IF(MONTH(C24)&lt;4,"Q1",IF(MONTH(C24)&lt;7,"Q2",IF(MONTH(C24)&lt;10,"Q3","Q4")))&amp;"/"&amp;YEAR(C24)</f>
        <v>Q3/2016</v>
      </c>
      <c r="C24" s="82">
        <f>D23+1</f>
        <v>42552</v>
      </c>
      <c r="D24" s="82">
        <f t="shared" si="1"/>
        <v>42643</v>
      </c>
      <c r="E24" s="81">
        <f t="shared" si="2"/>
        <v>92</v>
      </c>
      <c r="F24" s="83">
        <f>VLOOKUP(D24,'FERC Interest Rate'!$A:$B,2,TRUE)</f>
        <v>3.5000000000000003E-2</v>
      </c>
      <c r="G24" s="84">
        <f>O23</f>
        <v>979915.05530983605</v>
      </c>
      <c r="H24" s="84">
        <f>G24*F24*(E24/(DATE(YEAR(D24),12,31)-DATE(YEAR(D24),1,1)+1))</f>
        <v>8621.1105958952812</v>
      </c>
      <c r="I24" s="109">
        <f>(SUM($H$23:$H$42)/20)*2</f>
        <v>1588.5165905731346</v>
      </c>
      <c r="J24" s="85">
        <f t="shared" ref="J24:J42" si="8">G24*F24*(E24/(DATE(YEAR(D24),12,31)-DATE(YEAR(D24),1,1)+1))</f>
        <v>8621.1105958952812</v>
      </c>
      <c r="K24" s="129">
        <f t="shared" si="3"/>
        <v>10209.627186468417</v>
      </c>
      <c r="L24" s="85">
        <f>(2*$G$23/20)</f>
        <v>97265.1</v>
      </c>
      <c r="M24" s="130">
        <f t="shared" si="4"/>
        <v>107474.72718646843</v>
      </c>
      <c r="N24" s="8">
        <f t="shared" si="5"/>
        <v>997157.27650162671</v>
      </c>
      <c r="O24" s="84">
        <f t="shared" si="6"/>
        <v>889682.54931515828</v>
      </c>
    </row>
    <row r="25" spans="1:15" x14ac:dyDescent="0.2">
      <c r="A25" s="17" t="s">
        <v>56</v>
      </c>
      <c r="B25" s="81" t="str">
        <f t="shared" si="7"/>
        <v>Q4/2016</v>
      </c>
      <c r="C25" s="82">
        <f t="shared" ref="C25:C42" si="9">D24+1</f>
        <v>42644</v>
      </c>
      <c r="D25" s="82">
        <f t="shared" si="1"/>
        <v>42735</v>
      </c>
      <c r="E25" s="81">
        <f t="shared" si="2"/>
        <v>92</v>
      </c>
      <c r="F25" s="83">
        <f>VLOOKUP(D25,'FERC Interest Rate'!$A:$B,2,TRUE)</f>
        <v>3.5000000000000003E-2</v>
      </c>
      <c r="G25" s="84">
        <f>O24+C11+C12</f>
        <v>924196.54931515828</v>
      </c>
      <c r="H25" s="84">
        <v>0</v>
      </c>
      <c r="I25" s="109">
        <f t="shared" ref="I25:I42" si="10">(SUM($H$23:$H$42)/20)</f>
        <v>794.25829528656732</v>
      </c>
      <c r="J25" s="85">
        <f t="shared" si="8"/>
        <v>8130.9095322262565</v>
      </c>
      <c r="K25" s="129">
        <f t="shared" si="3"/>
        <v>8925.1678275128234</v>
      </c>
      <c r="L25" s="85">
        <f>($G$23/20)+($C$11/18)+($C$12/18)</f>
        <v>50549.994444444448</v>
      </c>
      <c r="M25" s="130">
        <f t="shared" si="4"/>
        <v>59475.16227195727</v>
      </c>
      <c r="N25" s="8">
        <f t="shared" si="5"/>
        <v>932327.45884738455</v>
      </c>
      <c r="O25" s="84">
        <f t="shared" si="6"/>
        <v>872852.29657542729</v>
      </c>
    </row>
    <row r="26" spans="1:15" x14ac:dyDescent="0.2">
      <c r="A26" s="17" t="s">
        <v>57</v>
      </c>
      <c r="B26" s="81" t="str">
        <f t="shared" si="7"/>
        <v>Q1/2017</v>
      </c>
      <c r="C26" s="82">
        <f t="shared" si="9"/>
        <v>42736</v>
      </c>
      <c r="D26" s="82">
        <f t="shared" si="1"/>
        <v>42825</v>
      </c>
      <c r="E26" s="81">
        <f t="shared" si="2"/>
        <v>90</v>
      </c>
      <c r="F26" s="83">
        <f>VLOOKUP(D26,'FERC Interest Rate'!$A:$B,2,TRUE)</f>
        <v>3.5000000000000003E-2</v>
      </c>
      <c r="G26" s="84">
        <f>O25+C13</f>
        <v>881290.29657542729</v>
      </c>
      <c r="H26" s="84">
        <v>0</v>
      </c>
      <c r="I26" s="109">
        <f t="shared" si="10"/>
        <v>794.25829528656732</v>
      </c>
      <c r="J26" s="85">
        <f t="shared" si="8"/>
        <v>7605.6559841440985</v>
      </c>
      <c r="K26" s="129">
        <f t="shared" si="3"/>
        <v>8399.9142794306663</v>
      </c>
      <c r="L26" s="85">
        <f>($G$23/20)+($C$11/18)+($C$12/18)+($C$13/17)</f>
        <v>51046.347385620917</v>
      </c>
      <c r="M26" s="130">
        <f t="shared" si="4"/>
        <v>59446.261665051585</v>
      </c>
      <c r="N26" s="8">
        <f t="shared" si="5"/>
        <v>888895.95255957136</v>
      </c>
      <c r="O26" s="84">
        <f t="shared" si="6"/>
        <v>829449.69089451979</v>
      </c>
    </row>
    <row r="27" spans="1:15" x14ac:dyDescent="0.2">
      <c r="A27" s="17" t="s">
        <v>58</v>
      </c>
      <c r="B27" s="81" t="str">
        <f t="shared" si="7"/>
        <v>Q2/2017</v>
      </c>
      <c r="C27" s="82">
        <f t="shared" si="9"/>
        <v>42826</v>
      </c>
      <c r="D27" s="82">
        <f t="shared" si="1"/>
        <v>42916</v>
      </c>
      <c r="E27" s="81">
        <f t="shared" si="2"/>
        <v>91</v>
      </c>
      <c r="F27" s="83">
        <f>VLOOKUP(D27,'FERC Interest Rate'!$A:$B,2,TRUE)</f>
        <v>3.7100000000000001E-2</v>
      </c>
      <c r="G27" s="84">
        <f>O26+C14+C15</f>
        <v>835642.69089451979</v>
      </c>
      <c r="H27" s="84">
        <v>0</v>
      </c>
      <c r="I27" s="109">
        <f t="shared" si="10"/>
        <v>794.25829528656732</v>
      </c>
      <c r="J27" s="85">
        <f t="shared" si="8"/>
        <v>7729.351475969831</v>
      </c>
      <c r="K27" s="129">
        <f t="shared" si="3"/>
        <v>8523.6097712563987</v>
      </c>
      <c r="L27" s="85">
        <f>($G$23/20)+($C$11/18)+($C$12/18)+($C$13/17)+($C$14/16)</f>
        <v>51361.159885620917</v>
      </c>
      <c r="M27" s="130">
        <f t="shared" si="4"/>
        <v>59884.769656877317</v>
      </c>
      <c r="N27" s="8">
        <f t="shared" si="5"/>
        <v>843372.04237048968</v>
      </c>
      <c r="O27" s="84">
        <f t="shared" si="6"/>
        <v>783487.2727136123</v>
      </c>
    </row>
    <row r="28" spans="1:15" x14ac:dyDescent="0.2">
      <c r="A28" s="17" t="s">
        <v>59</v>
      </c>
      <c r="B28" s="81" t="str">
        <f t="shared" si="7"/>
        <v>Q3/2017</v>
      </c>
      <c r="C28" s="82">
        <f t="shared" si="9"/>
        <v>42917</v>
      </c>
      <c r="D28" s="82">
        <f t="shared" si="1"/>
        <v>43008</v>
      </c>
      <c r="E28" s="81">
        <f t="shared" si="2"/>
        <v>92</v>
      </c>
      <c r="F28" s="83">
        <f>VLOOKUP(D28,'FERC Interest Rate'!$A:$B,2,TRUE)</f>
        <v>3.9600000000000003E-2</v>
      </c>
      <c r="G28" s="84">
        <f t="shared" ref="G28:G42" si="11">O27</f>
        <v>783487.2727136123</v>
      </c>
      <c r="H28" s="84">
        <v>0</v>
      </c>
      <c r="I28" s="109">
        <f t="shared" si="10"/>
        <v>794.25829528656732</v>
      </c>
      <c r="J28" s="85">
        <f t="shared" si="8"/>
        <v>7820.2762519184453</v>
      </c>
      <c r="K28" s="129">
        <f t="shared" si="3"/>
        <v>8614.5345472050121</v>
      </c>
      <c r="L28" s="85">
        <f>($G$23/20)+($C$11/18)+($C$12/18)+($C$13/17)+($C$14/16)</f>
        <v>51361.159885620917</v>
      </c>
      <c r="M28" s="130">
        <f t="shared" si="4"/>
        <v>59975.694432825927</v>
      </c>
      <c r="N28" s="8">
        <f t="shared" si="5"/>
        <v>791307.5489655307</v>
      </c>
      <c r="O28" s="84">
        <f t="shared" si="6"/>
        <v>731331.85453270481</v>
      </c>
    </row>
    <row r="29" spans="1:15" x14ac:dyDescent="0.2">
      <c r="A29" s="17" t="s">
        <v>60</v>
      </c>
      <c r="B29" s="81" t="str">
        <f t="shared" si="7"/>
        <v>Q4/2017</v>
      </c>
      <c r="C29" s="82">
        <f t="shared" si="9"/>
        <v>43009</v>
      </c>
      <c r="D29" s="82">
        <f t="shared" si="1"/>
        <v>43100</v>
      </c>
      <c r="E29" s="81">
        <f t="shared" si="2"/>
        <v>92</v>
      </c>
      <c r="F29" s="83">
        <f>VLOOKUP(D29,'FERC Interest Rate'!$A:$B,2,TRUE)</f>
        <v>4.2099999999999999E-2</v>
      </c>
      <c r="G29" s="84">
        <f t="shared" si="11"/>
        <v>731331.85453270481</v>
      </c>
      <c r="H29" s="84">
        <v>0</v>
      </c>
      <c r="I29" s="109">
        <f t="shared" si="10"/>
        <v>794.25829528656732</v>
      </c>
      <c r="J29" s="85">
        <f t="shared" si="8"/>
        <v>7760.5329834960894</v>
      </c>
      <c r="K29" s="129">
        <f t="shared" si="3"/>
        <v>8554.7912787826572</v>
      </c>
      <c r="L29" s="85">
        <f t="shared" ref="L29:L42" si="12">($G$23/20)+($C$11/18)+($C$12/18)+($C$13/17)+($C$14/16)+($C$15/14)</f>
        <v>51443.731314192344</v>
      </c>
      <c r="M29" s="130">
        <f t="shared" si="4"/>
        <v>59998.522592975001</v>
      </c>
      <c r="N29" s="8">
        <f t="shared" si="5"/>
        <v>739092.38751620089</v>
      </c>
      <c r="O29" s="84">
        <f t="shared" si="6"/>
        <v>679093.86492322595</v>
      </c>
    </row>
    <row r="30" spans="1:15" x14ac:dyDescent="0.2">
      <c r="A30" s="17" t="s">
        <v>61</v>
      </c>
      <c r="B30" s="81" t="str">
        <f t="shared" si="7"/>
        <v>Q1/2018</v>
      </c>
      <c r="C30" s="82">
        <f t="shared" si="9"/>
        <v>43101</v>
      </c>
      <c r="D30" s="82">
        <f t="shared" si="1"/>
        <v>43190</v>
      </c>
      <c r="E30" s="81">
        <f t="shared" si="2"/>
        <v>90</v>
      </c>
      <c r="F30" s="83">
        <f>VLOOKUP(D30,'FERC Interest Rate'!$A:$B,2,TRUE)</f>
        <v>4.2500000000000003E-2</v>
      </c>
      <c r="G30" s="84">
        <f t="shared" si="11"/>
        <v>679093.86492322595</v>
      </c>
      <c r="H30" s="84">
        <v>0</v>
      </c>
      <c r="I30" s="109">
        <f t="shared" si="10"/>
        <v>794.25829528656732</v>
      </c>
      <c r="J30" s="85">
        <f t="shared" si="8"/>
        <v>7116.5315981680524</v>
      </c>
      <c r="K30" s="129">
        <f t="shared" si="3"/>
        <v>7910.7898934546192</v>
      </c>
      <c r="L30" s="85">
        <f t="shared" si="12"/>
        <v>51443.731314192344</v>
      </c>
      <c r="M30" s="130">
        <f t="shared" si="4"/>
        <v>59354.521207646962</v>
      </c>
      <c r="N30" s="8">
        <f t="shared" si="5"/>
        <v>686210.39652139402</v>
      </c>
      <c r="O30" s="84">
        <f t="shared" si="6"/>
        <v>626855.87531374709</v>
      </c>
    </row>
    <row r="31" spans="1:15" x14ac:dyDescent="0.2">
      <c r="A31" s="17" t="s">
        <v>62</v>
      </c>
      <c r="B31" s="81" t="str">
        <f t="shared" si="7"/>
        <v>Q2/2018</v>
      </c>
      <c r="C31" s="82">
        <f t="shared" si="9"/>
        <v>43191</v>
      </c>
      <c r="D31" s="82">
        <f t="shared" si="1"/>
        <v>43281</v>
      </c>
      <c r="E31" s="81">
        <f t="shared" si="2"/>
        <v>91</v>
      </c>
      <c r="F31" s="83">
        <f>VLOOKUP(D31,'FERC Interest Rate'!$A:$B,2,TRUE)</f>
        <v>4.4699999999999997E-2</v>
      </c>
      <c r="G31" s="84">
        <f t="shared" si="11"/>
        <v>626855.87531374709</v>
      </c>
      <c r="H31" s="84">
        <v>0</v>
      </c>
      <c r="I31" s="109">
        <f t="shared" si="10"/>
        <v>794.25829528656732</v>
      </c>
      <c r="J31" s="85">
        <f t="shared" si="8"/>
        <v>6985.9223123663805</v>
      </c>
      <c r="K31" s="129">
        <f t="shared" si="3"/>
        <v>7780.1806076529483</v>
      </c>
      <c r="L31" s="85">
        <f t="shared" si="12"/>
        <v>51443.731314192344</v>
      </c>
      <c r="M31" s="130">
        <f t="shared" si="4"/>
        <v>59223.911921845291</v>
      </c>
      <c r="N31" s="8">
        <f t="shared" si="5"/>
        <v>633841.79762611352</v>
      </c>
      <c r="O31" s="84">
        <f t="shared" si="6"/>
        <v>574617.88570426824</v>
      </c>
    </row>
    <row r="32" spans="1:15" x14ac:dyDescent="0.2">
      <c r="A32" s="17" t="s">
        <v>63</v>
      </c>
      <c r="B32" s="81" t="str">
        <f t="shared" si="7"/>
        <v>Q3/2018</v>
      </c>
      <c r="C32" s="82">
        <f t="shared" si="9"/>
        <v>43282</v>
      </c>
      <c r="D32" s="82">
        <f t="shared" si="1"/>
        <v>43373</v>
      </c>
      <c r="E32" s="81">
        <f t="shared" si="2"/>
        <v>92</v>
      </c>
      <c r="F32" s="83">
        <f>VLOOKUP(D32,'FERC Interest Rate'!$A:$B,2,TRUE)</f>
        <v>5.011111E-2</v>
      </c>
      <c r="G32" s="84">
        <f t="shared" si="11"/>
        <v>574617.88570426824</v>
      </c>
      <c r="H32" s="84">
        <v>0</v>
      </c>
      <c r="I32" s="109">
        <f t="shared" si="10"/>
        <v>794.25829528656732</v>
      </c>
      <c r="J32" s="85">
        <f t="shared" si="8"/>
        <v>7257.8522937573962</v>
      </c>
      <c r="K32" s="129">
        <f t="shared" si="3"/>
        <v>8052.110589043963</v>
      </c>
      <c r="L32" s="85">
        <f t="shared" si="12"/>
        <v>51443.731314192344</v>
      </c>
      <c r="M32" s="130">
        <f t="shared" si="4"/>
        <v>59495.841903236309</v>
      </c>
      <c r="N32" s="8">
        <f t="shared" si="5"/>
        <v>581875.73799802561</v>
      </c>
      <c r="O32" s="84">
        <f t="shared" si="6"/>
        <v>522379.89609478932</v>
      </c>
    </row>
    <row r="33" spans="1:22" x14ac:dyDescent="0.2">
      <c r="A33" s="17" t="s">
        <v>64</v>
      </c>
      <c r="B33" s="81" t="str">
        <f t="shared" si="7"/>
        <v>Q4/2018</v>
      </c>
      <c r="C33" s="82">
        <f t="shared" si="9"/>
        <v>43374</v>
      </c>
      <c r="D33" s="82">
        <f t="shared" si="1"/>
        <v>43465</v>
      </c>
      <c r="E33" s="81">
        <f t="shared" si="2"/>
        <v>92</v>
      </c>
      <c r="F33" s="83">
        <f>VLOOKUP(D33,'FERC Interest Rate'!$A:$B,2,TRUE)</f>
        <v>5.2822580000000001E-2</v>
      </c>
      <c r="G33" s="84">
        <f t="shared" si="11"/>
        <v>522379.89609478932</v>
      </c>
      <c r="H33" s="84">
        <v>0</v>
      </c>
      <c r="I33" s="109">
        <f t="shared" si="10"/>
        <v>794.25829528656732</v>
      </c>
      <c r="J33" s="85">
        <f t="shared" si="8"/>
        <v>6955.0623407424664</v>
      </c>
      <c r="K33" s="129">
        <f t="shared" si="3"/>
        <v>7749.3206360290333</v>
      </c>
      <c r="L33" s="85">
        <f t="shared" si="12"/>
        <v>51443.731314192344</v>
      </c>
      <c r="M33" s="130">
        <f t="shared" si="4"/>
        <v>59193.051950221379</v>
      </c>
      <c r="N33" s="8">
        <f t="shared" si="5"/>
        <v>529334.95843553182</v>
      </c>
      <c r="O33" s="84">
        <f t="shared" si="6"/>
        <v>470141.90648531041</v>
      </c>
    </row>
    <row r="34" spans="1:22" x14ac:dyDescent="0.2">
      <c r="A34" s="17" t="s">
        <v>65</v>
      </c>
      <c r="B34" s="81" t="str">
        <f t="shared" si="7"/>
        <v>Q1/2019</v>
      </c>
      <c r="C34" s="82">
        <f t="shared" si="9"/>
        <v>43466</v>
      </c>
      <c r="D34" s="82">
        <f t="shared" si="1"/>
        <v>43555</v>
      </c>
      <c r="E34" s="81">
        <f t="shared" si="2"/>
        <v>90</v>
      </c>
      <c r="F34" s="83">
        <f>VLOOKUP(D34,'FERC Interest Rate'!$A:$B,2,TRUE)</f>
        <v>5.5296770000000002E-2</v>
      </c>
      <c r="G34" s="84">
        <f t="shared" si="11"/>
        <v>470141.90648531041</v>
      </c>
      <c r="H34" s="84">
        <v>0</v>
      </c>
      <c r="I34" s="109">
        <f t="shared" si="10"/>
        <v>794.25829528656732</v>
      </c>
      <c r="J34" s="85">
        <f t="shared" si="8"/>
        <v>6410.3002693840399</v>
      </c>
      <c r="K34" s="129">
        <f t="shared" si="3"/>
        <v>7204.5585646706077</v>
      </c>
      <c r="L34" s="85">
        <f t="shared" si="12"/>
        <v>51443.731314192344</v>
      </c>
      <c r="M34" s="130">
        <f t="shared" si="4"/>
        <v>58648.289878862954</v>
      </c>
      <c r="N34" s="8">
        <f t="shared" si="5"/>
        <v>476552.20675469446</v>
      </c>
      <c r="O34" s="84">
        <f t="shared" si="6"/>
        <v>417903.91687583149</v>
      </c>
    </row>
    <row r="35" spans="1:22" x14ac:dyDescent="0.2">
      <c r="A35" s="17" t="s">
        <v>66</v>
      </c>
      <c r="B35" s="81" t="str">
        <f t="shared" si="7"/>
        <v>Q2/2019</v>
      </c>
      <c r="C35" s="82">
        <f t="shared" si="9"/>
        <v>43556</v>
      </c>
      <c r="D35" s="82">
        <f t="shared" si="1"/>
        <v>43646</v>
      </c>
      <c r="E35" s="81">
        <f t="shared" si="2"/>
        <v>91</v>
      </c>
      <c r="F35" s="83">
        <f>VLOOKUP(D35,'FERC Interest Rate'!$A:$B,2,TRUE)</f>
        <v>5.7999999999999996E-2</v>
      </c>
      <c r="G35" s="84">
        <f t="shared" si="11"/>
        <v>417903.91687583149</v>
      </c>
      <c r="H35" s="84">
        <v>0</v>
      </c>
      <c r="I35" s="109">
        <f t="shared" si="10"/>
        <v>794.25829528656732</v>
      </c>
      <c r="J35" s="85">
        <f t="shared" si="8"/>
        <v>6043.005132248325</v>
      </c>
      <c r="K35" s="129">
        <f t="shared" si="3"/>
        <v>6837.2634275348919</v>
      </c>
      <c r="L35" s="85">
        <f t="shared" si="12"/>
        <v>51443.731314192344</v>
      </c>
      <c r="M35" s="130">
        <f t="shared" si="4"/>
        <v>58280.994741727234</v>
      </c>
      <c r="N35" s="8">
        <f t="shared" si="5"/>
        <v>423946.92200807983</v>
      </c>
      <c r="O35" s="84">
        <f t="shared" si="6"/>
        <v>365665.92726635258</v>
      </c>
    </row>
    <row r="36" spans="1:22" x14ac:dyDescent="0.2">
      <c r="A36" s="17" t="s">
        <v>67</v>
      </c>
      <c r="B36" s="81" t="str">
        <f t="shared" si="7"/>
        <v>Q3/2019</v>
      </c>
      <c r="C36" s="82">
        <f t="shared" si="9"/>
        <v>43647</v>
      </c>
      <c r="D36" s="82">
        <f t="shared" si="1"/>
        <v>43738</v>
      </c>
      <c r="E36" s="81">
        <f t="shared" si="2"/>
        <v>92</v>
      </c>
      <c r="F36" s="83">
        <f>VLOOKUP(D36,'FERC Interest Rate'!$A:$B,2,TRUE)</f>
        <v>0.06</v>
      </c>
      <c r="G36" s="84">
        <f t="shared" si="11"/>
        <v>365665.92726635258</v>
      </c>
      <c r="H36" s="84">
        <v>0</v>
      </c>
      <c r="I36" s="109">
        <f t="shared" si="10"/>
        <v>794.25829528656732</v>
      </c>
      <c r="J36" s="85">
        <f t="shared" si="8"/>
        <v>5530.0710096171679</v>
      </c>
      <c r="K36" s="129">
        <f t="shared" si="3"/>
        <v>6324.3293049037347</v>
      </c>
      <c r="L36" s="85">
        <f t="shared" si="12"/>
        <v>51443.731314192344</v>
      </c>
      <c r="M36" s="130">
        <f t="shared" si="4"/>
        <v>57768.060619096083</v>
      </c>
      <c r="N36" s="8">
        <f t="shared" si="5"/>
        <v>371195.99827596976</v>
      </c>
      <c r="O36" s="84">
        <f t="shared" si="6"/>
        <v>313427.93765687366</v>
      </c>
    </row>
    <row r="37" spans="1:22" x14ac:dyDescent="0.2">
      <c r="A37" s="17" t="s">
        <v>68</v>
      </c>
      <c r="B37" s="81" t="str">
        <f t="shared" si="7"/>
        <v>Q4/2019</v>
      </c>
      <c r="C37" s="82">
        <f t="shared" si="9"/>
        <v>43739</v>
      </c>
      <c r="D37" s="82">
        <f t="shared" si="1"/>
        <v>43830</v>
      </c>
      <c r="E37" s="81">
        <f t="shared" si="2"/>
        <v>92</v>
      </c>
      <c r="F37" s="83">
        <f>VLOOKUP(D37,'FERC Interest Rate'!$A:$B,2,TRUE)</f>
        <v>6.0349460000000001E-2</v>
      </c>
      <c r="G37" s="84">
        <f t="shared" si="11"/>
        <v>313427.93765687366</v>
      </c>
      <c r="H37" s="84">
        <v>0</v>
      </c>
      <c r="I37" s="109">
        <f t="shared" si="10"/>
        <v>794.25829528656732</v>
      </c>
      <c r="J37" s="85">
        <f t="shared" si="8"/>
        <v>4767.6685598864415</v>
      </c>
      <c r="K37" s="129">
        <f t="shared" si="3"/>
        <v>5561.9268551730092</v>
      </c>
      <c r="L37" s="85">
        <f t="shared" si="12"/>
        <v>51443.731314192344</v>
      </c>
      <c r="M37" s="130">
        <f t="shared" si="4"/>
        <v>57005.658169365357</v>
      </c>
      <c r="N37" s="8">
        <f t="shared" si="5"/>
        <v>318195.60621676012</v>
      </c>
      <c r="O37" s="84">
        <f t="shared" si="6"/>
        <v>261189.94804739475</v>
      </c>
    </row>
    <row r="38" spans="1:22" x14ac:dyDescent="0.2">
      <c r="A38" s="17" t="s">
        <v>69</v>
      </c>
      <c r="B38" s="81" t="str">
        <f t="shared" si="7"/>
        <v>Q1/2020</v>
      </c>
      <c r="C38" s="82">
        <f t="shared" si="9"/>
        <v>43831</v>
      </c>
      <c r="D38" s="82">
        <f t="shared" si="1"/>
        <v>43921</v>
      </c>
      <c r="E38" s="81">
        <f t="shared" si="2"/>
        <v>91</v>
      </c>
      <c r="F38" s="83">
        <f>VLOOKUP(D38,'FERC Interest Rate'!$A:$B,2,TRUE)</f>
        <v>6.2501040000000008E-2</v>
      </c>
      <c r="G38" s="84">
        <f t="shared" si="11"/>
        <v>261189.94804739475</v>
      </c>
      <c r="H38" s="84">
        <v>0</v>
      </c>
      <c r="I38" s="109">
        <f t="shared" si="10"/>
        <v>794.25829528656732</v>
      </c>
      <c r="J38" s="85">
        <f t="shared" si="8"/>
        <v>4058.8594222301667</v>
      </c>
      <c r="K38" s="129">
        <f t="shared" si="3"/>
        <v>4853.117717516734</v>
      </c>
      <c r="L38" s="85">
        <f t="shared" si="12"/>
        <v>51443.731314192344</v>
      </c>
      <c r="M38" s="130">
        <f t="shared" si="4"/>
        <v>56296.849031709076</v>
      </c>
      <c r="N38" s="8">
        <f t="shared" si="5"/>
        <v>265248.80746962491</v>
      </c>
      <c r="O38" s="84">
        <f t="shared" si="6"/>
        <v>208951.95843791583</v>
      </c>
    </row>
    <row r="39" spans="1:22" x14ac:dyDescent="0.2">
      <c r="A39" s="17" t="s">
        <v>70</v>
      </c>
      <c r="B39" s="81" t="str">
        <f t="shared" si="7"/>
        <v>Q2/2020</v>
      </c>
      <c r="C39" s="82">
        <f t="shared" si="9"/>
        <v>43922</v>
      </c>
      <c r="D39" s="82">
        <f t="shared" si="1"/>
        <v>44012</v>
      </c>
      <c r="E39" s="81">
        <f t="shared" si="2"/>
        <v>91</v>
      </c>
      <c r="F39" s="83">
        <f>VLOOKUP(D39,'FERC Interest Rate'!$A:$B,2,TRUE)</f>
        <v>6.3055559999999997E-2</v>
      </c>
      <c r="G39" s="84">
        <f t="shared" si="11"/>
        <v>208951.95843791583</v>
      </c>
      <c r="H39" s="84">
        <v>0</v>
      </c>
      <c r="I39" s="109">
        <f t="shared" si="10"/>
        <v>794.25829528656732</v>
      </c>
      <c r="J39" s="85">
        <f t="shared" si="8"/>
        <v>3275.8962581102596</v>
      </c>
      <c r="K39" s="129">
        <f t="shared" si="3"/>
        <v>4070.1545533968269</v>
      </c>
      <c r="L39" s="85">
        <f t="shared" si="12"/>
        <v>51443.731314192344</v>
      </c>
      <c r="M39" s="130">
        <f t="shared" si="4"/>
        <v>55513.885867589168</v>
      </c>
      <c r="N39" s="8">
        <f t="shared" si="5"/>
        <v>212227.8546960261</v>
      </c>
      <c r="O39" s="84">
        <f t="shared" si="6"/>
        <v>156713.96882843692</v>
      </c>
    </row>
    <row r="40" spans="1:22" x14ac:dyDescent="0.2">
      <c r="A40" s="17" t="s">
        <v>71</v>
      </c>
      <c r="B40" s="81" t="str">
        <f t="shared" si="7"/>
        <v>Q3/2020</v>
      </c>
      <c r="C40" s="82">
        <f t="shared" si="9"/>
        <v>44013</v>
      </c>
      <c r="D40" s="82">
        <f t="shared" si="1"/>
        <v>44104</v>
      </c>
      <c r="E40" s="81">
        <f t="shared" si="2"/>
        <v>92</v>
      </c>
      <c r="F40" s="83">
        <f>VLOOKUP(D40,'FERC Interest Rate'!$A:$B,2,TRUE)</f>
        <v>6.5000000000000002E-2</v>
      </c>
      <c r="G40" s="84">
        <f t="shared" si="11"/>
        <v>156713.96882843692</v>
      </c>
      <c r="H40" s="84">
        <v>0</v>
      </c>
      <c r="I40" s="109">
        <f t="shared" si="10"/>
        <v>794.25829528656732</v>
      </c>
      <c r="J40" s="85">
        <f t="shared" si="8"/>
        <v>2560.5178513498709</v>
      </c>
      <c r="K40" s="129">
        <f t="shared" si="3"/>
        <v>3354.7761466364382</v>
      </c>
      <c r="L40" s="85">
        <f t="shared" si="12"/>
        <v>51443.731314192344</v>
      </c>
      <c r="M40" s="130">
        <f t="shared" si="4"/>
        <v>54798.507460828783</v>
      </c>
      <c r="N40" s="8">
        <f t="shared" si="5"/>
        <v>159274.48667978679</v>
      </c>
      <c r="O40" s="84">
        <f t="shared" si="6"/>
        <v>104475.979218958</v>
      </c>
    </row>
    <row r="41" spans="1:22" x14ac:dyDescent="0.2">
      <c r="A41" s="17" t="s">
        <v>72</v>
      </c>
      <c r="B41" s="81" t="str">
        <f t="shared" si="7"/>
        <v>Q4/2020</v>
      </c>
      <c r="C41" s="82">
        <f t="shared" si="9"/>
        <v>44105</v>
      </c>
      <c r="D41" s="82">
        <f t="shared" si="1"/>
        <v>44196</v>
      </c>
      <c r="E41" s="81">
        <f t="shared" si="2"/>
        <v>92</v>
      </c>
      <c r="F41" s="83">
        <f>VLOOKUP(D41,'FERC Interest Rate'!$A:$B,2,TRUE)</f>
        <v>6.5000000000000002E-2</v>
      </c>
      <c r="G41" s="84">
        <f t="shared" si="11"/>
        <v>104475.979218958</v>
      </c>
      <c r="H41" s="84">
        <v>0</v>
      </c>
      <c r="I41" s="109">
        <f t="shared" si="10"/>
        <v>794.25829528656732</v>
      </c>
      <c r="J41" s="85">
        <f t="shared" si="8"/>
        <v>1707.011900899915</v>
      </c>
      <c r="K41" s="129">
        <f t="shared" si="3"/>
        <v>2501.2701961864823</v>
      </c>
      <c r="L41" s="85">
        <f t="shared" si="12"/>
        <v>51443.731314192344</v>
      </c>
      <c r="M41" s="130">
        <f t="shared" si="4"/>
        <v>53945.001510378825</v>
      </c>
      <c r="N41" s="8">
        <f t="shared" si="5"/>
        <v>106182.99111985792</v>
      </c>
      <c r="O41" s="84">
        <f t="shared" si="6"/>
        <v>52237.989609479089</v>
      </c>
    </row>
    <row r="42" spans="1:22" x14ac:dyDescent="0.2">
      <c r="A42" s="17" t="s">
        <v>73</v>
      </c>
      <c r="B42" s="81" t="str">
        <f t="shared" si="7"/>
        <v>Q1/2021</v>
      </c>
      <c r="C42" s="82">
        <f t="shared" si="9"/>
        <v>44197</v>
      </c>
      <c r="D42" s="82">
        <f t="shared" si="1"/>
        <v>44286</v>
      </c>
      <c r="E42" s="81">
        <f t="shared" si="2"/>
        <v>90</v>
      </c>
      <c r="F42" s="83">
        <f>VLOOKUP(D42,'FERC Interest Rate'!$A:$B,2,TRUE)</f>
        <v>6.5000000000000002E-2</v>
      </c>
      <c r="G42" s="84">
        <f t="shared" si="11"/>
        <v>52237.989609479089</v>
      </c>
      <c r="H42" s="84">
        <v>0</v>
      </c>
      <c r="I42" s="109">
        <f t="shared" si="10"/>
        <v>794.25829528656732</v>
      </c>
      <c r="J42" s="85">
        <f t="shared" si="8"/>
        <v>837.23901154918542</v>
      </c>
      <c r="K42" s="129">
        <f t="shared" si="3"/>
        <v>1631.4973068357526</v>
      </c>
      <c r="L42" s="85">
        <f t="shared" si="12"/>
        <v>51443.731314192344</v>
      </c>
      <c r="M42" s="130">
        <f t="shared" si="4"/>
        <v>53075.228621028094</v>
      </c>
      <c r="N42" s="8">
        <f t="shared" si="5"/>
        <v>53075.228621028276</v>
      </c>
      <c r="O42" s="84">
        <f t="shared" si="6"/>
        <v>1.7780621419660747E-10</v>
      </c>
    </row>
    <row r="43" spans="1:22" x14ac:dyDescent="0.2">
      <c r="B43" s="11"/>
      <c r="C43" s="125"/>
      <c r="D43" s="125"/>
      <c r="E43" s="10"/>
      <c r="F43" s="11"/>
      <c r="G43" s="85"/>
      <c r="H43" s="12"/>
      <c r="I43" s="115"/>
      <c r="J43" s="85"/>
      <c r="K43" s="117"/>
      <c r="L43" s="70"/>
      <c r="M43" s="131"/>
      <c r="O43" s="85"/>
    </row>
    <row r="44" spans="1:22" ht="13.5" thickBot="1" x14ac:dyDescent="0.25">
      <c r="A44" s="151"/>
      <c r="B44" s="152"/>
      <c r="C44" s="155"/>
      <c r="D44" s="155"/>
      <c r="E44" s="154"/>
      <c r="F44" s="152"/>
      <c r="G44" s="140">
        <f t="shared" ref="G44:O44" si="13">+SUM(G23:G43)</f>
        <v>10862171.773803839</v>
      </c>
      <c r="H44" s="140">
        <f t="shared" si="13"/>
        <v>15885.165905731346</v>
      </c>
      <c r="I44" s="141">
        <f t="shared" si="13"/>
        <v>15885.165905731341</v>
      </c>
      <c r="J44" s="140">
        <f t="shared" si="13"/>
        <v>111173.77478395966</v>
      </c>
      <c r="K44" s="140">
        <f t="shared" si="13"/>
        <v>127058.94068969101</v>
      </c>
      <c r="L44" s="140">
        <f t="shared" si="13"/>
        <v>1021795.9999999997</v>
      </c>
      <c r="M44" s="142">
        <f t="shared" si="13"/>
        <v>1148854.9406896911</v>
      </c>
      <c r="N44" s="140">
        <f t="shared" si="13"/>
        <v>10989230.714493532</v>
      </c>
      <c r="O44" s="140">
        <f t="shared" si="13"/>
        <v>9840375.7738038432</v>
      </c>
    </row>
    <row r="45" spans="1:22" ht="14.25" thickTop="1" thickBot="1" x14ac:dyDescent="0.25">
      <c r="B45" s="117"/>
      <c r="C45" s="117"/>
      <c r="D45" s="117"/>
      <c r="E45" s="117"/>
      <c r="F45" s="117"/>
      <c r="G45" s="117"/>
      <c r="H45" s="117"/>
      <c r="I45" s="116"/>
      <c r="J45" s="117"/>
      <c r="K45" s="117"/>
      <c r="L45" s="117"/>
      <c r="M45" s="131"/>
      <c r="O45" s="117"/>
    </row>
    <row r="46" spans="1:22" x14ac:dyDescent="0.2">
      <c r="A46" s="310" t="s">
        <v>16</v>
      </c>
      <c r="B46" s="310"/>
      <c r="C46" s="310"/>
      <c r="D46" s="310"/>
      <c r="E46" s="310"/>
      <c r="F46" s="310"/>
      <c r="G46" s="117"/>
      <c r="H46" s="117"/>
      <c r="I46" s="128"/>
      <c r="J46" s="128"/>
      <c r="K46" s="128"/>
      <c r="L46" s="128"/>
      <c r="M46" s="128"/>
      <c r="O46" s="117"/>
      <c r="S46" s="8"/>
      <c r="T46" s="8"/>
      <c r="U46" s="8"/>
      <c r="V46" s="8"/>
    </row>
    <row r="47" spans="1:22" ht="63.75" x14ac:dyDescent="0.2">
      <c r="A47" s="106" t="s">
        <v>4</v>
      </c>
      <c r="B47" s="106" t="s">
        <v>5</v>
      </c>
      <c r="C47" s="106" t="s">
        <v>95</v>
      </c>
      <c r="D47" s="106" t="s">
        <v>96</v>
      </c>
      <c r="E47" s="106" t="s">
        <v>97</v>
      </c>
      <c r="F47" s="106" t="s">
        <v>98</v>
      </c>
      <c r="G47" s="117"/>
      <c r="H47" s="117"/>
      <c r="I47" s="117"/>
      <c r="J47" s="117"/>
      <c r="K47" s="117"/>
      <c r="L47" s="117"/>
      <c r="M47" s="117"/>
      <c r="O47" s="117"/>
      <c r="S47" s="8"/>
      <c r="T47" s="8"/>
      <c r="U47" s="8"/>
      <c r="V47" s="8"/>
    </row>
    <row r="48" spans="1:22" x14ac:dyDescent="0.2">
      <c r="A48" s="82">
        <f>$L$17</f>
        <v>42473</v>
      </c>
      <c r="B48" s="82">
        <f>DATE(YEAR(A48),IF(MONTH(A48)&lt;=3,3,IF(MONTH(A48)&lt;=6,6,IF(MONTH(A48)&lt;=9,9,12))),IF(OR(MONTH(A48)&lt;=3,MONTH(A48)&gt;=10),31,30))</f>
        <v>42551</v>
      </c>
      <c r="C48" s="85">
        <f t="shared" ref="C48:C67" si="14">+I80+I112+I143+I173+I202+I230+I257+I283</f>
        <v>0</v>
      </c>
      <c r="D48" s="85">
        <f t="shared" ref="D48:D67" si="15">+J80+J112+J143+J173+J202+J230+J257+J283</f>
        <v>0</v>
      </c>
      <c r="E48" s="84">
        <f t="shared" ref="E48:E67" si="16">D48+C48</f>
        <v>0</v>
      </c>
      <c r="F48" s="85">
        <f t="shared" ref="F48:F67" si="17">+L80+L112+L143+L173+L202+L230+L257+L283</f>
        <v>0</v>
      </c>
      <c r="G48" s="117"/>
      <c r="H48" s="117"/>
      <c r="I48" s="117"/>
      <c r="J48" s="117"/>
      <c r="K48" s="117"/>
      <c r="L48" s="117"/>
      <c r="M48" s="117"/>
      <c r="O48" s="117"/>
      <c r="S48" s="8"/>
      <c r="T48" s="8"/>
      <c r="U48" s="8"/>
      <c r="V48" s="8"/>
    </row>
    <row r="49" spans="1:22" x14ac:dyDescent="0.2">
      <c r="A49" s="82">
        <f>B48+1</f>
        <v>42552</v>
      </c>
      <c r="B49" s="82">
        <f>EOMONTH(B48,3)</f>
        <v>42643</v>
      </c>
      <c r="C49" s="85">
        <f t="shared" si="14"/>
        <v>0</v>
      </c>
      <c r="D49" s="85">
        <f t="shared" si="15"/>
        <v>0</v>
      </c>
      <c r="E49" s="84">
        <f t="shared" si="16"/>
        <v>0</v>
      </c>
      <c r="F49" s="85">
        <f t="shared" si="17"/>
        <v>0</v>
      </c>
      <c r="G49" s="117"/>
      <c r="H49" s="117"/>
      <c r="I49" s="117"/>
      <c r="J49" s="117"/>
      <c r="K49" s="117"/>
      <c r="L49" s="117"/>
      <c r="M49" s="117"/>
      <c r="O49" s="117"/>
      <c r="S49" s="8"/>
      <c r="T49" s="8"/>
      <c r="U49" s="8"/>
      <c r="V49" s="8"/>
    </row>
    <row r="50" spans="1:22" x14ac:dyDescent="0.2">
      <c r="A50" s="82">
        <f t="shared" ref="A50:A67" si="18">B49+1</f>
        <v>42644</v>
      </c>
      <c r="B50" s="82">
        <f t="shared" ref="B50:B67" si="19">EOMONTH(B49,3)</f>
        <v>42735</v>
      </c>
      <c r="C50" s="85">
        <f t="shared" si="14"/>
        <v>0</v>
      </c>
      <c r="D50" s="85">
        <f t="shared" si="15"/>
        <v>0</v>
      </c>
      <c r="E50" s="84">
        <f t="shared" si="16"/>
        <v>0</v>
      </c>
      <c r="F50" s="85">
        <f t="shared" si="17"/>
        <v>0</v>
      </c>
      <c r="G50" s="117"/>
      <c r="H50" s="117"/>
      <c r="I50" s="117"/>
      <c r="J50" s="117"/>
      <c r="K50" s="117"/>
      <c r="L50" s="117"/>
      <c r="M50" s="117"/>
      <c r="O50" s="117"/>
      <c r="S50" s="8"/>
      <c r="T50" s="8"/>
      <c r="U50" s="8"/>
      <c r="V50" s="8"/>
    </row>
    <row r="51" spans="1:22" x14ac:dyDescent="0.2">
      <c r="A51" s="82">
        <f t="shared" si="18"/>
        <v>42736</v>
      </c>
      <c r="B51" s="82">
        <f t="shared" si="19"/>
        <v>42825</v>
      </c>
      <c r="C51" s="85">
        <f t="shared" si="14"/>
        <v>282.45856293147017</v>
      </c>
      <c r="D51" s="85">
        <f t="shared" si="15"/>
        <v>168.62996704107198</v>
      </c>
      <c r="E51" s="84">
        <f t="shared" si="16"/>
        <v>451.08852997254212</v>
      </c>
      <c r="F51" s="85">
        <f t="shared" si="17"/>
        <v>3659.2</v>
      </c>
      <c r="G51" s="117"/>
      <c r="H51" s="117"/>
      <c r="I51" s="117"/>
      <c r="J51" s="117"/>
      <c r="K51" s="117"/>
      <c r="L51" s="117"/>
      <c r="M51" s="117"/>
      <c r="O51" s="117"/>
      <c r="S51" s="8"/>
      <c r="T51" s="8"/>
      <c r="U51" s="8"/>
      <c r="V51" s="8"/>
    </row>
    <row r="52" spans="1:22" x14ac:dyDescent="0.2">
      <c r="A52" s="82">
        <f t="shared" si="18"/>
        <v>42826</v>
      </c>
      <c r="B52" s="82">
        <f t="shared" si="19"/>
        <v>42916</v>
      </c>
      <c r="C52" s="85">
        <f t="shared" si="14"/>
        <v>70.614640732867542</v>
      </c>
      <c r="D52" s="85">
        <f t="shared" si="15"/>
        <v>145.8348873897308</v>
      </c>
      <c r="E52" s="84">
        <f t="shared" si="16"/>
        <v>216.44952812259834</v>
      </c>
      <c r="F52" s="85">
        <f t="shared" si="17"/>
        <v>914.8</v>
      </c>
      <c r="G52" s="117"/>
      <c r="H52" s="117"/>
      <c r="I52" s="117"/>
      <c r="J52" s="117"/>
      <c r="K52" s="117"/>
      <c r="L52" s="117"/>
      <c r="M52" s="117"/>
      <c r="O52" s="117"/>
      <c r="S52" s="8"/>
      <c r="T52" s="8"/>
      <c r="U52" s="8"/>
      <c r="V52" s="8"/>
    </row>
    <row r="53" spans="1:22" x14ac:dyDescent="0.2">
      <c r="A53" s="82">
        <f t="shared" si="18"/>
        <v>42917</v>
      </c>
      <c r="B53" s="82">
        <f t="shared" si="19"/>
        <v>43008</v>
      </c>
      <c r="C53" s="85">
        <f t="shared" si="14"/>
        <v>70.614640732867542</v>
      </c>
      <c r="D53" s="85">
        <f t="shared" si="15"/>
        <v>147.53681996375272</v>
      </c>
      <c r="E53" s="84">
        <f t="shared" si="16"/>
        <v>218.15146069662026</v>
      </c>
      <c r="F53" s="85">
        <f t="shared" si="17"/>
        <v>914.8</v>
      </c>
      <c r="G53" s="117"/>
      <c r="H53" s="117"/>
      <c r="I53" s="117"/>
      <c r="J53" s="117"/>
      <c r="K53" s="117"/>
      <c r="L53" s="117"/>
      <c r="M53" s="117"/>
      <c r="O53" s="117"/>
      <c r="S53" s="8"/>
      <c r="T53" s="8"/>
      <c r="U53" s="8"/>
      <c r="V53" s="8"/>
    </row>
    <row r="54" spans="1:22" x14ac:dyDescent="0.2">
      <c r="A54" s="82">
        <f t="shared" si="18"/>
        <v>43009</v>
      </c>
      <c r="B54" s="82">
        <f t="shared" si="19"/>
        <v>43100</v>
      </c>
      <c r="C54" s="85">
        <f t="shared" si="14"/>
        <v>70.614640732867542</v>
      </c>
      <c r="D54" s="85">
        <f t="shared" si="15"/>
        <v>146.39427893373039</v>
      </c>
      <c r="E54" s="84">
        <f t="shared" si="16"/>
        <v>217.00891966659793</v>
      </c>
      <c r="F54" s="85">
        <f t="shared" si="17"/>
        <v>914.8</v>
      </c>
      <c r="G54" s="117"/>
      <c r="H54" s="117"/>
      <c r="I54" s="117"/>
      <c r="J54" s="117"/>
      <c r="K54" s="117"/>
      <c r="L54" s="117"/>
      <c r="M54" s="117"/>
      <c r="O54" s="117"/>
      <c r="S54" s="8"/>
      <c r="T54" s="8"/>
      <c r="U54" s="8"/>
      <c r="V54" s="8"/>
    </row>
    <row r="55" spans="1:22" x14ac:dyDescent="0.2">
      <c r="A55" s="82">
        <f t="shared" si="18"/>
        <v>43101</v>
      </c>
      <c r="B55" s="82">
        <f t="shared" si="19"/>
        <v>43190</v>
      </c>
      <c r="C55" s="85">
        <f t="shared" si="14"/>
        <v>70.614640732867542</v>
      </c>
      <c r="D55" s="85">
        <f t="shared" si="15"/>
        <v>134.24587126148447</v>
      </c>
      <c r="E55" s="84">
        <f t="shared" si="16"/>
        <v>204.86051199435201</v>
      </c>
      <c r="F55" s="85">
        <f t="shared" si="17"/>
        <v>914.8</v>
      </c>
      <c r="G55" s="117"/>
      <c r="H55" s="117"/>
      <c r="I55" s="117"/>
      <c r="J55" s="117"/>
      <c r="K55" s="117"/>
      <c r="L55" s="117"/>
      <c r="M55" s="117"/>
      <c r="O55" s="117"/>
      <c r="S55" s="8"/>
      <c r="T55" s="8"/>
      <c r="U55" s="8"/>
      <c r="V55" s="8"/>
    </row>
    <row r="56" spans="1:22" x14ac:dyDescent="0.2">
      <c r="A56" s="82">
        <f t="shared" si="18"/>
        <v>43191</v>
      </c>
      <c r="B56" s="82">
        <f t="shared" si="19"/>
        <v>43281</v>
      </c>
      <c r="C56" s="85">
        <f t="shared" si="14"/>
        <v>70.614640732867542</v>
      </c>
      <c r="D56" s="85">
        <f t="shared" si="15"/>
        <v>131.78206468303839</v>
      </c>
      <c r="E56" s="84">
        <f t="shared" si="16"/>
        <v>202.39670541590593</v>
      </c>
      <c r="F56" s="85">
        <f t="shared" si="17"/>
        <v>914.8</v>
      </c>
      <c r="G56" s="117"/>
      <c r="H56" s="117"/>
      <c r="I56" s="117"/>
      <c r="J56" s="117"/>
      <c r="K56" s="117"/>
      <c r="L56" s="117"/>
      <c r="M56" s="117"/>
      <c r="O56" s="117"/>
      <c r="S56" s="8"/>
      <c r="T56" s="8"/>
      <c r="U56" s="8"/>
      <c r="V56" s="8"/>
    </row>
    <row r="57" spans="1:22" x14ac:dyDescent="0.2">
      <c r="A57" s="82">
        <f t="shared" si="18"/>
        <v>43282</v>
      </c>
      <c r="B57" s="82">
        <f t="shared" si="19"/>
        <v>43373</v>
      </c>
      <c r="C57" s="85">
        <f t="shared" si="14"/>
        <v>70.614640732867542</v>
      </c>
      <c r="D57" s="85">
        <f t="shared" si="15"/>
        <v>136.91173730099644</v>
      </c>
      <c r="E57" s="84">
        <f t="shared" si="16"/>
        <v>207.52637803386398</v>
      </c>
      <c r="F57" s="85">
        <f t="shared" si="17"/>
        <v>914.8</v>
      </c>
      <c r="G57" s="117"/>
      <c r="H57" s="117"/>
      <c r="I57" s="117"/>
      <c r="J57" s="117"/>
      <c r="K57" s="117"/>
      <c r="L57" s="117"/>
      <c r="M57" s="117"/>
      <c r="O57" s="117"/>
      <c r="S57" s="8"/>
      <c r="T57" s="8"/>
      <c r="U57" s="8"/>
      <c r="V57" s="8"/>
    </row>
    <row r="58" spans="1:22" x14ac:dyDescent="0.2">
      <c r="A58" s="82">
        <f t="shared" si="18"/>
        <v>43374</v>
      </c>
      <c r="B58" s="82">
        <f t="shared" si="19"/>
        <v>43465</v>
      </c>
      <c r="C58" s="85">
        <f t="shared" si="14"/>
        <v>70.614640732867542</v>
      </c>
      <c r="D58" s="85">
        <f t="shared" si="15"/>
        <v>131.19992382964517</v>
      </c>
      <c r="E58" s="84">
        <f t="shared" si="16"/>
        <v>201.81456456251271</v>
      </c>
      <c r="F58" s="85">
        <f t="shared" si="17"/>
        <v>914.8</v>
      </c>
      <c r="G58" s="117"/>
      <c r="H58" s="117"/>
      <c r="I58" s="117"/>
      <c r="J58" s="117"/>
      <c r="K58" s="117"/>
      <c r="L58" s="117"/>
      <c r="M58" s="117"/>
      <c r="O58" s="117"/>
      <c r="S58" s="8"/>
      <c r="T58" s="8"/>
      <c r="U58" s="8"/>
      <c r="V58" s="8"/>
    </row>
    <row r="59" spans="1:22" x14ac:dyDescent="0.2">
      <c r="A59" s="82">
        <f t="shared" si="18"/>
        <v>43466</v>
      </c>
      <c r="B59" s="82">
        <f t="shared" si="19"/>
        <v>43555</v>
      </c>
      <c r="C59" s="85">
        <f t="shared" si="14"/>
        <v>70.614640732867542</v>
      </c>
      <c r="D59" s="85">
        <f t="shared" si="15"/>
        <v>120.92356126581581</v>
      </c>
      <c r="E59" s="84">
        <f t="shared" si="16"/>
        <v>191.53820199868335</v>
      </c>
      <c r="F59" s="85">
        <f t="shared" si="17"/>
        <v>914.8</v>
      </c>
      <c r="G59" s="117"/>
      <c r="H59" s="117"/>
      <c r="I59" s="117"/>
      <c r="J59" s="117"/>
      <c r="K59" s="117"/>
      <c r="L59" s="117"/>
      <c r="M59" s="117"/>
      <c r="O59" s="117"/>
      <c r="S59" s="8"/>
      <c r="T59" s="8"/>
      <c r="U59" s="8"/>
      <c r="V59" s="8"/>
    </row>
    <row r="60" spans="1:22" x14ac:dyDescent="0.2">
      <c r="A60" s="82">
        <f t="shared" si="18"/>
        <v>43556</v>
      </c>
      <c r="B60" s="82">
        <f t="shared" si="19"/>
        <v>43646</v>
      </c>
      <c r="C60" s="85">
        <f t="shared" si="14"/>
        <v>70.614640732867542</v>
      </c>
      <c r="D60" s="85">
        <f t="shared" si="15"/>
        <v>113.99492545288923</v>
      </c>
      <c r="E60" s="84">
        <f t="shared" si="16"/>
        <v>184.60956618575676</v>
      </c>
      <c r="F60" s="85">
        <f t="shared" si="17"/>
        <v>914.8</v>
      </c>
      <c r="G60" s="117"/>
      <c r="H60" s="117"/>
      <c r="I60" s="117"/>
      <c r="J60" s="117"/>
      <c r="K60" s="117"/>
      <c r="L60" s="117"/>
      <c r="M60" s="117"/>
      <c r="O60" s="117"/>
      <c r="S60" s="8"/>
      <c r="T60" s="8"/>
      <c r="U60" s="8"/>
      <c r="V60" s="8"/>
    </row>
    <row r="61" spans="1:22" x14ac:dyDescent="0.2">
      <c r="A61" s="82">
        <f t="shared" si="18"/>
        <v>43647</v>
      </c>
      <c r="B61" s="82">
        <f t="shared" si="19"/>
        <v>43738</v>
      </c>
      <c r="C61" s="85">
        <f t="shared" si="14"/>
        <v>70.614640732867542</v>
      </c>
      <c r="D61" s="85">
        <f t="shared" si="15"/>
        <v>104.31896361073419</v>
      </c>
      <c r="E61" s="84">
        <f t="shared" si="16"/>
        <v>174.93360434360173</v>
      </c>
      <c r="F61" s="85">
        <f t="shared" si="17"/>
        <v>914.8</v>
      </c>
      <c r="G61" s="117"/>
      <c r="H61" s="117"/>
      <c r="I61" s="117"/>
      <c r="J61" s="117"/>
      <c r="K61" s="117"/>
      <c r="L61" s="117"/>
      <c r="M61" s="117"/>
      <c r="O61" s="117"/>
      <c r="S61" s="8"/>
      <c r="T61" s="8"/>
      <c r="U61" s="8"/>
      <c r="V61" s="8"/>
    </row>
    <row r="62" spans="1:22" x14ac:dyDescent="0.2">
      <c r="A62" s="82">
        <f t="shared" si="18"/>
        <v>43739</v>
      </c>
      <c r="B62" s="82">
        <f t="shared" si="19"/>
        <v>43830</v>
      </c>
      <c r="C62" s="85">
        <f t="shared" si="14"/>
        <v>70.614640732867542</v>
      </c>
      <c r="D62" s="85">
        <f t="shared" si="15"/>
        <v>89.937044595249404</v>
      </c>
      <c r="E62" s="84">
        <f t="shared" si="16"/>
        <v>160.55168532811695</v>
      </c>
      <c r="F62" s="85">
        <f t="shared" si="17"/>
        <v>914.8</v>
      </c>
      <c r="G62" s="117"/>
      <c r="H62" s="117"/>
      <c r="I62" s="117"/>
      <c r="J62" s="117"/>
      <c r="K62" s="117"/>
      <c r="L62" s="117"/>
      <c r="M62" s="117"/>
      <c r="O62" s="117"/>
      <c r="S62" s="8"/>
      <c r="T62" s="8"/>
      <c r="U62" s="8"/>
      <c r="V62" s="8"/>
    </row>
    <row r="63" spans="1:22" x14ac:dyDescent="0.2">
      <c r="A63" s="82">
        <f t="shared" si="18"/>
        <v>43831</v>
      </c>
      <c r="B63" s="82">
        <f t="shared" si="19"/>
        <v>43921</v>
      </c>
      <c r="C63" s="85">
        <f t="shared" si="14"/>
        <v>70.614640732867542</v>
      </c>
      <c r="D63" s="85">
        <f t="shared" si="15"/>
        <v>76.566106950953269</v>
      </c>
      <c r="E63" s="84">
        <f t="shared" si="16"/>
        <v>147.18074768382081</v>
      </c>
      <c r="F63" s="85">
        <f t="shared" si="17"/>
        <v>914.8</v>
      </c>
      <c r="G63" s="117"/>
      <c r="H63" s="117"/>
      <c r="I63" s="117"/>
      <c r="J63" s="117"/>
      <c r="K63" s="117"/>
      <c r="L63" s="117"/>
      <c r="M63" s="117"/>
      <c r="O63" s="117"/>
      <c r="S63" s="8"/>
      <c r="T63" s="8"/>
      <c r="U63" s="8"/>
      <c r="V63" s="8"/>
    </row>
    <row r="64" spans="1:22" x14ac:dyDescent="0.2">
      <c r="A64" s="82">
        <f t="shared" si="18"/>
        <v>43922</v>
      </c>
      <c r="B64" s="82">
        <f t="shared" si="19"/>
        <v>44012</v>
      </c>
      <c r="C64" s="85">
        <f t="shared" si="14"/>
        <v>70.614640732867542</v>
      </c>
      <c r="D64" s="85">
        <f t="shared" si="15"/>
        <v>61.796331719436971</v>
      </c>
      <c r="E64" s="84">
        <f t="shared" si="16"/>
        <v>132.41097245230452</v>
      </c>
      <c r="F64" s="85">
        <f t="shared" si="17"/>
        <v>914.8</v>
      </c>
      <c r="G64" s="117"/>
      <c r="H64" s="117"/>
      <c r="I64" s="117"/>
      <c r="J64" s="117"/>
      <c r="K64" s="117"/>
      <c r="L64" s="117"/>
      <c r="M64" s="117"/>
      <c r="O64" s="117"/>
      <c r="S64" s="8"/>
      <c r="T64" s="8"/>
      <c r="U64" s="8"/>
      <c r="V64" s="8"/>
    </row>
    <row r="65" spans="1:22" x14ac:dyDescent="0.2">
      <c r="A65" s="82">
        <f t="shared" si="18"/>
        <v>44013</v>
      </c>
      <c r="B65" s="82">
        <f t="shared" si="19"/>
        <v>44104</v>
      </c>
      <c r="C65" s="85">
        <f t="shared" si="14"/>
        <v>70.614640732867542</v>
      </c>
      <c r="D65" s="85">
        <f t="shared" si="15"/>
        <v>48.301471734283105</v>
      </c>
      <c r="E65" s="84">
        <f t="shared" si="16"/>
        <v>118.91611246715064</v>
      </c>
      <c r="F65" s="85">
        <f t="shared" si="17"/>
        <v>914.8</v>
      </c>
      <c r="G65" s="117"/>
      <c r="H65" s="117"/>
      <c r="I65" s="117"/>
      <c r="J65" s="117"/>
      <c r="K65" s="117"/>
      <c r="L65" s="117"/>
      <c r="M65" s="117"/>
      <c r="O65" s="117"/>
      <c r="S65" s="8"/>
      <c r="T65" s="8"/>
      <c r="U65" s="8"/>
      <c r="V65" s="8"/>
    </row>
    <row r="66" spans="1:22" x14ac:dyDescent="0.2">
      <c r="A66" s="82">
        <f t="shared" si="18"/>
        <v>44105</v>
      </c>
      <c r="B66" s="82">
        <f t="shared" si="19"/>
        <v>44196</v>
      </c>
      <c r="C66" s="85">
        <f t="shared" si="14"/>
        <v>70.614640732867542</v>
      </c>
      <c r="D66" s="85">
        <f t="shared" si="15"/>
        <v>32.200981156188718</v>
      </c>
      <c r="E66" s="84">
        <f t="shared" si="16"/>
        <v>102.81562188905626</v>
      </c>
      <c r="F66" s="85">
        <f t="shared" si="17"/>
        <v>914.8</v>
      </c>
      <c r="G66" s="117"/>
      <c r="H66" s="117"/>
      <c r="I66" s="117"/>
      <c r="J66" s="117"/>
      <c r="K66" s="117"/>
      <c r="L66" s="117"/>
      <c r="M66" s="117"/>
      <c r="O66" s="117"/>
      <c r="S66" s="8"/>
      <c r="T66" s="8"/>
      <c r="U66" s="8"/>
      <c r="V66" s="8"/>
    </row>
    <row r="67" spans="1:22" x14ac:dyDescent="0.2">
      <c r="A67" s="82">
        <f t="shared" si="18"/>
        <v>44197</v>
      </c>
      <c r="B67" s="82">
        <f t="shared" si="19"/>
        <v>44286</v>
      </c>
      <c r="C67" s="85">
        <f t="shared" si="14"/>
        <v>70.614640732867542</v>
      </c>
      <c r="D67" s="85">
        <f t="shared" si="15"/>
        <v>15.793631913115753</v>
      </c>
      <c r="E67" s="84">
        <f t="shared" si="16"/>
        <v>86.408272645983288</v>
      </c>
      <c r="F67" s="85">
        <f t="shared" si="17"/>
        <v>914.8</v>
      </c>
      <c r="G67" s="117"/>
      <c r="H67" s="117"/>
      <c r="I67" s="117"/>
      <c r="J67" s="117"/>
      <c r="K67" s="117"/>
      <c r="L67" s="117"/>
      <c r="M67" s="117"/>
      <c r="O67" s="117"/>
      <c r="S67" s="8"/>
      <c r="T67" s="8"/>
      <c r="U67" s="8"/>
      <c r="V67" s="8"/>
    </row>
    <row r="68" spans="1:22" x14ac:dyDescent="0.2">
      <c r="A68" s="125"/>
      <c r="B68" s="125"/>
      <c r="C68" s="12"/>
      <c r="D68" s="85"/>
      <c r="E68" s="85"/>
      <c r="G68" s="117"/>
      <c r="H68" s="117"/>
      <c r="I68" s="117"/>
      <c r="J68" s="117"/>
      <c r="K68" s="117"/>
      <c r="L68" s="117"/>
      <c r="M68" s="117"/>
      <c r="O68" s="117"/>
      <c r="S68" s="8"/>
      <c r="T68" s="8"/>
      <c r="U68" s="8"/>
      <c r="V68" s="8"/>
    </row>
    <row r="69" spans="1:22" ht="13.5" thickBot="1" x14ac:dyDescent="0.25">
      <c r="A69" s="140"/>
      <c r="B69" s="140"/>
      <c r="C69" s="140">
        <f>+SUM(C48:C68)</f>
        <v>1412.2928146573504</v>
      </c>
      <c r="D69" s="140">
        <f>+SUM(D48:D68)</f>
        <v>1806.3685688021169</v>
      </c>
      <c r="E69" s="140">
        <f>+SUM(E48:E68)</f>
        <v>3218.6613834594673</v>
      </c>
      <c r="F69" s="140">
        <f>+SUM(F48:F68)</f>
        <v>18295.999999999993</v>
      </c>
      <c r="G69" s="117"/>
      <c r="H69" s="117"/>
      <c r="I69" s="117"/>
      <c r="J69" s="117"/>
      <c r="K69" s="117"/>
      <c r="L69" s="117"/>
      <c r="M69" s="117"/>
      <c r="O69" s="117"/>
      <c r="S69" s="8"/>
      <c r="T69" s="8"/>
      <c r="U69" s="8"/>
      <c r="V69" s="8"/>
    </row>
    <row r="70" spans="1:22" ht="14.25" thickTop="1" thickBot="1" x14ac:dyDescent="0.25">
      <c r="B70" s="117"/>
      <c r="C70" s="117"/>
      <c r="D70" s="117"/>
      <c r="E70" s="117"/>
      <c r="F70" s="117"/>
      <c r="G70" s="117"/>
      <c r="H70" s="117"/>
      <c r="I70" s="122"/>
      <c r="J70" s="122"/>
      <c r="K70" s="122"/>
      <c r="L70" s="122"/>
      <c r="M70" s="122"/>
      <c r="O70" s="117"/>
      <c r="S70" s="8"/>
      <c r="T70" s="8"/>
      <c r="U70" s="8"/>
      <c r="V70" s="8"/>
    </row>
    <row r="71" spans="1:22" x14ac:dyDescent="0.2">
      <c r="B71" s="117"/>
      <c r="C71" s="117"/>
      <c r="D71" s="117"/>
      <c r="E71" s="117"/>
      <c r="F71" s="117"/>
      <c r="G71" s="117"/>
      <c r="H71" s="117"/>
      <c r="I71" s="116"/>
      <c r="J71" s="117"/>
      <c r="K71" s="117"/>
      <c r="L71" s="117"/>
      <c r="M71" s="131"/>
      <c r="O71" s="117"/>
      <c r="S71" s="8"/>
      <c r="T71" s="8"/>
      <c r="U71" s="8"/>
      <c r="V71" s="8"/>
    </row>
    <row r="72" spans="1:22" ht="38.25" x14ac:dyDescent="0.2">
      <c r="A72" s="90" t="s">
        <v>53</v>
      </c>
      <c r="B72" s="90" t="s">
        <v>3</v>
      </c>
      <c r="C72" s="90" t="s">
        <v>4</v>
      </c>
      <c r="D72" s="90" t="s">
        <v>5</v>
      </c>
      <c r="E72" s="90" t="s">
        <v>6</v>
      </c>
      <c r="F72" s="90" t="s">
        <v>7</v>
      </c>
      <c r="G72" s="90" t="s">
        <v>93</v>
      </c>
      <c r="H72" s="90" t="s">
        <v>94</v>
      </c>
      <c r="I72" s="105" t="s">
        <v>95</v>
      </c>
      <c r="J72" s="106" t="s">
        <v>96</v>
      </c>
      <c r="K72" s="106" t="s">
        <v>97</v>
      </c>
      <c r="L72" s="106" t="s">
        <v>98</v>
      </c>
      <c r="M72" s="107" t="s">
        <v>99</v>
      </c>
      <c r="N72" s="90" t="s">
        <v>100</v>
      </c>
      <c r="O72" s="90" t="s">
        <v>101</v>
      </c>
      <c r="S72" s="8"/>
      <c r="T72" s="8"/>
      <c r="U72" s="8"/>
      <c r="V72" s="8"/>
    </row>
    <row r="73" spans="1:22" x14ac:dyDescent="0.2">
      <c r="A73" s="309" t="s">
        <v>15</v>
      </c>
      <c r="B73" s="309"/>
      <c r="C73" s="282">
        <f>VLOOKUP(B74,A$1:F$19,2,FALSE)</f>
        <v>41831</v>
      </c>
      <c r="D73" s="282">
        <f>DATE(YEAR(C73),IF(MONTH(C73)&lt;=3,3,IF(MONTH(C73)&lt;=6,6,IF(MONTH(C73)&lt;=9,9,12))),IF(OR(MONTH(C73)&lt;=3,MONTH(C73)&gt;=10),31,30))</f>
        <v>41912</v>
      </c>
      <c r="E73" s="283">
        <f>D73-C73+1</f>
        <v>82</v>
      </c>
      <c r="F73" s="284">
        <f>VLOOKUP(D73,'FERC Interest Rate'!$A:$B,2,TRUE)</f>
        <v>3.2500000000000001E-2</v>
      </c>
      <c r="G73" s="167">
        <f>VLOOKUP(B74,$A$1:$F$19,5,FALSE)</f>
        <v>820.99610606341548</v>
      </c>
      <c r="H73" s="167">
        <f t="shared" ref="H73:H83" si="20">G73*F73*(E73/(DATE(YEAR(D73),12,31)-DATE(YEAR(D73),1,1)+1))</f>
        <v>5.9943962264630199</v>
      </c>
      <c r="I73" s="291">
        <v>0</v>
      </c>
      <c r="J73" s="286">
        <v>0</v>
      </c>
      <c r="K73" s="286">
        <f t="shared" ref="K73:K99" si="21">+SUM(I73:J73)</f>
        <v>0</v>
      </c>
      <c r="L73" s="286">
        <v>0</v>
      </c>
      <c r="M73" s="287">
        <f t="shared" ref="M73:M99" si="22">+SUM(K73:L73)</f>
        <v>0</v>
      </c>
      <c r="N73" s="286">
        <f t="shared" ref="N73:N99" si="23">+G73+H73+J73</f>
        <v>826.99050228987846</v>
      </c>
      <c r="O73" s="167">
        <f t="shared" ref="O73:O99" si="24">G73+H73-L73-I73</f>
        <v>826.99050228987846</v>
      </c>
    </row>
    <row r="74" spans="1:22" x14ac:dyDescent="0.2">
      <c r="A74" s="275" t="s">
        <v>38</v>
      </c>
      <c r="B74" s="276" t="s">
        <v>54</v>
      </c>
      <c r="C74" s="282">
        <f>D73+1</f>
        <v>41913</v>
      </c>
      <c r="D74" s="282">
        <f>EOMONTH(D73,3)</f>
        <v>42004</v>
      </c>
      <c r="E74" s="283">
        <f t="shared" ref="E74:E99" si="25">D74-C74+1</f>
        <v>92</v>
      </c>
      <c r="F74" s="284">
        <f>VLOOKUP(D74,'FERC Interest Rate'!$A:$B,2,TRUE)</f>
        <v>3.2500000000000001E-2</v>
      </c>
      <c r="G74" s="167">
        <f t="shared" ref="G74:G99" si="26">O73</f>
        <v>826.99050228987846</v>
      </c>
      <c r="H74" s="167">
        <f t="shared" si="20"/>
        <v>6.7745249365664026</v>
      </c>
      <c r="I74" s="291">
        <v>0</v>
      </c>
      <c r="J74" s="286">
        <v>0</v>
      </c>
      <c r="K74" s="286">
        <f t="shared" si="21"/>
        <v>0</v>
      </c>
      <c r="L74" s="286">
        <v>0</v>
      </c>
      <c r="M74" s="287">
        <f t="shared" si="22"/>
        <v>0</v>
      </c>
      <c r="N74" s="286">
        <f t="shared" si="23"/>
        <v>833.76502722644489</v>
      </c>
      <c r="O74" s="167">
        <f t="shared" si="24"/>
        <v>833.76502722644489</v>
      </c>
    </row>
    <row r="75" spans="1:22" x14ac:dyDescent="0.2">
      <c r="A75" s="292"/>
      <c r="B75" s="283"/>
      <c r="C75" s="282">
        <f t="shared" ref="C75:C99" si="27">D74+1</f>
        <v>42005</v>
      </c>
      <c r="D75" s="282">
        <f t="shared" ref="D75:D99" si="28">EOMONTH(D74,3)</f>
        <v>42094</v>
      </c>
      <c r="E75" s="283">
        <f t="shared" si="25"/>
        <v>90</v>
      </c>
      <c r="F75" s="284">
        <f>VLOOKUP(D75,'FERC Interest Rate'!$A:$B,2,TRUE)</f>
        <v>3.2500000000000001E-2</v>
      </c>
      <c r="G75" s="167">
        <f t="shared" si="26"/>
        <v>833.76502722644489</v>
      </c>
      <c r="H75" s="167">
        <f t="shared" si="20"/>
        <v>6.6815416565406887</v>
      </c>
      <c r="I75" s="291">
        <v>0</v>
      </c>
      <c r="J75" s="286">
        <v>0</v>
      </c>
      <c r="K75" s="286">
        <f t="shared" si="21"/>
        <v>0</v>
      </c>
      <c r="L75" s="286">
        <v>0</v>
      </c>
      <c r="M75" s="287">
        <f t="shared" si="22"/>
        <v>0</v>
      </c>
      <c r="N75" s="286">
        <f t="shared" si="23"/>
        <v>840.44656888298562</v>
      </c>
      <c r="O75" s="167">
        <f t="shared" si="24"/>
        <v>840.44656888298562</v>
      </c>
    </row>
    <row r="76" spans="1:22" x14ac:dyDescent="0.2">
      <c r="A76" s="292"/>
      <c r="B76" s="283"/>
      <c r="C76" s="282">
        <f t="shared" si="27"/>
        <v>42095</v>
      </c>
      <c r="D76" s="282">
        <f t="shared" si="28"/>
        <v>42185</v>
      </c>
      <c r="E76" s="283">
        <f t="shared" si="25"/>
        <v>91</v>
      </c>
      <c r="F76" s="284">
        <f>VLOOKUP(D76,'FERC Interest Rate'!$A:$B,2,TRUE)</f>
        <v>3.2500000000000001E-2</v>
      </c>
      <c r="G76" s="167">
        <f t="shared" si="26"/>
        <v>840.44656888298562</v>
      </c>
      <c r="H76" s="167">
        <f t="shared" si="20"/>
        <v>6.8099198012915894</v>
      </c>
      <c r="I76" s="291">
        <v>0</v>
      </c>
      <c r="J76" s="286">
        <v>0</v>
      </c>
      <c r="K76" s="286">
        <f t="shared" si="21"/>
        <v>0</v>
      </c>
      <c r="L76" s="286">
        <v>0</v>
      </c>
      <c r="M76" s="287">
        <f t="shared" si="22"/>
        <v>0</v>
      </c>
      <c r="N76" s="286">
        <f t="shared" si="23"/>
        <v>847.2564886842772</v>
      </c>
      <c r="O76" s="167">
        <f t="shared" si="24"/>
        <v>847.2564886842772</v>
      </c>
    </row>
    <row r="77" spans="1:22" x14ac:dyDescent="0.2">
      <c r="A77" s="292"/>
      <c r="B77" s="283"/>
      <c r="C77" s="282">
        <f t="shared" si="27"/>
        <v>42186</v>
      </c>
      <c r="D77" s="282">
        <f t="shared" si="28"/>
        <v>42277</v>
      </c>
      <c r="E77" s="283">
        <f t="shared" si="25"/>
        <v>92</v>
      </c>
      <c r="F77" s="284">
        <f>VLOOKUP(D77,'FERC Interest Rate'!$A:$B,2,TRUE)</f>
        <v>3.2500000000000001E-2</v>
      </c>
      <c r="G77" s="167">
        <f t="shared" si="26"/>
        <v>847.2564886842772</v>
      </c>
      <c r="H77" s="167">
        <f t="shared" si="20"/>
        <v>6.9405394552492847</v>
      </c>
      <c r="I77" s="291">
        <v>0</v>
      </c>
      <c r="J77" s="286">
        <v>0</v>
      </c>
      <c r="K77" s="286">
        <f t="shared" si="21"/>
        <v>0</v>
      </c>
      <c r="L77" s="286">
        <v>0</v>
      </c>
      <c r="M77" s="287">
        <f t="shared" si="22"/>
        <v>0</v>
      </c>
      <c r="N77" s="286">
        <f t="shared" si="23"/>
        <v>854.19702813952654</v>
      </c>
      <c r="O77" s="167">
        <f t="shared" si="24"/>
        <v>854.19702813952654</v>
      </c>
    </row>
    <row r="78" spans="1:22" x14ac:dyDescent="0.2">
      <c r="A78" s="292"/>
      <c r="B78" s="283"/>
      <c r="C78" s="282">
        <f t="shared" si="27"/>
        <v>42278</v>
      </c>
      <c r="D78" s="282">
        <f t="shared" si="28"/>
        <v>42369</v>
      </c>
      <c r="E78" s="283">
        <f t="shared" si="25"/>
        <v>92</v>
      </c>
      <c r="F78" s="284">
        <f>VLOOKUP(D78,'FERC Interest Rate'!$A:$B,2,TRUE)</f>
        <v>3.2500000000000001E-2</v>
      </c>
      <c r="G78" s="167">
        <f t="shared" si="26"/>
        <v>854.19702813952654</v>
      </c>
      <c r="H78" s="167">
        <f t="shared" si="20"/>
        <v>6.9973948332525602</v>
      </c>
      <c r="I78" s="291">
        <v>0</v>
      </c>
      <c r="J78" s="286">
        <v>0</v>
      </c>
      <c r="K78" s="286">
        <f t="shared" si="21"/>
        <v>0</v>
      </c>
      <c r="L78" s="286">
        <v>0</v>
      </c>
      <c r="M78" s="287">
        <f t="shared" si="22"/>
        <v>0</v>
      </c>
      <c r="N78" s="286">
        <f t="shared" si="23"/>
        <v>861.19442297277908</v>
      </c>
      <c r="O78" s="167">
        <f t="shared" si="24"/>
        <v>861.19442297277908</v>
      </c>
    </row>
    <row r="79" spans="1:22" x14ac:dyDescent="0.2">
      <c r="A79" s="292"/>
      <c r="B79" s="283"/>
      <c r="C79" s="282">
        <f t="shared" si="27"/>
        <v>42370</v>
      </c>
      <c r="D79" s="282">
        <f t="shared" si="28"/>
        <v>42460</v>
      </c>
      <c r="E79" s="283">
        <f t="shared" si="25"/>
        <v>91</v>
      </c>
      <c r="F79" s="284">
        <f>VLOOKUP(D79,'FERC Interest Rate'!$A:$B,2,TRUE)</f>
        <v>3.2500000000000001E-2</v>
      </c>
      <c r="G79" s="167">
        <f t="shared" si="26"/>
        <v>861.19442297277908</v>
      </c>
      <c r="H79" s="167">
        <f t="shared" si="20"/>
        <v>6.9589685954699299</v>
      </c>
      <c r="I79" s="291">
        <v>0</v>
      </c>
      <c r="J79" s="286">
        <v>0</v>
      </c>
      <c r="K79" s="286">
        <f t="shared" si="21"/>
        <v>0</v>
      </c>
      <c r="L79" s="286">
        <v>0</v>
      </c>
      <c r="M79" s="287">
        <f t="shared" si="22"/>
        <v>0</v>
      </c>
      <c r="N79" s="286">
        <f t="shared" si="23"/>
        <v>868.15339156824905</v>
      </c>
      <c r="O79" s="167">
        <f t="shared" si="24"/>
        <v>868.15339156824905</v>
      </c>
    </row>
    <row r="80" spans="1:22" x14ac:dyDescent="0.2">
      <c r="A80" s="96"/>
      <c r="B80" s="81"/>
      <c r="C80" s="82">
        <f t="shared" si="27"/>
        <v>42461</v>
      </c>
      <c r="D80" s="82">
        <f t="shared" si="28"/>
        <v>42551</v>
      </c>
      <c r="E80" s="81">
        <f t="shared" si="25"/>
        <v>91</v>
      </c>
      <c r="F80" s="83">
        <f>VLOOKUP(D80,'FERC Interest Rate'!$A:$B,2,TRUE)</f>
        <v>3.4599999999999999E-2</v>
      </c>
      <c r="G80" s="84">
        <f t="shared" si="26"/>
        <v>868.15339156824905</v>
      </c>
      <c r="H80" s="167">
        <f t="shared" si="20"/>
        <v>7.4684911712890409</v>
      </c>
      <c r="I80" s="173">
        <v>0</v>
      </c>
      <c r="J80" s="286">
        <v>0</v>
      </c>
      <c r="K80" s="85">
        <f t="shared" si="21"/>
        <v>0</v>
      </c>
      <c r="L80" s="85">
        <v>0</v>
      </c>
      <c r="M80" s="110">
        <f t="shared" si="22"/>
        <v>0</v>
      </c>
      <c r="N80" s="85">
        <f t="shared" si="23"/>
        <v>875.62188273953814</v>
      </c>
      <c r="O80" s="84">
        <f t="shared" si="24"/>
        <v>875.62188273953814</v>
      </c>
    </row>
    <row r="81" spans="1:15" x14ac:dyDescent="0.2">
      <c r="A81" s="96"/>
      <c r="B81" s="81"/>
      <c r="C81" s="82">
        <f t="shared" si="27"/>
        <v>42552</v>
      </c>
      <c r="D81" s="82">
        <f t="shared" si="28"/>
        <v>42643</v>
      </c>
      <c r="E81" s="81">
        <f t="shared" si="25"/>
        <v>92</v>
      </c>
      <c r="F81" s="83">
        <f>VLOOKUP(D81,'FERC Interest Rate'!$A:$B,2,TRUE)</f>
        <v>3.5000000000000003E-2</v>
      </c>
      <c r="G81" s="84">
        <f t="shared" si="26"/>
        <v>875.62188273953814</v>
      </c>
      <c r="H81" s="84">
        <f t="shared" si="20"/>
        <v>7.7035586404953911</v>
      </c>
      <c r="I81" s="109">
        <v>0</v>
      </c>
      <c r="J81" s="85">
        <v>0</v>
      </c>
      <c r="K81" s="85">
        <f t="shared" si="21"/>
        <v>0</v>
      </c>
      <c r="L81" s="85">
        <v>0</v>
      </c>
      <c r="M81" s="110">
        <f t="shared" si="22"/>
        <v>0</v>
      </c>
      <c r="N81" s="85">
        <f t="shared" si="23"/>
        <v>883.32544138003357</v>
      </c>
      <c r="O81" s="84">
        <f t="shared" si="24"/>
        <v>883.32544138003357</v>
      </c>
    </row>
    <row r="82" spans="1:15" x14ac:dyDescent="0.2">
      <c r="A82" s="96"/>
      <c r="B82" s="81"/>
      <c r="C82" s="82">
        <f t="shared" si="27"/>
        <v>42644</v>
      </c>
      <c r="D82" s="82">
        <f t="shared" si="28"/>
        <v>42735</v>
      </c>
      <c r="E82" s="81">
        <f t="shared" si="25"/>
        <v>92</v>
      </c>
      <c r="F82" s="83">
        <f>VLOOKUP(D82,'FERC Interest Rate'!$A:$B,2,TRUE)</f>
        <v>3.5000000000000003E-2</v>
      </c>
      <c r="G82" s="84">
        <f t="shared" si="26"/>
        <v>883.32544138003357</v>
      </c>
      <c r="H82" s="84">
        <f t="shared" si="20"/>
        <v>7.7713331181522092</v>
      </c>
      <c r="I82" s="109">
        <v>0</v>
      </c>
      <c r="J82" s="85">
        <v>0</v>
      </c>
      <c r="K82" s="85">
        <f t="shared" si="21"/>
        <v>0</v>
      </c>
      <c r="L82" s="85">
        <v>0</v>
      </c>
      <c r="M82" s="110">
        <f t="shared" si="22"/>
        <v>0</v>
      </c>
      <c r="N82" s="85">
        <f t="shared" si="23"/>
        <v>891.09677449818582</v>
      </c>
      <c r="O82" s="84">
        <f t="shared" si="24"/>
        <v>891.09677449818582</v>
      </c>
    </row>
    <row r="83" spans="1:15" x14ac:dyDescent="0.2">
      <c r="A83" s="96" t="s">
        <v>102</v>
      </c>
      <c r="B83" s="81" t="str">
        <f t="shared" ref="B83:B96" si="29">+IF(MONTH(C83)&lt;4,"Q1",IF(MONTH(C83)&lt;7,"Q2",IF(MONTH(C83)&lt;10,"Q3","Q4")))&amp;"/"&amp;YEAR(C83)</f>
        <v>Q1/2017</v>
      </c>
      <c r="C83" s="82">
        <f t="shared" si="27"/>
        <v>42736</v>
      </c>
      <c r="D83" s="82">
        <f t="shared" si="28"/>
        <v>42825</v>
      </c>
      <c r="E83" s="81">
        <f t="shared" si="25"/>
        <v>90</v>
      </c>
      <c r="F83" s="83">
        <f>VLOOKUP(D83,'FERC Interest Rate'!$A:$B,2,TRUE)</f>
        <v>3.5000000000000003E-2</v>
      </c>
      <c r="G83" s="84">
        <f t="shared" si="26"/>
        <v>891.09677449818582</v>
      </c>
      <c r="H83" s="84">
        <f t="shared" si="20"/>
        <v>7.690287231970645</v>
      </c>
      <c r="I83" s="109">
        <f>(SUM($H$73:$H$100)/20)*4</f>
        <v>15.558191133348151</v>
      </c>
      <c r="J83" s="85">
        <f>G83*F83*(E83/(DATE(YEAR(D83),12,31)-DATE(YEAR(D83),1,1)+1))</f>
        <v>7.690287231970645</v>
      </c>
      <c r="K83" s="85">
        <f t="shared" si="21"/>
        <v>23.248478365318796</v>
      </c>
      <c r="L83" s="85">
        <f>VLOOKUP($B$74,A$1:F$19,5,FALSE)/20*4</f>
        <v>164.19922121268309</v>
      </c>
      <c r="M83" s="110">
        <f t="shared" si="22"/>
        <v>187.44769957800187</v>
      </c>
      <c r="N83" s="85">
        <f t="shared" si="23"/>
        <v>906.47734896212705</v>
      </c>
      <c r="O83" s="84">
        <f t="shared" si="24"/>
        <v>719.02964938412515</v>
      </c>
    </row>
    <row r="84" spans="1:15" x14ac:dyDescent="0.2">
      <c r="A84" s="96" t="s">
        <v>58</v>
      </c>
      <c r="B84" s="81" t="str">
        <f t="shared" si="29"/>
        <v>Q2/2017</v>
      </c>
      <c r="C84" s="82">
        <f t="shared" si="27"/>
        <v>42826</v>
      </c>
      <c r="D84" s="82">
        <f t="shared" si="28"/>
        <v>42916</v>
      </c>
      <c r="E84" s="81">
        <f t="shared" si="25"/>
        <v>91</v>
      </c>
      <c r="F84" s="83">
        <f>VLOOKUP(D84,'FERC Interest Rate'!$A:$B,2,TRUE)</f>
        <v>3.7100000000000001E-2</v>
      </c>
      <c r="G84" s="84">
        <f t="shared" si="26"/>
        <v>719.02964938412515</v>
      </c>
      <c r="H84" s="84">
        <v>0</v>
      </c>
      <c r="I84" s="109">
        <f t="shared" ref="I84:I99" si="30">(SUM($H$73:$H$100)/20)</f>
        <v>3.8895477833370378</v>
      </c>
      <c r="J84" s="85">
        <f t="shared" ref="J84:J99" si="31">G84*F84*(E84/(DATE(YEAR(D84),12,31)-DATE(YEAR(D84),1,1)+1))</f>
        <v>6.6507287651664253</v>
      </c>
      <c r="K84" s="129">
        <f t="shared" si="21"/>
        <v>10.540276548503464</v>
      </c>
      <c r="L84" s="85">
        <f t="shared" ref="L84:L99" si="32">VLOOKUP($B$74,A$1:F$19,5,FALSE)/20</f>
        <v>41.049805303170771</v>
      </c>
      <c r="M84" s="130">
        <f t="shared" si="22"/>
        <v>51.590081851674235</v>
      </c>
      <c r="N84" s="8">
        <f t="shared" si="23"/>
        <v>725.68037814929153</v>
      </c>
      <c r="O84" s="84">
        <f t="shared" si="24"/>
        <v>674.09029629761733</v>
      </c>
    </row>
    <row r="85" spans="1:15" x14ac:dyDescent="0.2">
      <c r="A85" s="96" t="s">
        <v>59</v>
      </c>
      <c r="B85" s="81" t="str">
        <f t="shared" si="29"/>
        <v>Q3/2017</v>
      </c>
      <c r="C85" s="82">
        <f t="shared" si="27"/>
        <v>42917</v>
      </c>
      <c r="D85" s="82">
        <f t="shared" si="28"/>
        <v>43008</v>
      </c>
      <c r="E85" s="81">
        <f t="shared" si="25"/>
        <v>92</v>
      </c>
      <c r="F85" s="83">
        <f>VLOOKUP(D85,'FERC Interest Rate'!$A:$B,2,TRUE)</f>
        <v>3.9600000000000003E-2</v>
      </c>
      <c r="G85" s="84">
        <f t="shared" si="26"/>
        <v>674.09029629761733</v>
      </c>
      <c r="H85" s="84">
        <v>0</v>
      </c>
      <c r="I85" s="109">
        <f t="shared" si="30"/>
        <v>3.8895477833370378</v>
      </c>
      <c r="J85" s="85">
        <f t="shared" si="31"/>
        <v>6.7283445684150136</v>
      </c>
      <c r="K85" s="129">
        <f t="shared" si="21"/>
        <v>10.617892351752051</v>
      </c>
      <c r="L85" s="85">
        <f t="shared" si="32"/>
        <v>41.049805303170771</v>
      </c>
      <c r="M85" s="130">
        <f t="shared" si="22"/>
        <v>51.667697654922819</v>
      </c>
      <c r="N85" s="8">
        <f t="shared" si="23"/>
        <v>680.8186408660323</v>
      </c>
      <c r="O85" s="84">
        <f t="shared" si="24"/>
        <v>629.15094321110951</v>
      </c>
    </row>
    <row r="86" spans="1:15" x14ac:dyDescent="0.2">
      <c r="A86" s="96" t="s">
        <v>60</v>
      </c>
      <c r="B86" s="81" t="str">
        <f t="shared" si="29"/>
        <v>Q4/2017</v>
      </c>
      <c r="C86" s="82">
        <f t="shared" si="27"/>
        <v>43009</v>
      </c>
      <c r="D86" s="82">
        <f t="shared" si="28"/>
        <v>43100</v>
      </c>
      <c r="E86" s="81">
        <f t="shared" si="25"/>
        <v>92</v>
      </c>
      <c r="F86" s="83">
        <f>VLOOKUP(D86,'FERC Interest Rate'!$A:$B,2,TRUE)</f>
        <v>4.2099999999999999E-2</v>
      </c>
      <c r="G86" s="84">
        <f t="shared" si="26"/>
        <v>629.15094321110951</v>
      </c>
      <c r="H86" s="84">
        <v>0</v>
      </c>
      <c r="I86" s="109">
        <f t="shared" si="30"/>
        <v>3.8895477833370378</v>
      </c>
      <c r="J86" s="85">
        <f t="shared" si="31"/>
        <v>6.6762395431377248</v>
      </c>
      <c r="K86" s="129">
        <f t="shared" si="21"/>
        <v>10.565787326474762</v>
      </c>
      <c r="L86" s="85">
        <f t="shared" si="32"/>
        <v>41.049805303170771</v>
      </c>
      <c r="M86" s="130">
        <f t="shared" si="22"/>
        <v>51.615592629645533</v>
      </c>
      <c r="N86" s="8">
        <f t="shared" si="23"/>
        <v>635.82718275424725</v>
      </c>
      <c r="O86" s="84">
        <f t="shared" si="24"/>
        <v>584.21159012460168</v>
      </c>
    </row>
    <row r="87" spans="1:15" x14ac:dyDescent="0.2">
      <c r="A87" s="96" t="s">
        <v>61</v>
      </c>
      <c r="B87" s="81" t="str">
        <f t="shared" si="29"/>
        <v>Q1/2018</v>
      </c>
      <c r="C87" s="82">
        <f t="shared" si="27"/>
        <v>43101</v>
      </c>
      <c r="D87" s="82">
        <f t="shared" si="28"/>
        <v>43190</v>
      </c>
      <c r="E87" s="81">
        <f t="shared" si="25"/>
        <v>90</v>
      </c>
      <c r="F87" s="83">
        <f>VLOOKUP(D87,'FERC Interest Rate'!$A:$B,2,TRUE)</f>
        <v>4.2500000000000003E-2</v>
      </c>
      <c r="G87" s="84">
        <f t="shared" si="26"/>
        <v>584.21159012460168</v>
      </c>
      <c r="H87" s="84">
        <v>0</v>
      </c>
      <c r="I87" s="109">
        <f t="shared" si="30"/>
        <v>3.8895477833370378</v>
      </c>
      <c r="J87" s="85">
        <f t="shared" si="31"/>
        <v>6.1222173485660312</v>
      </c>
      <c r="K87" s="129">
        <f t="shared" si="21"/>
        <v>10.011765131903068</v>
      </c>
      <c r="L87" s="85">
        <f t="shared" si="32"/>
        <v>41.049805303170771</v>
      </c>
      <c r="M87" s="130">
        <f t="shared" si="22"/>
        <v>51.06157043507384</v>
      </c>
      <c r="N87" s="8">
        <f t="shared" si="23"/>
        <v>590.33380747316767</v>
      </c>
      <c r="O87" s="84">
        <f t="shared" si="24"/>
        <v>539.27223703809386</v>
      </c>
    </row>
    <row r="88" spans="1:15" x14ac:dyDescent="0.2">
      <c r="A88" s="96" t="s">
        <v>62</v>
      </c>
      <c r="B88" s="81" t="str">
        <f t="shared" si="29"/>
        <v>Q2/2018</v>
      </c>
      <c r="C88" s="82">
        <f t="shared" si="27"/>
        <v>43191</v>
      </c>
      <c r="D88" s="82">
        <f t="shared" si="28"/>
        <v>43281</v>
      </c>
      <c r="E88" s="81">
        <f t="shared" si="25"/>
        <v>91</v>
      </c>
      <c r="F88" s="83">
        <f>VLOOKUP(D88,'FERC Interest Rate'!$A:$B,2,TRUE)</f>
        <v>4.4699999999999997E-2</v>
      </c>
      <c r="G88" s="84">
        <f t="shared" si="26"/>
        <v>539.27223703809386</v>
      </c>
      <c r="H88" s="84">
        <v>0</v>
      </c>
      <c r="I88" s="109">
        <f t="shared" si="30"/>
        <v>3.8895477833370378</v>
      </c>
      <c r="J88" s="85">
        <f t="shared" si="31"/>
        <v>6.0098566536982307</v>
      </c>
      <c r="K88" s="129">
        <f t="shared" si="21"/>
        <v>9.899404437035269</v>
      </c>
      <c r="L88" s="85">
        <f t="shared" si="32"/>
        <v>41.049805303170771</v>
      </c>
      <c r="M88" s="130">
        <f t="shared" si="22"/>
        <v>50.949209740206044</v>
      </c>
      <c r="N88" s="8">
        <f t="shared" si="23"/>
        <v>545.28209369179206</v>
      </c>
      <c r="O88" s="84">
        <f t="shared" si="24"/>
        <v>494.33288395158604</v>
      </c>
    </row>
    <row r="89" spans="1:15" x14ac:dyDescent="0.2">
      <c r="A89" s="96" t="s">
        <v>63</v>
      </c>
      <c r="B89" s="81" t="str">
        <f t="shared" si="29"/>
        <v>Q3/2018</v>
      </c>
      <c r="C89" s="82">
        <f t="shared" si="27"/>
        <v>43282</v>
      </c>
      <c r="D89" s="82">
        <f t="shared" si="28"/>
        <v>43373</v>
      </c>
      <c r="E89" s="81">
        <f t="shared" si="25"/>
        <v>92</v>
      </c>
      <c r="F89" s="83">
        <f>VLOOKUP(D89,'FERC Interest Rate'!$A:$B,2,TRUE)</f>
        <v>5.011111E-2</v>
      </c>
      <c r="G89" s="84">
        <f t="shared" si="26"/>
        <v>494.33288395158604</v>
      </c>
      <c r="H89" s="84">
        <v>0</v>
      </c>
      <c r="I89" s="109">
        <f t="shared" si="30"/>
        <v>3.8895477833370378</v>
      </c>
      <c r="J89" s="85">
        <f t="shared" si="31"/>
        <v>6.2437928664027265</v>
      </c>
      <c r="K89" s="129">
        <f t="shared" si="21"/>
        <v>10.133340649739765</v>
      </c>
      <c r="L89" s="85">
        <f t="shared" si="32"/>
        <v>41.049805303170771</v>
      </c>
      <c r="M89" s="130">
        <f t="shared" si="22"/>
        <v>51.183145952910536</v>
      </c>
      <c r="N89" s="8">
        <f t="shared" si="23"/>
        <v>500.57667681798875</v>
      </c>
      <c r="O89" s="84">
        <f t="shared" si="24"/>
        <v>449.39353086507822</v>
      </c>
    </row>
    <row r="90" spans="1:15" x14ac:dyDescent="0.2">
      <c r="A90" s="96" t="s">
        <v>64</v>
      </c>
      <c r="B90" s="81" t="str">
        <f t="shared" si="29"/>
        <v>Q4/2018</v>
      </c>
      <c r="C90" s="82">
        <f t="shared" si="27"/>
        <v>43374</v>
      </c>
      <c r="D90" s="82">
        <f t="shared" si="28"/>
        <v>43465</v>
      </c>
      <c r="E90" s="81">
        <f t="shared" si="25"/>
        <v>92</v>
      </c>
      <c r="F90" s="83">
        <f>VLOOKUP(D90,'FERC Interest Rate'!$A:$B,2,TRUE)</f>
        <v>5.2822580000000001E-2</v>
      </c>
      <c r="G90" s="84">
        <f t="shared" si="26"/>
        <v>449.39353086507822</v>
      </c>
      <c r="H90" s="84">
        <v>0</v>
      </c>
      <c r="I90" s="109">
        <f t="shared" si="30"/>
        <v>3.8895477833370378</v>
      </c>
      <c r="J90" s="85">
        <f t="shared" si="31"/>
        <v>5.9833084045903613</v>
      </c>
      <c r="K90" s="129">
        <f t="shared" si="21"/>
        <v>9.8728561879273986</v>
      </c>
      <c r="L90" s="85">
        <f t="shared" si="32"/>
        <v>41.049805303170771</v>
      </c>
      <c r="M90" s="130">
        <f t="shared" si="22"/>
        <v>50.922661491098168</v>
      </c>
      <c r="N90" s="8">
        <f t="shared" si="23"/>
        <v>455.37683926966861</v>
      </c>
      <c r="O90" s="84">
        <f t="shared" si="24"/>
        <v>404.4541777785704</v>
      </c>
    </row>
    <row r="91" spans="1:15" x14ac:dyDescent="0.2">
      <c r="A91" s="96" t="s">
        <v>65</v>
      </c>
      <c r="B91" s="81" t="str">
        <f t="shared" si="29"/>
        <v>Q1/2019</v>
      </c>
      <c r="C91" s="82">
        <f t="shared" si="27"/>
        <v>43466</v>
      </c>
      <c r="D91" s="82">
        <f t="shared" si="28"/>
        <v>43555</v>
      </c>
      <c r="E91" s="81">
        <f t="shared" si="25"/>
        <v>90</v>
      </c>
      <c r="F91" s="83">
        <f>VLOOKUP(D91,'FERC Interest Rate'!$A:$B,2,TRUE)</f>
        <v>5.5296770000000002E-2</v>
      </c>
      <c r="G91" s="84">
        <f t="shared" si="26"/>
        <v>404.4541777785704</v>
      </c>
      <c r="H91" s="84">
        <v>0</v>
      </c>
      <c r="I91" s="109">
        <f t="shared" si="30"/>
        <v>3.8895477833370378</v>
      </c>
      <c r="J91" s="85">
        <f t="shared" si="31"/>
        <v>5.5146599122588071</v>
      </c>
      <c r="K91" s="129">
        <f t="shared" si="21"/>
        <v>9.4042076955958454</v>
      </c>
      <c r="L91" s="85">
        <f t="shared" si="32"/>
        <v>41.049805303170771</v>
      </c>
      <c r="M91" s="130">
        <f t="shared" si="22"/>
        <v>50.454012998766615</v>
      </c>
      <c r="N91" s="8">
        <f t="shared" si="23"/>
        <v>409.96883769082922</v>
      </c>
      <c r="O91" s="84">
        <f t="shared" si="24"/>
        <v>359.51482469206258</v>
      </c>
    </row>
    <row r="92" spans="1:15" x14ac:dyDescent="0.2">
      <c r="A92" s="96" t="s">
        <v>66</v>
      </c>
      <c r="B92" s="81" t="str">
        <f t="shared" si="29"/>
        <v>Q2/2019</v>
      </c>
      <c r="C92" s="82">
        <f t="shared" si="27"/>
        <v>43556</v>
      </c>
      <c r="D92" s="82">
        <f t="shared" si="28"/>
        <v>43646</v>
      </c>
      <c r="E92" s="81">
        <f t="shared" si="25"/>
        <v>91</v>
      </c>
      <c r="F92" s="83">
        <f>VLOOKUP(D92,'FERC Interest Rate'!$A:$B,2,TRUE)</f>
        <v>5.7999999999999996E-2</v>
      </c>
      <c r="G92" s="84">
        <f t="shared" si="26"/>
        <v>359.51482469206258</v>
      </c>
      <c r="H92" s="84">
        <v>0</v>
      </c>
      <c r="I92" s="109">
        <f t="shared" si="30"/>
        <v>3.8895477833370378</v>
      </c>
      <c r="J92" s="85">
        <f t="shared" si="31"/>
        <v>5.198682862259469</v>
      </c>
      <c r="K92" s="129">
        <f t="shared" si="21"/>
        <v>9.0882306455965072</v>
      </c>
      <c r="L92" s="85">
        <f t="shared" si="32"/>
        <v>41.049805303170771</v>
      </c>
      <c r="M92" s="130">
        <f t="shared" si="22"/>
        <v>50.138035948767282</v>
      </c>
      <c r="N92" s="8">
        <f t="shared" si="23"/>
        <v>364.71350755432206</v>
      </c>
      <c r="O92" s="84">
        <f t="shared" si="24"/>
        <v>314.57547160555475</v>
      </c>
    </row>
    <row r="93" spans="1:15" x14ac:dyDescent="0.2">
      <c r="A93" s="96" t="s">
        <v>67</v>
      </c>
      <c r="B93" s="81" t="str">
        <f t="shared" si="29"/>
        <v>Q3/2019</v>
      </c>
      <c r="C93" s="82">
        <f t="shared" si="27"/>
        <v>43647</v>
      </c>
      <c r="D93" s="82">
        <f t="shared" si="28"/>
        <v>43738</v>
      </c>
      <c r="E93" s="81">
        <f t="shared" si="25"/>
        <v>92</v>
      </c>
      <c r="F93" s="83">
        <f>VLOOKUP(D93,'FERC Interest Rate'!$A:$B,2,TRUE)</f>
        <v>0.06</v>
      </c>
      <c r="G93" s="84">
        <f t="shared" si="26"/>
        <v>314.57547160555475</v>
      </c>
      <c r="H93" s="84">
        <v>0</v>
      </c>
      <c r="I93" s="109">
        <f t="shared" si="30"/>
        <v>3.8895477833370378</v>
      </c>
      <c r="J93" s="85">
        <f t="shared" si="31"/>
        <v>4.7574153514045543</v>
      </c>
      <c r="K93" s="129">
        <f t="shared" si="21"/>
        <v>8.6469631347415916</v>
      </c>
      <c r="L93" s="85">
        <f t="shared" si="32"/>
        <v>41.049805303170771</v>
      </c>
      <c r="M93" s="130">
        <f t="shared" si="22"/>
        <v>49.696768437912361</v>
      </c>
      <c r="N93" s="8">
        <f t="shared" si="23"/>
        <v>319.33288695695933</v>
      </c>
      <c r="O93" s="84">
        <f t="shared" si="24"/>
        <v>269.63611851904693</v>
      </c>
    </row>
    <row r="94" spans="1:15" x14ac:dyDescent="0.2">
      <c r="A94" s="96" t="s">
        <v>68</v>
      </c>
      <c r="B94" s="81" t="str">
        <f t="shared" si="29"/>
        <v>Q4/2019</v>
      </c>
      <c r="C94" s="82">
        <f t="shared" si="27"/>
        <v>43739</v>
      </c>
      <c r="D94" s="82">
        <f t="shared" si="28"/>
        <v>43830</v>
      </c>
      <c r="E94" s="81">
        <f t="shared" si="25"/>
        <v>92</v>
      </c>
      <c r="F94" s="83">
        <f>VLOOKUP(D94,'FERC Interest Rate'!$A:$B,2,TRUE)</f>
        <v>6.0349460000000001E-2</v>
      </c>
      <c r="G94" s="84">
        <f t="shared" si="26"/>
        <v>269.63611851904693</v>
      </c>
      <c r="H94" s="84">
        <v>0</v>
      </c>
      <c r="I94" s="109">
        <f t="shared" si="30"/>
        <v>3.8895477833370378</v>
      </c>
      <c r="J94" s="85">
        <f t="shared" si="31"/>
        <v>4.10153496361393</v>
      </c>
      <c r="K94" s="129">
        <f t="shared" si="21"/>
        <v>7.9910827469509673</v>
      </c>
      <c r="L94" s="85">
        <f t="shared" si="32"/>
        <v>41.049805303170771</v>
      </c>
      <c r="M94" s="130">
        <f t="shared" si="22"/>
        <v>49.040888050121737</v>
      </c>
      <c r="N94" s="8">
        <f t="shared" si="23"/>
        <v>273.73765348266085</v>
      </c>
      <c r="O94" s="84">
        <f t="shared" si="24"/>
        <v>224.69676543253911</v>
      </c>
    </row>
    <row r="95" spans="1:15" x14ac:dyDescent="0.2">
      <c r="A95" s="96" t="s">
        <v>69</v>
      </c>
      <c r="B95" s="81" t="str">
        <f t="shared" si="29"/>
        <v>Q1/2020</v>
      </c>
      <c r="C95" s="82">
        <f t="shared" si="27"/>
        <v>43831</v>
      </c>
      <c r="D95" s="82">
        <f t="shared" si="28"/>
        <v>43921</v>
      </c>
      <c r="E95" s="81">
        <f t="shared" si="25"/>
        <v>91</v>
      </c>
      <c r="F95" s="83">
        <f>VLOOKUP(D95,'FERC Interest Rate'!$A:$B,2,TRUE)</f>
        <v>6.2501040000000008E-2</v>
      </c>
      <c r="G95" s="84">
        <f t="shared" si="26"/>
        <v>224.69676543253911</v>
      </c>
      <c r="H95" s="84">
        <v>0</v>
      </c>
      <c r="I95" s="109">
        <f t="shared" si="30"/>
        <v>3.8895477833370378</v>
      </c>
      <c r="J95" s="85">
        <f t="shared" si="31"/>
        <v>3.4917598871569591</v>
      </c>
      <c r="K95" s="129">
        <f t="shared" si="21"/>
        <v>7.3813076704939968</v>
      </c>
      <c r="L95" s="85">
        <f t="shared" si="32"/>
        <v>41.049805303170771</v>
      </c>
      <c r="M95" s="130">
        <f t="shared" si="22"/>
        <v>48.431112973664767</v>
      </c>
      <c r="N95" s="8">
        <f t="shared" si="23"/>
        <v>228.18852531969605</v>
      </c>
      <c r="O95" s="84">
        <f t="shared" si="24"/>
        <v>179.75741234603129</v>
      </c>
    </row>
    <row r="96" spans="1:15" x14ac:dyDescent="0.2">
      <c r="A96" s="96" t="s">
        <v>70</v>
      </c>
      <c r="B96" s="81" t="str">
        <f t="shared" si="29"/>
        <v>Q2/2020</v>
      </c>
      <c r="C96" s="82">
        <f t="shared" si="27"/>
        <v>43922</v>
      </c>
      <c r="D96" s="82">
        <f t="shared" si="28"/>
        <v>44012</v>
      </c>
      <c r="E96" s="81">
        <f t="shared" si="25"/>
        <v>91</v>
      </c>
      <c r="F96" s="83">
        <f>VLOOKUP(D96,'FERC Interest Rate'!$A:$B,2,TRUE)</f>
        <v>6.3055559999999997E-2</v>
      </c>
      <c r="G96" s="84">
        <f t="shared" si="26"/>
        <v>179.75741234603129</v>
      </c>
      <c r="H96" s="84">
        <v>0</v>
      </c>
      <c r="I96" s="109">
        <f t="shared" si="30"/>
        <v>3.8895477833370378</v>
      </c>
      <c r="J96" s="85">
        <f t="shared" si="31"/>
        <v>2.8181915061921377</v>
      </c>
      <c r="K96" s="129">
        <f t="shared" si="21"/>
        <v>6.7077392895291759</v>
      </c>
      <c r="L96" s="85">
        <f t="shared" si="32"/>
        <v>41.049805303170771</v>
      </c>
      <c r="M96" s="130">
        <f t="shared" si="22"/>
        <v>47.757544592699944</v>
      </c>
      <c r="N96" s="8">
        <f t="shared" si="23"/>
        <v>182.57560385222342</v>
      </c>
      <c r="O96" s="84">
        <f t="shared" si="24"/>
        <v>134.81805925952347</v>
      </c>
    </row>
    <row r="97" spans="1:15" x14ac:dyDescent="0.2">
      <c r="A97" s="96" t="s">
        <v>71</v>
      </c>
      <c r="B97" s="81" t="str">
        <f>+IF(MONTH(C97)&lt;4,"Q1",IF(MONTH(C97)&lt;7,"Q2",IF(MONTH(C97)&lt;10,"Q3","Q4")))&amp;"/"&amp;YEAR(C97)</f>
        <v>Q3/2020</v>
      </c>
      <c r="C97" s="82">
        <f t="shared" si="27"/>
        <v>44013</v>
      </c>
      <c r="D97" s="82">
        <f t="shared" si="28"/>
        <v>44104</v>
      </c>
      <c r="E97" s="81">
        <f t="shared" si="25"/>
        <v>92</v>
      </c>
      <c r="F97" s="83">
        <f>VLOOKUP(D97,'FERC Interest Rate'!$A:$B,2,TRUE)</f>
        <v>6.5000000000000002E-2</v>
      </c>
      <c r="G97" s="84">
        <f t="shared" si="26"/>
        <v>134.81805925952347</v>
      </c>
      <c r="H97" s="84">
        <v>0</v>
      </c>
      <c r="I97" s="109">
        <f t="shared" si="30"/>
        <v>3.8895477833370378</v>
      </c>
      <c r="J97" s="85">
        <f t="shared" si="31"/>
        <v>2.2027650119452193</v>
      </c>
      <c r="K97" s="129">
        <f t="shared" si="21"/>
        <v>6.0923127952822576</v>
      </c>
      <c r="L97" s="85">
        <f t="shared" si="32"/>
        <v>41.049805303170771</v>
      </c>
      <c r="M97" s="130">
        <f t="shared" si="22"/>
        <v>47.142118098453025</v>
      </c>
      <c r="N97" s="8">
        <f t="shared" si="23"/>
        <v>137.02082427146868</v>
      </c>
      <c r="O97" s="84">
        <f t="shared" si="24"/>
        <v>89.878706173015658</v>
      </c>
    </row>
    <row r="98" spans="1:15" x14ac:dyDescent="0.2">
      <c r="A98" s="96" t="s">
        <v>72</v>
      </c>
      <c r="B98" s="81" t="str">
        <f>+IF(MONTH(C98)&lt;4,"Q1",IF(MONTH(C98)&lt;7,"Q2",IF(MONTH(C98)&lt;10,"Q3","Q4")))&amp;"/"&amp;YEAR(C98)</f>
        <v>Q4/2020</v>
      </c>
      <c r="C98" s="82">
        <f t="shared" si="27"/>
        <v>44105</v>
      </c>
      <c r="D98" s="82">
        <f t="shared" si="28"/>
        <v>44196</v>
      </c>
      <c r="E98" s="81">
        <f t="shared" si="25"/>
        <v>92</v>
      </c>
      <c r="F98" s="83">
        <f>VLOOKUP(D98,'FERC Interest Rate'!$A:$B,2,TRUE)</f>
        <v>6.5000000000000002E-2</v>
      </c>
      <c r="G98" s="84">
        <f t="shared" si="26"/>
        <v>89.878706173015658</v>
      </c>
      <c r="H98" s="84">
        <v>0</v>
      </c>
      <c r="I98" s="109">
        <f t="shared" si="30"/>
        <v>3.8895477833370378</v>
      </c>
      <c r="J98" s="85">
        <f t="shared" si="31"/>
        <v>1.4685100079634799</v>
      </c>
      <c r="K98" s="129">
        <f t="shared" si="21"/>
        <v>5.3580577913005172</v>
      </c>
      <c r="L98" s="85">
        <f t="shared" si="32"/>
        <v>41.049805303170771</v>
      </c>
      <c r="M98" s="130">
        <f t="shared" si="22"/>
        <v>46.407863094471288</v>
      </c>
      <c r="N98" s="8">
        <f t="shared" si="23"/>
        <v>91.347216180979132</v>
      </c>
      <c r="O98" s="84">
        <f t="shared" si="24"/>
        <v>44.93935308650785</v>
      </c>
    </row>
    <row r="99" spans="1:15" x14ac:dyDescent="0.2">
      <c r="A99" s="96" t="s">
        <v>73</v>
      </c>
      <c r="B99" s="81" t="str">
        <f>+IF(MONTH(C99)&lt;4,"Q1",IF(MONTH(C99)&lt;7,"Q2",IF(MONTH(C99)&lt;10,"Q3","Q4")))&amp;"/"&amp;YEAR(C99)</f>
        <v>Q1/2021</v>
      </c>
      <c r="C99" s="82">
        <f t="shared" si="27"/>
        <v>44197</v>
      </c>
      <c r="D99" s="82">
        <f t="shared" si="28"/>
        <v>44286</v>
      </c>
      <c r="E99" s="81">
        <f t="shared" si="25"/>
        <v>90</v>
      </c>
      <c r="F99" s="83">
        <f>VLOOKUP(D99,'FERC Interest Rate'!$A:$B,2,TRUE)</f>
        <v>6.5000000000000002E-2</v>
      </c>
      <c r="G99" s="84">
        <f t="shared" si="26"/>
        <v>44.93935308650785</v>
      </c>
      <c r="H99" s="84">
        <v>0</v>
      </c>
      <c r="I99" s="109">
        <f t="shared" si="30"/>
        <v>3.8895477833370378</v>
      </c>
      <c r="J99" s="85">
        <f t="shared" si="31"/>
        <v>0.72026086453718063</v>
      </c>
      <c r="K99" s="129">
        <f t="shared" si="21"/>
        <v>4.6098086478742184</v>
      </c>
      <c r="L99" s="85">
        <f t="shared" si="32"/>
        <v>41.049805303170771</v>
      </c>
      <c r="M99" s="130">
        <f t="shared" si="22"/>
        <v>45.659613951044989</v>
      </c>
      <c r="N99" s="8">
        <f t="shared" si="23"/>
        <v>45.659613951045031</v>
      </c>
      <c r="O99" s="84">
        <f t="shared" si="24"/>
        <v>4.1300296516055823E-14</v>
      </c>
    </row>
    <row r="100" spans="1:15" x14ac:dyDescent="0.2">
      <c r="B100" s="81"/>
      <c r="C100" s="82"/>
      <c r="D100" s="82"/>
      <c r="E100" s="81"/>
      <c r="F100" s="83"/>
      <c r="G100" s="84"/>
      <c r="H100" s="84"/>
      <c r="I100" s="109"/>
      <c r="J100" s="85"/>
      <c r="K100" s="129"/>
      <c r="L100" s="85"/>
      <c r="M100" s="130"/>
      <c r="N100" s="8"/>
      <c r="O100" s="84"/>
    </row>
    <row r="101" spans="1:15" ht="13.5" thickBot="1" x14ac:dyDescent="0.25">
      <c r="A101" s="151"/>
      <c r="B101" s="152"/>
      <c r="C101" s="153"/>
      <c r="D101" s="153"/>
      <c r="E101" s="154"/>
      <c r="F101" s="152"/>
      <c r="G101" s="144">
        <f>+SUM(G73:G100)</f>
        <v>15514.795654210377</v>
      </c>
      <c r="H101" s="144">
        <f t="shared" ref="H101:O101" si="33">+SUM(H73:H100)</f>
        <v>77.790955666740757</v>
      </c>
      <c r="I101" s="138">
        <f t="shared" si="33"/>
        <v>77.790955666740743</v>
      </c>
      <c r="J101" s="137">
        <f t="shared" si="33"/>
        <v>82.378555749278888</v>
      </c>
      <c r="K101" s="137">
        <f t="shared" si="33"/>
        <v>160.16951141601967</v>
      </c>
      <c r="L101" s="137">
        <f t="shared" si="33"/>
        <v>820.99610606341525</v>
      </c>
      <c r="M101" s="139">
        <f t="shared" si="33"/>
        <v>981.16561747943524</v>
      </c>
      <c r="N101" s="137">
        <f t="shared" si="33"/>
        <v>15674.9651656264</v>
      </c>
      <c r="O101" s="137">
        <f t="shared" si="33"/>
        <v>14693.799548146961</v>
      </c>
    </row>
    <row r="102" spans="1:15" ht="13.5" thickTop="1" x14ac:dyDescent="0.2">
      <c r="B102" s="11"/>
      <c r="C102" s="98"/>
      <c r="D102" s="98"/>
      <c r="E102" s="10"/>
      <c r="F102" s="11"/>
      <c r="G102" s="85"/>
      <c r="H102" s="85"/>
      <c r="I102" s="132"/>
      <c r="J102" s="70"/>
      <c r="K102" s="129"/>
      <c r="L102" s="70"/>
      <c r="M102" s="130"/>
      <c r="N102" s="8"/>
    </row>
    <row r="103" spans="1:15" x14ac:dyDescent="0.2">
      <c r="B103" s="11"/>
      <c r="C103" s="98"/>
      <c r="D103" s="98"/>
      <c r="E103" s="10"/>
      <c r="F103" s="11"/>
      <c r="G103" s="85"/>
      <c r="H103" s="85"/>
      <c r="I103" s="132"/>
      <c r="J103" s="70"/>
      <c r="K103" s="129"/>
      <c r="L103" s="70"/>
      <c r="M103" s="130"/>
      <c r="N103" s="8"/>
    </row>
    <row r="104" spans="1:15" ht="38.25" x14ac:dyDescent="0.2">
      <c r="A104" s="90" t="s">
        <v>53</v>
      </c>
      <c r="B104" s="90" t="s">
        <v>3</v>
      </c>
      <c r="C104" s="90" t="s">
        <v>4</v>
      </c>
      <c r="D104" s="90" t="s">
        <v>5</v>
      </c>
      <c r="E104" s="90" t="s">
        <v>6</v>
      </c>
      <c r="F104" s="90" t="s">
        <v>7</v>
      </c>
      <c r="G104" s="90" t="s">
        <v>93</v>
      </c>
      <c r="H104" s="90" t="s">
        <v>94</v>
      </c>
      <c r="I104" s="105" t="s">
        <v>95</v>
      </c>
      <c r="J104" s="106" t="s">
        <v>96</v>
      </c>
      <c r="K104" s="106" t="s">
        <v>97</v>
      </c>
      <c r="L104" s="106" t="s">
        <v>98</v>
      </c>
      <c r="M104" s="107" t="s">
        <v>99</v>
      </c>
      <c r="N104" s="90" t="s">
        <v>100</v>
      </c>
      <c r="O104" s="90" t="s">
        <v>101</v>
      </c>
    </row>
    <row r="105" spans="1:15" x14ac:dyDescent="0.2">
      <c r="A105" s="309" t="s">
        <v>15</v>
      </c>
      <c r="B105" s="309"/>
      <c r="C105" s="282">
        <f>VLOOKUP(B106,A$1:F$19,2,FALSE)</f>
        <v>41831</v>
      </c>
      <c r="D105" s="282">
        <f>DATE(YEAR(C105),IF(MONTH(C105)&lt;=3,3,IF(MONTH(C105)&lt;=6,6,IF(MONTH(C105)&lt;=9,9,12))),IF(OR(MONTH(C105)&lt;=3,MONTH(C105)&gt;=10),31,30))</f>
        <v>41912</v>
      </c>
      <c r="E105" s="283">
        <f>D105-C105+1</f>
        <v>82</v>
      </c>
      <c r="F105" s="284">
        <f>VLOOKUP(D105,'FERC Interest Rate'!$A:$B,2,TRUE)</f>
        <v>3.2500000000000001E-2</v>
      </c>
      <c r="G105" s="167">
        <f>VLOOKUP(B106,$A$1:$F$23,5,FALSE)</f>
        <v>1709.5604178255765</v>
      </c>
      <c r="H105" s="167">
        <f t="shared" ref="H105:H115" si="34">G105*F105*(E105/(DATE(YEAR(D105),12,31)-DATE(YEAR(D105),1,1)+1))</f>
        <v>12.482132913712769</v>
      </c>
      <c r="I105" s="291">
        <v>0</v>
      </c>
      <c r="J105" s="286">
        <v>0</v>
      </c>
      <c r="K105" s="288">
        <f>+SUM(I105:J105)</f>
        <v>0</v>
      </c>
      <c r="L105" s="286">
        <v>0</v>
      </c>
      <c r="M105" s="289">
        <f>+SUM(K105:L105)</f>
        <v>0</v>
      </c>
      <c r="N105" s="290">
        <f>+G105+H105+J105</f>
        <v>1722.0425507392893</v>
      </c>
      <c r="O105" s="167">
        <f t="shared" ref="O105:O131" si="35">G105+H105-L105-I105</f>
        <v>1722.0425507392893</v>
      </c>
    </row>
    <row r="106" spans="1:15" x14ac:dyDescent="0.2">
      <c r="A106" s="275" t="s">
        <v>38</v>
      </c>
      <c r="B106" s="276" t="s">
        <v>55</v>
      </c>
      <c r="C106" s="282">
        <f>D105+1</f>
        <v>41913</v>
      </c>
      <c r="D106" s="282">
        <f>EOMONTH(D105,3)</f>
        <v>42004</v>
      </c>
      <c r="E106" s="283">
        <f t="shared" ref="E106:E131" si="36">D106-C106+1</f>
        <v>92</v>
      </c>
      <c r="F106" s="284">
        <f>VLOOKUP(D106,'FERC Interest Rate'!$A:$B,2,TRUE)</f>
        <v>3.2500000000000001E-2</v>
      </c>
      <c r="G106" s="167">
        <f t="shared" ref="G106:G131" si="37">O105</f>
        <v>1722.0425507392893</v>
      </c>
      <c r="H106" s="167">
        <f t="shared" si="34"/>
        <v>14.106595141672535</v>
      </c>
      <c r="I106" s="291">
        <v>0</v>
      </c>
      <c r="J106" s="286">
        <v>0</v>
      </c>
      <c r="K106" s="288">
        <f t="shared" ref="K106:K131" si="38">+SUM(I106:J106)</f>
        <v>0</v>
      </c>
      <c r="L106" s="286">
        <v>0</v>
      </c>
      <c r="M106" s="289">
        <f t="shared" ref="M106:M131" si="39">+SUM(K106:L106)</f>
        <v>0</v>
      </c>
      <c r="N106" s="290">
        <f t="shared" ref="N106:N131" si="40">+G106+H106+J106</f>
        <v>1736.1491458809619</v>
      </c>
      <c r="O106" s="167">
        <f t="shared" si="35"/>
        <v>1736.1491458809619</v>
      </c>
    </row>
    <row r="107" spans="1:15" x14ac:dyDescent="0.2">
      <c r="B107" s="283"/>
      <c r="C107" s="282">
        <f t="shared" ref="C107:C131" si="41">D106+1</f>
        <v>42005</v>
      </c>
      <c r="D107" s="282">
        <f t="shared" ref="D107:D131" si="42">EOMONTH(D106,3)</f>
        <v>42094</v>
      </c>
      <c r="E107" s="283">
        <f t="shared" si="36"/>
        <v>90</v>
      </c>
      <c r="F107" s="284">
        <f>VLOOKUP(D107,'FERC Interest Rate'!$A:$B,2,TRUE)</f>
        <v>3.2500000000000001E-2</v>
      </c>
      <c r="G107" s="167">
        <f t="shared" si="37"/>
        <v>1736.1491458809619</v>
      </c>
      <c r="H107" s="167">
        <f t="shared" si="34"/>
        <v>13.912976032059762</v>
      </c>
      <c r="I107" s="291">
        <v>0</v>
      </c>
      <c r="J107" s="286">
        <v>0</v>
      </c>
      <c r="K107" s="288">
        <f t="shared" si="38"/>
        <v>0</v>
      </c>
      <c r="L107" s="286">
        <v>0</v>
      </c>
      <c r="M107" s="289">
        <f t="shared" si="39"/>
        <v>0</v>
      </c>
      <c r="N107" s="290">
        <f t="shared" si="40"/>
        <v>1750.0621219130217</v>
      </c>
      <c r="O107" s="167">
        <f t="shared" si="35"/>
        <v>1750.0621219130217</v>
      </c>
    </row>
    <row r="108" spans="1:15" x14ac:dyDescent="0.2">
      <c r="B108" s="283"/>
      <c r="C108" s="282">
        <f t="shared" si="41"/>
        <v>42095</v>
      </c>
      <c r="D108" s="282">
        <f t="shared" si="42"/>
        <v>42185</v>
      </c>
      <c r="E108" s="283">
        <f t="shared" si="36"/>
        <v>91</v>
      </c>
      <c r="F108" s="284">
        <f>VLOOKUP(D108,'FERC Interest Rate'!$A:$B,2,TRUE)</f>
        <v>3.2500000000000001E-2</v>
      </c>
      <c r="G108" s="167">
        <f t="shared" si="37"/>
        <v>1750.0621219130217</v>
      </c>
      <c r="H108" s="167">
        <f t="shared" si="34"/>
        <v>14.180297878240443</v>
      </c>
      <c r="I108" s="291">
        <v>0</v>
      </c>
      <c r="J108" s="286">
        <v>0</v>
      </c>
      <c r="K108" s="288">
        <f t="shared" si="38"/>
        <v>0</v>
      </c>
      <c r="L108" s="286">
        <v>0</v>
      </c>
      <c r="M108" s="289">
        <f t="shared" si="39"/>
        <v>0</v>
      </c>
      <c r="N108" s="290">
        <f t="shared" si="40"/>
        <v>1764.2424197912621</v>
      </c>
      <c r="O108" s="167">
        <f t="shared" si="35"/>
        <v>1764.2424197912621</v>
      </c>
    </row>
    <row r="109" spans="1:15" x14ac:dyDescent="0.2">
      <c r="B109" s="283"/>
      <c r="C109" s="282">
        <f t="shared" si="41"/>
        <v>42186</v>
      </c>
      <c r="D109" s="282">
        <f t="shared" si="42"/>
        <v>42277</v>
      </c>
      <c r="E109" s="283">
        <f t="shared" si="36"/>
        <v>92</v>
      </c>
      <c r="F109" s="284">
        <f>VLOOKUP(D109,'FERC Interest Rate'!$A:$B,2,TRUE)</f>
        <v>3.2500000000000001E-2</v>
      </c>
      <c r="G109" s="167">
        <f t="shared" si="37"/>
        <v>1764.2424197912621</v>
      </c>
      <c r="H109" s="167">
        <f t="shared" si="34"/>
        <v>14.452287219659929</v>
      </c>
      <c r="I109" s="291">
        <v>0</v>
      </c>
      <c r="J109" s="286">
        <v>0</v>
      </c>
      <c r="K109" s="288">
        <f t="shared" si="38"/>
        <v>0</v>
      </c>
      <c r="L109" s="286">
        <v>0</v>
      </c>
      <c r="M109" s="289">
        <f t="shared" si="39"/>
        <v>0</v>
      </c>
      <c r="N109" s="290">
        <f t="shared" si="40"/>
        <v>1778.694707010922</v>
      </c>
      <c r="O109" s="167">
        <f t="shared" si="35"/>
        <v>1778.694707010922</v>
      </c>
    </row>
    <row r="110" spans="1:15" x14ac:dyDescent="0.2">
      <c r="B110" s="283"/>
      <c r="C110" s="282">
        <f t="shared" si="41"/>
        <v>42278</v>
      </c>
      <c r="D110" s="282">
        <f t="shared" si="42"/>
        <v>42369</v>
      </c>
      <c r="E110" s="283">
        <f t="shared" si="36"/>
        <v>92</v>
      </c>
      <c r="F110" s="284">
        <f>VLOOKUP(D110,'FERC Interest Rate'!$A:$B,2,TRUE)</f>
        <v>3.2500000000000001E-2</v>
      </c>
      <c r="G110" s="167">
        <f t="shared" si="37"/>
        <v>1778.694707010922</v>
      </c>
      <c r="H110" s="167">
        <f t="shared" si="34"/>
        <v>14.570677188938788</v>
      </c>
      <c r="I110" s="291">
        <v>0</v>
      </c>
      <c r="J110" s="286">
        <v>0</v>
      </c>
      <c r="K110" s="288">
        <f t="shared" si="38"/>
        <v>0</v>
      </c>
      <c r="L110" s="286">
        <v>0</v>
      </c>
      <c r="M110" s="289">
        <f t="shared" si="39"/>
        <v>0</v>
      </c>
      <c r="N110" s="290">
        <f t="shared" si="40"/>
        <v>1793.2653841998608</v>
      </c>
      <c r="O110" s="167">
        <f t="shared" si="35"/>
        <v>1793.2653841998608</v>
      </c>
    </row>
    <row r="111" spans="1:15" x14ac:dyDescent="0.2">
      <c r="B111" s="283"/>
      <c r="C111" s="282">
        <f t="shared" si="41"/>
        <v>42370</v>
      </c>
      <c r="D111" s="282">
        <f t="shared" si="42"/>
        <v>42460</v>
      </c>
      <c r="E111" s="283">
        <f t="shared" si="36"/>
        <v>91</v>
      </c>
      <c r="F111" s="284">
        <f>VLOOKUP(D111,'FERC Interest Rate'!$A:$B,2,TRUE)</f>
        <v>3.2500000000000001E-2</v>
      </c>
      <c r="G111" s="167">
        <f t="shared" si="37"/>
        <v>1793.2653841998608</v>
      </c>
      <c r="H111" s="167">
        <f t="shared" si="34"/>
        <v>14.490662223418274</v>
      </c>
      <c r="I111" s="291">
        <v>0</v>
      </c>
      <c r="J111" s="286">
        <v>0</v>
      </c>
      <c r="K111" s="288">
        <f t="shared" si="38"/>
        <v>0</v>
      </c>
      <c r="L111" s="286">
        <v>0</v>
      </c>
      <c r="M111" s="289">
        <f t="shared" si="39"/>
        <v>0</v>
      </c>
      <c r="N111" s="290">
        <f t="shared" si="40"/>
        <v>1807.756046423279</v>
      </c>
      <c r="O111" s="167">
        <f t="shared" si="35"/>
        <v>1807.756046423279</v>
      </c>
    </row>
    <row r="112" spans="1:15" x14ac:dyDescent="0.2">
      <c r="A112" s="96"/>
      <c r="B112" s="81"/>
      <c r="C112" s="82">
        <f t="shared" si="41"/>
        <v>42461</v>
      </c>
      <c r="D112" s="82">
        <f t="shared" si="42"/>
        <v>42551</v>
      </c>
      <c r="E112" s="81">
        <f t="shared" si="36"/>
        <v>91</v>
      </c>
      <c r="F112" s="83">
        <f>VLOOKUP(D112,'FERC Interest Rate'!$A:$B,2,TRUE)</f>
        <v>3.4599999999999999E-2</v>
      </c>
      <c r="G112" s="84">
        <f t="shared" si="37"/>
        <v>1807.756046423279</v>
      </c>
      <c r="H112" s="167">
        <f t="shared" si="34"/>
        <v>15.551641223410755</v>
      </c>
      <c r="I112" s="173">
        <v>0</v>
      </c>
      <c r="J112" s="286">
        <v>0</v>
      </c>
      <c r="K112" s="129">
        <f t="shared" si="38"/>
        <v>0</v>
      </c>
      <c r="L112" s="85">
        <v>0</v>
      </c>
      <c r="M112" s="130">
        <f t="shared" si="39"/>
        <v>0</v>
      </c>
      <c r="N112" s="8">
        <f t="shared" si="40"/>
        <v>1823.3076876466898</v>
      </c>
      <c r="O112" s="84">
        <f t="shared" si="35"/>
        <v>1823.3076876466898</v>
      </c>
    </row>
    <row r="113" spans="1:15" x14ac:dyDescent="0.2">
      <c r="A113" s="96"/>
      <c r="B113" s="81"/>
      <c r="C113" s="82">
        <f t="shared" si="41"/>
        <v>42552</v>
      </c>
      <c r="D113" s="82">
        <f t="shared" si="42"/>
        <v>42643</v>
      </c>
      <c r="E113" s="81">
        <f t="shared" si="36"/>
        <v>92</v>
      </c>
      <c r="F113" s="83">
        <f>VLOOKUP(D113,'FERC Interest Rate'!$A:$B,2,TRUE)</f>
        <v>3.5000000000000003E-2</v>
      </c>
      <c r="G113" s="84">
        <f t="shared" si="37"/>
        <v>1823.3076876466898</v>
      </c>
      <c r="H113" s="84">
        <f t="shared" si="34"/>
        <v>16.041122279296015</v>
      </c>
      <c r="I113" s="173">
        <v>0</v>
      </c>
      <c r="J113" s="85">
        <v>0</v>
      </c>
      <c r="K113" s="129">
        <f t="shared" si="38"/>
        <v>0</v>
      </c>
      <c r="L113" s="85">
        <v>0</v>
      </c>
      <c r="M113" s="130">
        <f t="shared" si="39"/>
        <v>0</v>
      </c>
      <c r="N113" s="8">
        <f t="shared" si="40"/>
        <v>1839.3488099259857</v>
      </c>
      <c r="O113" s="84">
        <f t="shared" si="35"/>
        <v>1839.3488099259857</v>
      </c>
    </row>
    <row r="114" spans="1:15" x14ac:dyDescent="0.2">
      <c r="A114" s="96"/>
      <c r="B114" s="81"/>
      <c r="C114" s="82">
        <f t="shared" si="41"/>
        <v>42644</v>
      </c>
      <c r="D114" s="82">
        <f t="shared" si="42"/>
        <v>42735</v>
      </c>
      <c r="E114" s="81">
        <f t="shared" si="36"/>
        <v>92</v>
      </c>
      <c r="F114" s="83">
        <f>VLOOKUP(D114,'FERC Interest Rate'!$A:$B,2,TRUE)</f>
        <v>3.5000000000000003E-2</v>
      </c>
      <c r="G114" s="84">
        <f t="shared" si="37"/>
        <v>1839.3488099259857</v>
      </c>
      <c r="H114" s="84">
        <f t="shared" si="34"/>
        <v>16.182249092791462</v>
      </c>
      <c r="I114" s="173">
        <v>0</v>
      </c>
      <c r="J114" s="85">
        <v>0</v>
      </c>
      <c r="K114" s="129">
        <f t="shared" si="38"/>
        <v>0</v>
      </c>
      <c r="L114" s="85">
        <v>0</v>
      </c>
      <c r="M114" s="130">
        <f t="shared" si="39"/>
        <v>0</v>
      </c>
      <c r="N114" s="8">
        <f t="shared" si="40"/>
        <v>1855.5310590187771</v>
      </c>
      <c r="O114" s="84">
        <f t="shared" si="35"/>
        <v>1855.5310590187771</v>
      </c>
    </row>
    <row r="115" spans="1:15" x14ac:dyDescent="0.2">
      <c r="A115" s="96" t="s">
        <v>102</v>
      </c>
      <c r="B115" s="81" t="str">
        <f t="shared" ref="B115:B128" si="43">+IF(MONTH(C115)&lt;4,"Q1",IF(MONTH(C115)&lt;7,"Q2",IF(MONTH(C115)&lt;10,"Q3","Q4")))&amp;"/"&amp;YEAR(C115)</f>
        <v>Q1/2017</v>
      </c>
      <c r="C115" s="82">
        <f t="shared" si="41"/>
        <v>42736</v>
      </c>
      <c r="D115" s="82">
        <f t="shared" si="42"/>
        <v>42825</v>
      </c>
      <c r="E115" s="81">
        <f t="shared" si="36"/>
        <v>90</v>
      </c>
      <c r="F115" s="83">
        <f>VLOOKUP(D115,'FERC Interest Rate'!$A:$B,2,TRUE)</f>
        <v>3.5000000000000003E-2</v>
      </c>
      <c r="G115" s="84">
        <f t="shared" si="37"/>
        <v>1855.5310590187771</v>
      </c>
      <c r="H115" s="84">
        <f t="shared" si="34"/>
        <v>16.0134872216689</v>
      </c>
      <c r="I115" s="109">
        <f>(SUM($H$105:$H$132)/20)*4</f>
        <v>32.396825682973926</v>
      </c>
      <c r="J115" s="85">
        <f>G115*F115*(E115/(DATE(YEAR(D115),12,31)-DATE(YEAR(D115),1,1)+1))</f>
        <v>16.0134872216689</v>
      </c>
      <c r="K115" s="129">
        <f t="shared" si="38"/>
        <v>48.410312904642822</v>
      </c>
      <c r="L115" s="85">
        <f>VLOOKUP($B$106,A$1:F$19,5,FALSE)/20*4</f>
        <v>341.91208356511527</v>
      </c>
      <c r="M115" s="130">
        <f t="shared" si="39"/>
        <v>390.32239646975808</v>
      </c>
      <c r="N115" s="8">
        <f t="shared" si="40"/>
        <v>1887.5580334621147</v>
      </c>
      <c r="O115" s="84">
        <f t="shared" si="35"/>
        <v>1497.2356369923568</v>
      </c>
    </row>
    <row r="116" spans="1:15" x14ac:dyDescent="0.2">
      <c r="A116" s="96" t="s">
        <v>58</v>
      </c>
      <c r="B116" s="81" t="str">
        <f t="shared" si="43"/>
        <v>Q2/2017</v>
      </c>
      <c r="C116" s="82">
        <f t="shared" si="41"/>
        <v>42826</v>
      </c>
      <c r="D116" s="82">
        <f t="shared" si="42"/>
        <v>42916</v>
      </c>
      <c r="E116" s="81">
        <f t="shared" si="36"/>
        <v>91</v>
      </c>
      <c r="F116" s="83">
        <f>VLOOKUP(D116,'FERC Interest Rate'!$A:$B,2,TRUE)</f>
        <v>3.7100000000000001E-2</v>
      </c>
      <c r="G116" s="84">
        <f t="shared" si="37"/>
        <v>1497.2356369923568</v>
      </c>
      <c r="H116" s="84">
        <v>0</v>
      </c>
      <c r="I116" s="109">
        <f t="shared" ref="I116:I131" si="44">(SUM($H$105:$H$132)/20)</f>
        <v>8.0992064207434815</v>
      </c>
      <c r="J116" s="85">
        <f t="shared" ref="J116:J131" si="45">G116*F116*(E116/(DATE(YEAR(D116),12,31)-DATE(YEAR(D116),1,1)+1))</f>
        <v>13.848814339862729</v>
      </c>
      <c r="K116" s="129">
        <f t="shared" si="38"/>
        <v>21.948020760606212</v>
      </c>
      <c r="L116" s="85">
        <f t="shared" ref="L116:L131" si="46">VLOOKUP($B$106,A$1:F$19,5,FALSE)/20</f>
        <v>85.478020891278817</v>
      </c>
      <c r="M116" s="130">
        <f t="shared" si="39"/>
        <v>107.42604165188503</v>
      </c>
      <c r="N116" s="8">
        <f t="shared" si="40"/>
        <v>1511.0844513322195</v>
      </c>
      <c r="O116" s="84">
        <f t="shared" si="35"/>
        <v>1403.6584096803344</v>
      </c>
    </row>
    <row r="117" spans="1:15" x14ac:dyDescent="0.2">
      <c r="A117" s="96" t="s">
        <v>59</v>
      </c>
      <c r="B117" s="81" t="str">
        <f t="shared" si="43"/>
        <v>Q3/2017</v>
      </c>
      <c r="C117" s="82">
        <f t="shared" si="41"/>
        <v>42917</v>
      </c>
      <c r="D117" s="82">
        <f t="shared" si="42"/>
        <v>43008</v>
      </c>
      <c r="E117" s="81">
        <f t="shared" si="36"/>
        <v>92</v>
      </c>
      <c r="F117" s="83">
        <f>VLOOKUP(D117,'FERC Interest Rate'!$A:$B,2,TRUE)</f>
        <v>3.9600000000000003E-2</v>
      </c>
      <c r="G117" s="84">
        <f t="shared" si="37"/>
        <v>1403.6584096803344</v>
      </c>
      <c r="H117" s="84">
        <v>0</v>
      </c>
      <c r="I117" s="109">
        <f t="shared" si="44"/>
        <v>8.0992064207434815</v>
      </c>
      <c r="J117" s="85">
        <f t="shared" si="45"/>
        <v>14.010433748349028</v>
      </c>
      <c r="K117" s="129">
        <f t="shared" si="38"/>
        <v>22.109640169092508</v>
      </c>
      <c r="L117" s="85">
        <f t="shared" si="46"/>
        <v>85.478020891278817</v>
      </c>
      <c r="M117" s="130">
        <f t="shared" si="39"/>
        <v>107.58766106037132</v>
      </c>
      <c r="N117" s="8">
        <f t="shared" si="40"/>
        <v>1417.6688434286834</v>
      </c>
      <c r="O117" s="84">
        <f t="shared" si="35"/>
        <v>1310.0811823683121</v>
      </c>
    </row>
    <row r="118" spans="1:15" x14ac:dyDescent="0.2">
      <c r="A118" s="96" t="s">
        <v>60</v>
      </c>
      <c r="B118" s="81" t="str">
        <f t="shared" si="43"/>
        <v>Q4/2017</v>
      </c>
      <c r="C118" s="82">
        <f t="shared" si="41"/>
        <v>43009</v>
      </c>
      <c r="D118" s="82">
        <f t="shared" si="42"/>
        <v>43100</v>
      </c>
      <c r="E118" s="81">
        <f t="shared" si="36"/>
        <v>92</v>
      </c>
      <c r="F118" s="83">
        <f>VLOOKUP(D118,'FERC Interest Rate'!$A:$B,2,TRUE)</f>
        <v>4.2099999999999999E-2</v>
      </c>
      <c r="G118" s="84">
        <f t="shared" si="37"/>
        <v>1310.0811823683121</v>
      </c>
      <c r="H118" s="84">
        <v>0</v>
      </c>
      <c r="I118" s="109">
        <f t="shared" si="44"/>
        <v>8.0992064207434815</v>
      </c>
      <c r="J118" s="85">
        <f t="shared" si="45"/>
        <v>13.901935439860127</v>
      </c>
      <c r="K118" s="129">
        <f t="shared" si="38"/>
        <v>22.00114186060361</v>
      </c>
      <c r="L118" s="85">
        <f t="shared" si="46"/>
        <v>85.478020891278817</v>
      </c>
      <c r="M118" s="130">
        <f t="shared" si="39"/>
        <v>107.47916275188243</v>
      </c>
      <c r="N118" s="8">
        <f t="shared" si="40"/>
        <v>1323.9831178081722</v>
      </c>
      <c r="O118" s="84">
        <f t="shared" si="35"/>
        <v>1216.5039550562897</v>
      </c>
    </row>
    <row r="119" spans="1:15" x14ac:dyDescent="0.2">
      <c r="A119" s="96" t="s">
        <v>61</v>
      </c>
      <c r="B119" s="81" t="str">
        <f t="shared" si="43"/>
        <v>Q1/2018</v>
      </c>
      <c r="C119" s="82">
        <f t="shared" si="41"/>
        <v>43101</v>
      </c>
      <c r="D119" s="82">
        <f t="shared" si="42"/>
        <v>43190</v>
      </c>
      <c r="E119" s="81">
        <f t="shared" si="36"/>
        <v>90</v>
      </c>
      <c r="F119" s="83">
        <f>VLOOKUP(D119,'FERC Interest Rate'!$A:$B,2,TRUE)</f>
        <v>4.2500000000000003E-2</v>
      </c>
      <c r="G119" s="84">
        <f t="shared" si="37"/>
        <v>1216.5039550562897</v>
      </c>
      <c r="H119" s="84">
        <v>0</v>
      </c>
      <c r="I119" s="109">
        <f t="shared" si="44"/>
        <v>8.0992064207434815</v>
      </c>
      <c r="J119" s="85">
        <f t="shared" si="45"/>
        <v>12.748294871480295</v>
      </c>
      <c r="K119" s="129">
        <f t="shared" si="38"/>
        <v>20.847501292223775</v>
      </c>
      <c r="L119" s="85">
        <f t="shared" si="46"/>
        <v>85.478020891278817</v>
      </c>
      <c r="M119" s="130">
        <f t="shared" si="39"/>
        <v>106.32552218350258</v>
      </c>
      <c r="N119" s="8">
        <f t="shared" si="40"/>
        <v>1229.25224992777</v>
      </c>
      <c r="O119" s="84">
        <f t="shared" si="35"/>
        <v>1122.9267277442673</v>
      </c>
    </row>
    <row r="120" spans="1:15" x14ac:dyDescent="0.2">
      <c r="A120" s="96" t="s">
        <v>62</v>
      </c>
      <c r="B120" s="81" t="str">
        <f t="shared" si="43"/>
        <v>Q2/2018</v>
      </c>
      <c r="C120" s="82">
        <f t="shared" si="41"/>
        <v>43191</v>
      </c>
      <c r="D120" s="82">
        <f t="shared" si="42"/>
        <v>43281</v>
      </c>
      <c r="E120" s="81">
        <f t="shared" si="36"/>
        <v>91</v>
      </c>
      <c r="F120" s="83">
        <f>VLOOKUP(D120,'FERC Interest Rate'!$A:$B,2,TRUE)</f>
        <v>4.4699999999999997E-2</v>
      </c>
      <c r="G120" s="84">
        <f t="shared" si="37"/>
        <v>1122.9267277442673</v>
      </c>
      <c r="H120" s="84">
        <v>0</v>
      </c>
      <c r="I120" s="109">
        <f t="shared" si="44"/>
        <v>8.0992064207434815</v>
      </c>
      <c r="J120" s="85">
        <f t="shared" si="45"/>
        <v>12.514326165603713</v>
      </c>
      <c r="K120" s="129">
        <f t="shared" si="38"/>
        <v>20.613532586347194</v>
      </c>
      <c r="L120" s="85">
        <f t="shared" si="46"/>
        <v>85.478020891278817</v>
      </c>
      <c r="M120" s="130">
        <f t="shared" si="39"/>
        <v>106.09155347762601</v>
      </c>
      <c r="N120" s="8">
        <f t="shared" si="40"/>
        <v>1135.441053909871</v>
      </c>
      <c r="O120" s="84">
        <f t="shared" si="35"/>
        <v>1029.3495004322449</v>
      </c>
    </row>
    <row r="121" spans="1:15" x14ac:dyDescent="0.2">
      <c r="A121" s="96" t="s">
        <v>63</v>
      </c>
      <c r="B121" s="81" t="str">
        <f t="shared" si="43"/>
        <v>Q3/2018</v>
      </c>
      <c r="C121" s="82">
        <f t="shared" si="41"/>
        <v>43282</v>
      </c>
      <c r="D121" s="82">
        <f t="shared" si="42"/>
        <v>43373</v>
      </c>
      <c r="E121" s="81">
        <f t="shared" si="36"/>
        <v>92</v>
      </c>
      <c r="F121" s="83">
        <f>VLOOKUP(D121,'FERC Interest Rate'!$A:$B,2,TRUE)</f>
        <v>5.011111E-2</v>
      </c>
      <c r="G121" s="84">
        <f t="shared" si="37"/>
        <v>1029.3495004322449</v>
      </c>
      <c r="H121" s="84">
        <v>0</v>
      </c>
      <c r="I121" s="109">
        <f t="shared" si="44"/>
        <v>8.0992064207434815</v>
      </c>
      <c r="J121" s="85">
        <f t="shared" si="45"/>
        <v>13.001451605763521</v>
      </c>
      <c r="K121" s="129">
        <f t="shared" si="38"/>
        <v>21.100658026507002</v>
      </c>
      <c r="L121" s="85">
        <f t="shared" si="46"/>
        <v>85.478020891278817</v>
      </c>
      <c r="M121" s="130">
        <f t="shared" si="39"/>
        <v>106.57867891778582</v>
      </c>
      <c r="N121" s="8">
        <f t="shared" si="40"/>
        <v>1042.3509520380085</v>
      </c>
      <c r="O121" s="84">
        <f t="shared" si="35"/>
        <v>935.77227312022262</v>
      </c>
    </row>
    <row r="122" spans="1:15" x14ac:dyDescent="0.2">
      <c r="A122" s="96" t="s">
        <v>64</v>
      </c>
      <c r="B122" s="81" t="str">
        <f t="shared" si="43"/>
        <v>Q4/2018</v>
      </c>
      <c r="C122" s="82">
        <f t="shared" si="41"/>
        <v>43374</v>
      </c>
      <c r="D122" s="82">
        <f t="shared" si="42"/>
        <v>43465</v>
      </c>
      <c r="E122" s="81">
        <f t="shared" si="36"/>
        <v>92</v>
      </c>
      <c r="F122" s="83">
        <f>VLOOKUP(D122,'FERC Interest Rate'!$A:$B,2,TRUE)</f>
        <v>5.2822580000000001E-2</v>
      </c>
      <c r="G122" s="84">
        <f t="shared" si="37"/>
        <v>935.77227312022262</v>
      </c>
      <c r="H122" s="84">
        <v>0</v>
      </c>
      <c r="I122" s="109">
        <f t="shared" si="44"/>
        <v>8.0992064207434815</v>
      </c>
      <c r="J122" s="85">
        <f t="shared" si="45"/>
        <v>12.45904473917283</v>
      </c>
      <c r="K122" s="129">
        <f t="shared" si="38"/>
        <v>20.55825115991631</v>
      </c>
      <c r="L122" s="85">
        <f t="shared" si="46"/>
        <v>85.478020891278817</v>
      </c>
      <c r="M122" s="130">
        <f t="shared" si="39"/>
        <v>106.03627205119513</v>
      </c>
      <c r="N122" s="8">
        <f t="shared" si="40"/>
        <v>948.2313178593954</v>
      </c>
      <c r="O122" s="84">
        <f t="shared" si="35"/>
        <v>842.19504580820035</v>
      </c>
    </row>
    <row r="123" spans="1:15" x14ac:dyDescent="0.2">
      <c r="A123" s="96" t="s">
        <v>65</v>
      </c>
      <c r="B123" s="81" t="str">
        <f t="shared" si="43"/>
        <v>Q1/2019</v>
      </c>
      <c r="C123" s="82">
        <f t="shared" si="41"/>
        <v>43466</v>
      </c>
      <c r="D123" s="82">
        <f t="shared" si="42"/>
        <v>43555</v>
      </c>
      <c r="E123" s="81">
        <f t="shared" si="36"/>
        <v>90</v>
      </c>
      <c r="F123" s="83">
        <f>VLOOKUP(D123,'FERC Interest Rate'!$A:$B,2,TRUE)</f>
        <v>5.5296770000000002E-2</v>
      </c>
      <c r="G123" s="84">
        <f t="shared" si="37"/>
        <v>842.19504580820035</v>
      </c>
      <c r="H123" s="84">
        <v>0</v>
      </c>
      <c r="I123" s="109">
        <f t="shared" si="44"/>
        <v>8.0992064207434815</v>
      </c>
      <c r="J123" s="85">
        <f t="shared" si="45"/>
        <v>11.483177854486566</v>
      </c>
      <c r="K123" s="129">
        <f t="shared" si="38"/>
        <v>19.582384275230048</v>
      </c>
      <c r="L123" s="85">
        <f t="shared" si="46"/>
        <v>85.478020891278817</v>
      </c>
      <c r="M123" s="130">
        <f t="shared" si="39"/>
        <v>105.06040516650887</v>
      </c>
      <c r="N123" s="8">
        <f t="shared" si="40"/>
        <v>853.67822366268695</v>
      </c>
      <c r="O123" s="84">
        <f t="shared" si="35"/>
        <v>748.61781849617807</v>
      </c>
    </row>
    <row r="124" spans="1:15" x14ac:dyDescent="0.2">
      <c r="A124" s="96" t="s">
        <v>66</v>
      </c>
      <c r="B124" s="81" t="str">
        <f t="shared" si="43"/>
        <v>Q2/2019</v>
      </c>
      <c r="C124" s="82">
        <f t="shared" si="41"/>
        <v>43556</v>
      </c>
      <c r="D124" s="82">
        <f t="shared" si="42"/>
        <v>43646</v>
      </c>
      <c r="E124" s="81">
        <f t="shared" si="36"/>
        <v>91</v>
      </c>
      <c r="F124" s="83">
        <f>VLOOKUP(D124,'FERC Interest Rate'!$A:$B,2,TRUE)</f>
        <v>5.7999999999999996E-2</v>
      </c>
      <c r="G124" s="84">
        <f t="shared" si="37"/>
        <v>748.61781849617807</v>
      </c>
      <c r="H124" s="84">
        <v>0</v>
      </c>
      <c r="I124" s="109">
        <f t="shared" si="44"/>
        <v>8.0992064207434815</v>
      </c>
      <c r="J124" s="85">
        <f t="shared" si="45"/>
        <v>10.825218756226924</v>
      </c>
      <c r="K124" s="129">
        <f t="shared" si="38"/>
        <v>18.924425176970406</v>
      </c>
      <c r="L124" s="85">
        <f t="shared" si="46"/>
        <v>85.478020891278817</v>
      </c>
      <c r="M124" s="130">
        <f t="shared" si="39"/>
        <v>104.40244606824922</v>
      </c>
      <c r="N124" s="8">
        <f t="shared" si="40"/>
        <v>759.44303725240502</v>
      </c>
      <c r="O124" s="84">
        <f t="shared" si="35"/>
        <v>655.0405911841558</v>
      </c>
    </row>
    <row r="125" spans="1:15" x14ac:dyDescent="0.2">
      <c r="A125" s="96" t="s">
        <v>67</v>
      </c>
      <c r="B125" s="81" t="str">
        <f t="shared" si="43"/>
        <v>Q3/2019</v>
      </c>
      <c r="C125" s="82">
        <f t="shared" si="41"/>
        <v>43647</v>
      </c>
      <c r="D125" s="82">
        <f t="shared" si="42"/>
        <v>43738</v>
      </c>
      <c r="E125" s="81">
        <f t="shared" si="36"/>
        <v>92</v>
      </c>
      <c r="F125" s="83">
        <f>VLOOKUP(D125,'FERC Interest Rate'!$A:$B,2,TRUE)</f>
        <v>0.06</v>
      </c>
      <c r="G125" s="84">
        <f t="shared" si="37"/>
        <v>655.0405911841558</v>
      </c>
      <c r="H125" s="84">
        <v>0</v>
      </c>
      <c r="I125" s="109">
        <f t="shared" si="44"/>
        <v>8.0992064207434815</v>
      </c>
      <c r="J125" s="85">
        <f t="shared" si="45"/>
        <v>9.906367296812439</v>
      </c>
      <c r="K125" s="129">
        <f t="shared" si="38"/>
        <v>18.005573717555919</v>
      </c>
      <c r="L125" s="85">
        <f t="shared" si="46"/>
        <v>85.478020891278817</v>
      </c>
      <c r="M125" s="130">
        <f t="shared" si="39"/>
        <v>103.48359460883474</v>
      </c>
      <c r="N125" s="8">
        <f t="shared" si="40"/>
        <v>664.94695848096819</v>
      </c>
      <c r="O125" s="84">
        <f t="shared" si="35"/>
        <v>561.46336387213353</v>
      </c>
    </row>
    <row r="126" spans="1:15" x14ac:dyDescent="0.2">
      <c r="A126" s="96" t="s">
        <v>68</v>
      </c>
      <c r="B126" s="81" t="str">
        <f t="shared" si="43"/>
        <v>Q4/2019</v>
      </c>
      <c r="C126" s="82">
        <f t="shared" si="41"/>
        <v>43739</v>
      </c>
      <c r="D126" s="82">
        <f t="shared" si="42"/>
        <v>43830</v>
      </c>
      <c r="E126" s="81">
        <f t="shared" si="36"/>
        <v>92</v>
      </c>
      <c r="F126" s="83">
        <f>VLOOKUP(D126,'FERC Interest Rate'!$A:$B,2,TRUE)</f>
        <v>6.0349460000000001E-2</v>
      </c>
      <c r="G126" s="84">
        <f t="shared" si="37"/>
        <v>561.46336387213353</v>
      </c>
      <c r="H126" s="84">
        <v>0</v>
      </c>
      <c r="I126" s="109">
        <f t="shared" si="44"/>
        <v>8.0992064207434815</v>
      </c>
      <c r="J126" s="85">
        <f t="shared" si="45"/>
        <v>8.5406273846327192</v>
      </c>
      <c r="K126" s="129">
        <f t="shared" si="38"/>
        <v>16.639833805376199</v>
      </c>
      <c r="L126" s="85">
        <f t="shared" si="46"/>
        <v>85.478020891278817</v>
      </c>
      <c r="M126" s="130">
        <f t="shared" si="39"/>
        <v>102.11785469665502</v>
      </c>
      <c r="N126" s="8">
        <f t="shared" si="40"/>
        <v>570.0039912567662</v>
      </c>
      <c r="O126" s="84">
        <f t="shared" si="35"/>
        <v>467.88613656011125</v>
      </c>
    </row>
    <row r="127" spans="1:15" x14ac:dyDescent="0.2">
      <c r="A127" s="96" t="s">
        <v>69</v>
      </c>
      <c r="B127" s="81" t="str">
        <f t="shared" si="43"/>
        <v>Q1/2020</v>
      </c>
      <c r="C127" s="82">
        <f t="shared" si="41"/>
        <v>43831</v>
      </c>
      <c r="D127" s="82">
        <f t="shared" si="42"/>
        <v>43921</v>
      </c>
      <c r="E127" s="81">
        <f t="shared" si="36"/>
        <v>91</v>
      </c>
      <c r="F127" s="83">
        <f>VLOOKUP(D127,'FERC Interest Rate'!$A:$B,2,TRUE)</f>
        <v>6.2501040000000008E-2</v>
      </c>
      <c r="G127" s="84">
        <f t="shared" si="37"/>
        <v>467.88613656011125</v>
      </c>
      <c r="H127" s="84">
        <v>0</v>
      </c>
      <c r="I127" s="109">
        <f t="shared" si="44"/>
        <v>8.0992064207434815</v>
      </c>
      <c r="J127" s="85">
        <f t="shared" si="45"/>
        <v>7.2708925749442539</v>
      </c>
      <c r="K127" s="129">
        <f t="shared" si="38"/>
        <v>15.370098995687735</v>
      </c>
      <c r="L127" s="85">
        <f t="shared" si="46"/>
        <v>85.478020891278817</v>
      </c>
      <c r="M127" s="130">
        <f t="shared" si="39"/>
        <v>100.84811988696656</v>
      </c>
      <c r="N127" s="8">
        <f t="shared" si="40"/>
        <v>475.1570291350555</v>
      </c>
      <c r="O127" s="84">
        <f t="shared" si="35"/>
        <v>374.30890924808898</v>
      </c>
    </row>
    <row r="128" spans="1:15" x14ac:dyDescent="0.2">
      <c r="A128" s="96" t="s">
        <v>70</v>
      </c>
      <c r="B128" s="81" t="str">
        <f t="shared" si="43"/>
        <v>Q2/2020</v>
      </c>
      <c r="C128" s="82">
        <f t="shared" si="41"/>
        <v>43922</v>
      </c>
      <c r="D128" s="82">
        <f t="shared" si="42"/>
        <v>44012</v>
      </c>
      <c r="E128" s="81">
        <f t="shared" si="36"/>
        <v>91</v>
      </c>
      <c r="F128" s="83">
        <f>VLOOKUP(D128,'FERC Interest Rate'!$A:$B,2,TRUE)</f>
        <v>6.3055559999999997E-2</v>
      </c>
      <c r="G128" s="84">
        <f t="shared" si="37"/>
        <v>374.30890924808898</v>
      </c>
      <c r="H128" s="84">
        <v>0</v>
      </c>
      <c r="I128" s="109">
        <f t="shared" si="44"/>
        <v>8.0992064207434815</v>
      </c>
      <c r="J128" s="85">
        <f t="shared" si="45"/>
        <v>5.86832094970518</v>
      </c>
      <c r="K128" s="129">
        <f t="shared" si="38"/>
        <v>13.967527370448661</v>
      </c>
      <c r="L128" s="85">
        <f t="shared" si="46"/>
        <v>85.478020891278817</v>
      </c>
      <c r="M128" s="130">
        <f t="shared" si="39"/>
        <v>99.445548261727481</v>
      </c>
      <c r="N128" s="8">
        <f t="shared" si="40"/>
        <v>380.17723019779419</v>
      </c>
      <c r="O128" s="84">
        <f t="shared" si="35"/>
        <v>280.73168193606671</v>
      </c>
    </row>
    <row r="129" spans="1:15" x14ac:dyDescent="0.2">
      <c r="A129" s="96" t="s">
        <v>71</v>
      </c>
      <c r="B129" s="81" t="str">
        <f>+IF(MONTH(C129)&lt;4,"Q1",IF(MONTH(C129)&lt;7,"Q2",IF(MONTH(C129)&lt;10,"Q3","Q4")))&amp;"/"&amp;YEAR(C129)</f>
        <v>Q3/2020</v>
      </c>
      <c r="C129" s="82">
        <f t="shared" si="41"/>
        <v>44013</v>
      </c>
      <c r="D129" s="82">
        <f t="shared" si="42"/>
        <v>44104</v>
      </c>
      <c r="E129" s="81">
        <f t="shared" si="36"/>
        <v>92</v>
      </c>
      <c r="F129" s="83">
        <f>VLOOKUP(D129,'FERC Interest Rate'!$A:$B,2,TRUE)</f>
        <v>6.5000000000000002E-2</v>
      </c>
      <c r="G129" s="84">
        <f t="shared" si="37"/>
        <v>280.73168193606671</v>
      </c>
      <c r="H129" s="84">
        <v>0</v>
      </c>
      <c r="I129" s="109">
        <f t="shared" si="44"/>
        <v>8.0992064207434815</v>
      </c>
      <c r="J129" s="85">
        <f t="shared" si="45"/>
        <v>4.5868181911958441</v>
      </c>
      <c r="K129" s="129">
        <f t="shared" si="38"/>
        <v>12.686024611939326</v>
      </c>
      <c r="L129" s="85">
        <f t="shared" si="46"/>
        <v>85.478020891278817</v>
      </c>
      <c r="M129" s="130">
        <f t="shared" si="39"/>
        <v>98.164045503218148</v>
      </c>
      <c r="N129" s="8">
        <f t="shared" si="40"/>
        <v>285.31850012726255</v>
      </c>
      <c r="O129" s="84">
        <f t="shared" si="35"/>
        <v>187.1544546240444</v>
      </c>
    </row>
    <row r="130" spans="1:15" x14ac:dyDescent="0.2">
      <c r="A130" s="96" t="s">
        <v>72</v>
      </c>
      <c r="B130" s="81" t="str">
        <f>+IF(MONTH(C130)&lt;4,"Q1",IF(MONTH(C130)&lt;7,"Q2",IF(MONTH(C130)&lt;10,"Q3","Q4")))&amp;"/"&amp;YEAR(C130)</f>
        <v>Q4/2020</v>
      </c>
      <c r="C130" s="82">
        <f t="shared" si="41"/>
        <v>44105</v>
      </c>
      <c r="D130" s="82">
        <f t="shared" si="42"/>
        <v>44196</v>
      </c>
      <c r="E130" s="81">
        <f t="shared" si="36"/>
        <v>92</v>
      </c>
      <c r="F130" s="83">
        <f>VLOOKUP(D130,'FERC Interest Rate'!$A:$B,2,TRUE)</f>
        <v>6.5000000000000002E-2</v>
      </c>
      <c r="G130" s="84">
        <f t="shared" si="37"/>
        <v>187.1544546240444</v>
      </c>
      <c r="H130" s="84">
        <v>0</v>
      </c>
      <c r="I130" s="109">
        <f t="shared" si="44"/>
        <v>8.0992064207434815</v>
      </c>
      <c r="J130" s="85">
        <f t="shared" si="45"/>
        <v>3.0578787941305614</v>
      </c>
      <c r="K130" s="129">
        <f t="shared" si="38"/>
        <v>11.157085214874042</v>
      </c>
      <c r="L130" s="85">
        <f t="shared" si="46"/>
        <v>85.478020891278817</v>
      </c>
      <c r="M130" s="130">
        <f t="shared" si="39"/>
        <v>96.635106106152861</v>
      </c>
      <c r="N130" s="8">
        <f t="shared" si="40"/>
        <v>190.21233341817498</v>
      </c>
      <c r="O130" s="84">
        <f t="shared" si="35"/>
        <v>93.577227312022103</v>
      </c>
    </row>
    <row r="131" spans="1:15" x14ac:dyDescent="0.2">
      <c r="A131" s="96" t="s">
        <v>73</v>
      </c>
      <c r="B131" s="81" t="str">
        <f>+IF(MONTH(C131)&lt;4,"Q1",IF(MONTH(C131)&lt;7,"Q2",IF(MONTH(C131)&lt;10,"Q3","Q4")))&amp;"/"&amp;YEAR(C131)</f>
        <v>Q1/2021</v>
      </c>
      <c r="C131" s="82">
        <f t="shared" si="41"/>
        <v>44197</v>
      </c>
      <c r="D131" s="82">
        <f t="shared" si="42"/>
        <v>44286</v>
      </c>
      <c r="E131" s="81">
        <f t="shared" si="36"/>
        <v>90</v>
      </c>
      <c r="F131" s="83">
        <f>VLOOKUP(D131,'FERC Interest Rate'!$A:$B,2,TRUE)</f>
        <v>6.5000000000000002E-2</v>
      </c>
      <c r="G131" s="84">
        <f t="shared" si="37"/>
        <v>93.577227312022103</v>
      </c>
      <c r="H131" s="84">
        <v>0</v>
      </c>
      <c r="I131" s="109">
        <f t="shared" si="44"/>
        <v>8.0992064207434815</v>
      </c>
      <c r="J131" s="85">
        <f t="shared" si="45"/>
        <v>1.4997993966447378</v>
      </c>
      <c r="K131" s="129">
        <f t="shared" si="38"/>
        <v>9.5990058173882193</v>
      </c>
      <c r="L131" s="85">
        <f t="shared" si="46"/>
        <v>85.478020891278817</v>
      </c>
      <c r="M131" s="130">
        <f t="shared" si="39"/>
        <v>95.077026708667034</v>
      </c>
      <c r="N131" s="8">
        <f t="shared" si="40"/>
        <v>95.077026708666835</v>
      </c>
      <c r="O131" s="84">
        <f t="shared" si="35"/>
        <v>-1.9539925233402755E-13</v>
      </c>
    </row>
    <row r="132" spans="1:15" x14ac:dyDescent="0.2">
      <c r="A132" s="96"/>
      <c r="B132" s="81"/>
      <c r="C132" s="82"/>
      <c r="D132" s="82"/>
      <c r="E132" s="81"/>
      <c r="F132" s="83"/>
      <c r="G132" s="84"/>
      <c r="H132" s="84"/>
      <c r="I132" s="109"/>
      <c r="J132" s="85"/>
      <c r="K132" s="129"/>
      <c r="L132" s="85"/>
      <c r="M132" s="130"/>
      <c r="N132" s="8"/>
      <c r="O132" s="84"/>
    </row>
    <row r="133" spans="1:15" ht="13.5" thickBot="1" x14ac:dyDescent="0.25">
      <c r="A133" s="151"/>
      <c r="B133" s="152"/>
      <c r="C133" s="153"/>
      <c r="D133" s="153"/>
      <c r="E133" s="154"/>
      <c r="F133" s="152"/>
      <c r="G133" s="137">
        <f>SUM(G105:G132)</f>
        <v>32306.463264810656</v>
      </c>
      <c r="H133" s="137">
        <f>SUM(H105:H132)</f>
        <v>161.98412841486962</v>
      </c>
      <c r="I133" s="138">
        <f t="shared" ref="I133:O133" si="47">SUM(I105:I132)</f>
        <v>161.98412841486967</v>
      </c>
      <c r="J133" s="137">
        <f t="shared" si="47"/>
        <v>171.53688933054039</v>
      </c>
      <c r="K133" s="137">
        <f t="shared" si="47"/>
        <v>333.52101774540995</v>
      </c>
      <c r="L133" s="137">
        <f t="shared" si="47"/>
        <v>1709.5604178255769</v>
      </c>
      <c r="M133" s="139">
        <f t="shared" si="47"/>
        <v>2043.0814355709861</v>
      </c>
      <c r="N133" s="137">
        <f t="shared" si="47"/>
        <v>32639.984282556055</v>
      </c>
      <c r="O133" s="137">
        <f t="shared" si="47"/>
        <v>30596.902846985082</v>
      </c>
    </row>
    <row r="134" spans="1:15" ht="13.5" thickTop="1" x14ac:dyDescent="0.2">
      <c r="B134" s="117"/>
      <c r="C134" s="117"/>
      <c r="D134" s="117"/>
      <c r="E134" s="117"/>
      <c r="F134" s="117"/>
      <c r="G134" s="117"/>
      <c r="H134" s="117"/>
      <c r="I134" s="116"/>
      <c r="J134" s="117"/>
      <c r="K134" s="117"/>
      <c r="L134" s="117"/>
      <c r="M134" s="131"/>
      <c r="O134" s="117"/>
    </row>
    <row r="135" spans="1:15" ht="38.25" x14ac:dyDescent="0.2">
      <c r="A135" s="90" t="s">
        <v>53</v>
      </c>
      <c r="B135" s="90" t="s">
        <v>3</v>
      </c>
      <c r="C135" s="90" t="s">
        <v>4</v>
      </c>
      <c r="D135" s="90" t="s">
        <v>5</v>
      </c>
      <c r="E135" s="90" t="s">
        <v>6</v>
      </c>
      <c r="F135" s="90" t="s">
        <v>7</v>
      </c>
      <c r="G135" s="90" t="s">
        <v>93</v>
      </c>
      <c r="H135" s="90" t="s">
        <v>94</v>
      </c>
      <c r="I135" s="105" t="s">
        <v>95</v>
      </c>
      <c r="J135" s="106" t="s">
        <v>96</v>
      </c>
      <c r="K135" s="106" t="s">
        <v>97</v>
      </c>
      <c r="L135" s="106" t="s">
        <v>98</v>
      </c>
      <c r="M135" s="107" t="s">
        <v>99</v>
      </c>
      <c r="N135" s="90" t="s">
        <v>100</v>
      </c>
      <c r="O135" s="90" t="s">
        <v>101</v>
      </c>
    </row>
    <row r="136" spans="1:15" x14ac:dyDescent="0.2">
      <c r="A136" s="309" t="s">
        <v>15</v>
      </c>
      <c r="B136" s="309"/>
      <c r="C136" s="282">
        <f>VLOOKUP(B137,A$1:F$19,2,FALSE)</f>
        <v>41873</v>
      </c>
      <c r="D136" s="282">
        <f>DATE(YEAR(C136),IF(MONTH(C136)&lt;=3,3,IF(MONTH(C136)&lt;=6,6,IF(MONTH(C136)&lt;=9,9,12))),IF(OR(MONTH(C136)&lt;=3,MONTH(C136)&gt;=10),31,30))</f>
        <v>41912</v>
      </c>
      <c r="E136" s="283">
        <f>D136-C136+1</f>
        <v>40</v>
      </c>
      <c r="F136" s="284">
        <f>VLOOKUP(D136,'FERC Interest Rate'!$A:$B,2,TRUE)</f>
        <v>3.2500000000000001E-2</v>
      </c>
      <c r="G136" s="167">
        <f>VLOOKUP(B137,$A$1:$F$19,5,FALSE)</f>
        <v>3018.2349959824464</v>
      </c>
      <c r="H136" s="167">
        <f t="shared" ref="H136:H146" si="48">G136*F136*(E136/(DATE(YEAR(D136),12,31)-DATE(YEAR(D136),1,1)+1))</f>
        <v>10.749878067882685</v>
      </c>
      <c r="I136" s="291">
        <v>0</v>
      </c>
      <c r="J136" s="286">
        <v>0</v>
      </c>
      <c r="K136" s="288">
        <f t="shared" ref="K136:K161" si="49">+SUM(I136:J136)</f>
        <v>0</v>
      </c>
      <c r="L136" s="286">
        <v>0</v>
      </c>
      <c r="M136" s="289">
        <f t="shared" ref="M136:M161" si="50">+SUM(K136:L136)</f>
        <v>0</v>
      </c>
      <c r="N136" s="290">
        <f t="shared" ref="N136:N161" si="51">+G136+H136+J136</f>
        <v>3028.9848740503289</v>
      </c>
      <c r="O136" s="167">
        <f t="shared" ref="O136:O161" si="52">G136+H136-L136-I136</f>
        <v>3028.9848740503289</v>
      </c>
    </row>
    <row r="137" spans="1:15" x14ac:dyDescent="0.2">
      <c r="A137" s="275" t="s">
        <v>38</v>
      </c>
      <c r="B137" s="276" t="s">
        <v>56</v>
      </c>
      <c r="C137" s="282">
        <f>D136+1</f>
        <v>41913</v>
      </c>
      <c r="D137" s="282">
        <f>EOMONTH(D136,3)</f>
        <v>42004</v>
      </c>
      <c r="E137" s="283">
        <f t="shared" ref="E137:E161" si="53">D137-C137+1</f>
        <v>92</v>
      </c>
      <c r="F137" s="284">
        <f>VLOOKUP(D137,'FERC Interest Rate'!$A:$B,2,TRUE)</f>
        <v>3.2500000000000001E-2</v>
      </c>
      <c r="G137" s="167">
        <f t="shared" ref="G137:G161" si="54">O136</f>
        <v>3028.9848740503289</v>
      </c>
      <c r="H137" s="167">
        <f t="shared" si="48"/>
        <v>24.812780201124614</v>
      </c>
      <c r="I137" s="291">
        <v>0</v>
      </c>
      <c r="J137" s="286">
        <v>0</v>
      </c>
      <c r="K137" s="288">
        <f t="shared" si="49"/>
        <v>0</v>
      </c>
      <c r="L137" s="286">
        <v>0</v>
      </c>
      <c r="M137" s="289">
        <f t="shared" si="50"/>
        <v>0</v>
      </c>
      <c r="N137" s="290">
        <f t="shared" si="51"/>
        <v>3053.7976542514534</v>
      </c>
      <c r="O137" s="167">
        <f t="shared" si="52"/>
        <v>3053.7976542514534</v>
      </c>
    </row>
    <row r="138" spans="1:15" x14ac:dyDescent="0.2">
      <c r="B138" s="283"/>
      <c r="C138" s="282">
        <f t="shared" ref="C138:C161" si="55">D137+1</f>
        <v>42005</v>
      </c>
      <c r="D138" s="282">
        <f t="shared" ref="D138:D162" si="56">EOMONTH(D137,3)</f>
        <v>42094</v>
      </c>
      <c r="E138" s="283">
        <f t="shared" si="53"/>
        <v>90</v>
      </c>
      <c r="F138" s="284">
        <f>VLOOKUP(D138,'FERC Interest Rate'!$A:$B,2,TRUE)</f>
        <v>3.2500000000000001E-2</v>
      </c>
      <c r="G138" s="167">
        <f t="shared" si="54"/>
        <v>3053.7976542514534</v>
      </c>
      <c r="H138" s="167">
        <f t="shared" si="48"/>
        <v>24.472214078590415</v>
      </c>
      <c r="I138" s="291">
        <v>0</v>
      </c>
      <c r="J138" s="286">
        <v>0</v>
      </c>
      <c r="K138" s="288">
        <f t="shared" si="49"/>
        <v>0</v>
      </c>
      <c r="L138" s="286">
        <v>0</v>
      </c>
      <c r="M138" s="289">
        <f t="shared" si="50"/>
        <v>0</v>
      </c>
      <c r="N138" s="290">
        <f t="shared" si="51"/>
        <v>3078.2698683300437</v>
      </c>
      <c r="O138" s="167">
        <f t="shared" si="52"/>
        <v>3078.2698683300437</v>
      </c>
    </row>
    <row r="139" spans="1:15" x14ac:dyDescent="0.2">
      <c r="B139" s="283"/>
      <c r="C139" s="282">
        <f t="shared" si="55"/>
        <v>42095</v>
      </c>
      <c r="D139" s="282">
        <f t="shared" si="56"/>
        <v>42185</v>
      </c>
      <c r="E139" s="283">
        <f t="shared" si="53"/>
        <v>91</v>
      </c>
      <c r="F139" s="284">
        <f>VLOOKUP(D139,'FERC Interest Rate'!$A:$B,2,TRUE)</f>
        <v>3.2500000000000001E-2</v>
      </c>
      <c r="G139" s="167">
        <f t="shared" si="54"/>
        <v>3078.2698683300437</v>
      </c>
      <c r="H139" s="167">
        <f t="shared" si="48"/>
        <v>24.942419549550973</v>
      </c>
      <c r="I139" s="291">
        <v>0</v>
      </c>
      <c r="J139" s="286">
        <v>0</v>
      </c>
      <c r="K139" s="288">
        <f t="shared" si="49"/>
        <v>0</v>
      </c>
      <c r="L139" s="286">
        <v>0</v>
      </c>
      <c r="M139" s="289">
        <f t="shared" si="50"/>
        <v>0</v>
      </c>
      <c r="N139" s="290">
        <f t="shared" si="51"/>
        <v>3103.2122878795944</v>
      </c>
      <c r="O139" s="167">
        <f t="shared" si="52"/>
        <v>3103.2122878795944</v>
      </c>
    </row>
    <row r="140" spans="1:15" x14ac:dyDescent="0.2">
      <c r="B140" s="283"/>
      <c r="C140" s="282">
        <f t="shared" si="55"/>
        <v>42186</v>
      </c>
      <c r="D140" s="282">
        <f t="shared" si="56"/>
        <v>42277</v>
      </c>
      <c r="E140" s="283">
        <f t="shared" si="53"/>
        <v>92</v>
      </c>
      <c r="F140" s="284">
        <f>VLOOKUP(D140,'FERC Interest Rate'!$A:$B,2,TRUE)</f>
        <v>3.2500000000000001E-2</v>
      </c>
      <c r="G140" s="167">
        <f t="shared" si="54"/>
        <v>3103.2122878795944</v>
      </c>
      <c r="H140" s="167">
        <f t="shared" si="48"/>
        <v>25.420834906191747</v>
      </c>
      <c r="I140" s="291">
        <v>0</v>
      </c>
      <c r="J140" s="286">
        <v>0</v>
      </c>
      <c r="K140" s="288">
        <f t="shared" si="49"/>
        <v>0</v>
      </c>
      <c r="L140" s="286">
        <v>0</v>
      </c>
      <c r="M140" s="289">
        <f t="shared" si="50"/>
        <v>0</v>
      </c>
      <c r="N140" s="290">
        <f t="shared" si="51"/>
        <v>3128.6331227857863</v>
      </c>
      <c r="O140" s="167">
        <f t="shared" si="52"/>
        <v>3128.6331227857863</v>
      </c>
    </row>
    <row r="141" spans="1:15" x14ac:dyDescent="0.2">
      <c r="B141" s="283"/>
      <c r="C141" s="282">
        <f t="shared" si="55"/>
        <v>42278</v>
      </c>
      <c r="D141" s="282">
        <f t="shared" si="56"/>
        <v>42369</v>
      </c>
      <c r="E141" s="283">
        <f t="shared" si="53"/>
        <v>92</v>
      </c>
      <c r="F141" s="284">
        <f>VLOOKUP(D141,'FERC Interest Rate'!$A:$B,2,TRUE)</f>
        <v>3.2500000000000001E-2</v>
      </c>
      <c r="G141" s="167">
        <f t="shared" si="54"/>
        <v>3128.6331227857863</v>
      </c>
      <c r="H141" s="167">
        <f t="shared" si="48"/>
        <v>25.62907681405343</v>
      </c>
      <c r="I141" s="291">
        <v>0</v>
      </c>
      <c r="J141" s="286">
        <v>0</v>
      </c>
      <c r="K141" s="288">
        <f t="shared" si="49"/>
        <v>0</v>
      </c>
      <c r="L141" s="286">
        <v>0</v>
      </c>
      <c r="M141" s="289">
        <f t="shared" si="50"/>
        <v>0</v>
      </c>
      <c r="N141" s="290">
        <f t="shared" si="51"/>
        <v>3154.2621995998397</v>
      </c>
      <c r="O141" s="167">
        <f t="shared" si="52"/>
        <v>3154.2621995998397</v>
      </c>
    </row>
    <row r="142" spans="1:15" x14ac:dyDescent="0.2">
      <c r="B142" s="81"/>
      <c r="C142" s="282">
        <f t="shared" si="55"/>
        <v>42370</v>
      </c>
      <c r="D142" s="282">
        <f t="shared" si="56"/>
        <v>42460</v>
      </c>
      <c r="E142" s="283">
        <f t="shared" si="53"/>
        <v>91</v>
      </c>
      <c r="F142" s="284">
        <f>VLOOKUP(D142,'FERC Interest Rate'!$A:$B,2,TRUE)</f>
        <v>3.2500000000000001E-2</v>
      </c>
      <c r="G142" s="167">
        <f t="shared" si="54"/>
        <v>3154.2621995998397</v>
      </c>
      <c r="H142" s="167">
        <f t="shared" si="48"/>
        <v>25.488334577367556</v>
      </c>
      <c r="I142" s="291">
        <v>0</v>
      </c>
      <c r="J142" s="286">
        <v>0</v>
      </c>
      <c r="K142" s="288">
        <f t="shared" si="49"/>
        <v>0</v>
      </c>
      <c r="L142" s="286">
        <v>0</v>
      </c>
      <c r="M142" s="289">
        <f t="shared" si="50"/>
        <v>0</v>
      </c>
      <c r="N142" s="290">
        <f t="shared" si="51"/>
        <v>3179.7505341772071</v>
      </c>
      <c r="O142" s="167">
        <f t="shared" si="52"/>
        <v>3179.7505341772071</v>
      </c>
    </row>
    <row r="143" spans="1:15" x14ac:dyDescent="0.2">
      <c r="A143" s="96"/>
      <c r="B143" s="81"/>
      <c r="C143" s="82">
        <f t="shared" si="55"/>
        <v>42461</v>
      </c>
      <c r="D143" s="82">
        <f t="shared" si="56"/>
        <v>42551</v>
      </c>
      <c r="E143" s="81">
        <f t="shared" si="53"/>
        <v>91</v>
      </c>
      <c r="F143" s="83">
        <f>VLOOKUP(D143,'FERC Interest Rate'!$A:$B,2,TRUE)</f>
        <v>3.4599999999999999E-2</v>
      </c>
      <c r="G143" s="84">
        <f t="shared" si="54"/>
        <v>3179.7505341772071</v>
      </c>
      <c r="H143" s="167">
        <f t="shared" si="48"/>
        <v>27.354542436913537</v>
      </c>
      <c r="I143" s="109">
        <v>0</v>
      </c>
      <c r="J143" s="286">
        <v>0</v>
      </c>
      <c r="K143" s="129">
        <f t="shared" si="49"/>
        <v>0</v>
      </c>
      <c r="L143" s="85">
        <v>0</v>
      </c>
      <c r="M143" s="130">
        <f t="shared" si="50"/>
        <v>0</v>
      </c>
      <c r="N143" s="8">
        <f t="shared" si="51"/>
        <v>3207.1050766141207</v>
      </c>
      <c r="O143" s="84">
        <f t="shared" si="52"/>
        <v>3207.1050766141207</v>
      </c>
    </row>
    <row r="144" spans="1:15" x14ac:dyDescent="0.2">
      <c r="A144" s="96"/>
      <c r="B144" s="81"/>
      <c r="C144" s="82">
        <f t="shared" si="55"/>
        <v>42552</v>
      </c>
      <c r="D144" s="82">
        <f t="shared" si="56"/>
        <v>42643</v>
      </c>
      <c r="E144" s="81">
        <f t="shared" si="53"/>
        <v>92</v>
      </c>
      <c r="F144" s="83">
        <f>VLOOKUP(D144,'FERC Interest Rate'!$A:$B,2,TRUE)</f>
        <v>3.5000000000000003E-2</v>
      </c>
      <c r="G144" s="84">
        <f t="shared" si="54"/>
        <v>3207.1050766141207</v>
      </c>
      <c r="H144" s="84">
        <f t="shared" si="48"/>
        <v>28.215514608463032</v>
      </c>
      <c r="I144" s="109">
        <v>0</v>
      </c>
      <c r="J144" s="85">
        <v>0</v>
      </c>
      <c r="K144" s="129">
        <f t="shared" si="49"/>
        <v>0</v>
      </c>
      <c r="L144" s="85">
        <v>0</v>
      </c>
      <c r="M144" s="130">
        <f t="shared" si="50"/>
        <v>0</v>
      </c>
      <c r="N144" s="8">
        <f t="shared" si="51"/>
        <v>3235.3205912225835</v>
      </c>
      <c r="O144" s="84">
        <f t="shared" si="52"/>
        <v>3235.3205912225835</v>
      </c>
    </row>
    <row r="145" spans="1:15" x14ac:dyDescent="0.2">
      <c r="A145" s="96"/>
      <c r="B145" s="81"/>
      <c r="C145" s="82">
        <f t="shared" si="55"/>
        <v>42644</v>
      </c>
      <c r="D145" s="82">
        <f t="shared" si="56"/>
        <v>42735</v>
      </c>
      <c r="E145" s="81">
        <f t="shared" si="53"/>
        <v>92</v>
      </c>
      <c r="F145" s="83">
        <f>VLOOKUP(D145,'FERC Interest Rate'!$A:$B,2,TRUE)</f>
        <v>3.5000000000000003E-2</v>
      </c>
      <c r="G145" s="84">
        <f t="shared" si="54"/>
        <v>3235.3205912225835</v>
      </c>
      <c r="H145" s="84">
        <f t="shared" si="48"/>
        <v>28.46374946376153</v>
      </c>
      <c r="I145" s="109">
        <v>0</v>
      </c>
      <c r="J145" s="85">
        <v>0</v>
      </c>
      <c r="K145" s="129">
        <f t="shared" si="49"/>
        <v>0</v>
      </c>
      <c r="L145" s="85">
        <v>0</v>
      </c>
      <c r="M145" s="130">
        <f t="shared" si="50"/>
        <v>0</v>
      </c>
      <c r="N145" s="8">
        <f t="shared" si="51"/>
        <v>3263.7843406863449</v>
      </c>
      <c r="O145" s="84">
        <f t="shared" si="52"/>
        <v>3263.7843406863449</v>
      </c>
    </row>
    <row r="146" spans="1:15" x14ac:dyDescent="0.2">
      <c r="A146" s="96" t="s">
        <v>102</v>
      </c>
      <c r="B146" s="81" t="str">
        <f t="shared" ref="B146:B159" si="57">+IF(MONTH(C146)&lt;4,"Q1",IF(MONTH(C146)&lt;7,"Q2",IF(MONTH(C146)&lt;10,"Q3","Q4")))&amp;"/"&amp;YEAR(C146)</f>
        <v>Q1/2017</v>
      </c>
      <c r="C146" s="82">
        <f t="shared" si="55"/>
        <v>42736</v>
      </c>
      <c r="D146" s="82">
        <f t="shared" si="56"/>
        <v>42825</v>
      </c>
      <c r="E146" s="81">
        <f t="shared" si="53"/>
        <v>90</v>
      </c>
      <c r="F146" s="83">
        <f>VLOOKUP(D146,'FERC Interest Rate'!$A:$B,2,TRUE)</f>
        <v>3.5000000000000003E-2</v>
      </c>
      <c r="G146" s="84">
        <f t="shared" si="54"/>
        <v>3263.7843406863449</v>
      </c>
      <c r="H146" s="84">
        <f t="shared" si="48"/>
        <v>28.166905953868458</v>
      </c>
      <c r="I146" s="109">
        <f>SUM($H$136:$H$163)/20*4</f>
        <v>54.743250131553602</v>
      </c>
      <c r="J146" s="85">
        <f t="shared" ref="J146:J162" si="58">G146*F146*(E146/(DATE(YEAR(D146),12,31)-DATE(YEAR(D146),1,1)+1))</f>
        <v>28.166905953868458</v>
      </c>
      <c r="K146" s="129">
        <f t="shared" si="49"/>
        <v>82.910156085422059</v>
      </c>
      <c r="L146" s="85">
        <f>VLOOKUP($B$137,A$1:F$19,5,FALSE)/20*4</f>
        <v>603.64699919648933</v>
      </c>
      <c r="M146" s="130">
        <f t="shared" si="50"/>
        <v>686.55715528191138</v>
      </c>
      <c r="N146" s="8">
        <f t="shared" si="51"/>
        <v>3320.1181525940819</v>
      </c>
      <c r="O146" s="84">
        <f t="shared" si="52"/>
        <v>2633.5609973121709</v>
      </c>
    </row>
    <row r="147" spans="1:15" x14ac:dyDescent="0.2">
      <c r="A147" s="96" t="s">
        <v>58</v>
      </c>
      <c r="B147" s="81" t="str">
        <f t="shared" si="57"/>
        <v>Q2/2017</v>
      </c>
      <c r="C147" s="82">
        <f t="shared" si="55"/>
        <v>42826</v>
      </c>
      <c r="D147" s="82">
        <f t="shared" si="56"/>
        <v>42916</v>
      </c>
      <c r="E147" s="81">
        <f t="shared" si="53"/>
        <v>91</v>
      </c>
      <c r="F147" s="83">
        <f>VLOOKUP(D147,'FERC Interest Rate'!$A:$B,2,TRUE)</f>
        <v>3.7100000000000001E-2</v>
      </c>
      <c r="G147" s="84">
        <f t="shared" si="54"/>
        <v>2633.5609973121709</v>
      </c>
      <c r="H147" s="84">
        <v>0</v>
      </c>
      <c r="I147" s="109">
        <f t="shared" ref="I147:I162" si="59">SUM($H$136:$H$163)/20</f>
        <v>13.6858125328884</v>
      </c>
      <c r="J147" s="85">
        <f t="shared" si="58"/>
        <v>24.359356939796221</v>
      </c>
      <c r="K147" s="129">
        <f t="shared" si="49"/>
        <v>38.04516947268462</v>
      </c>
      <c r="L147" s="85">
        <f t="shared" ref="L147:L162" si="60">VLOOKUP($B$137,A$1:F$19,5,FALSE)/20</f>
        <v>150.91174979912233</v>
      </c>
      <c r="M147" s="130">
        <f t="shared" si="50"/>
        <v>188.95691927180695</v>
      </c>
      <c r="N147" s="8">
        <f t="shared" si="51"/>
        <v>2657.9203542519672</v>
      </c>
      <c r="O147" s="84">
        <f t="shared" si="52"/>
        <v>2468.9634349801599</v>
      </c>
    </row>
    <row r="148" spans="1:15" x14ac:dyDescent="0.2">
      <c r="A148" s="96" t="s">
        <v>59</v>
      </c>
      <c r="B148" s="81" t="str">
        <f t="shared" si="57"/>
        <v>Q3/2017</v>
      </c>
      <c r="C148" s="82">
        <f t="shared" si="55"/>
        <v>42917</v>
      </c>
      <c r="D148" s="82">
        <f t="shared" si="56"/>
        <v>43008</v>
      </c>
      <c r="E148" s="81">
        <f t="shared" si="53"/>
        <v>92</v>
      </c>
      <c r="F148" s="83">
        <f>VLOOKUP(D148,'FERC Interest Rate'!$A:$B,2,TRUE)</f>
        <v>3.9600000000000003E-2</v>
      </c>
      <c r="G148" s="84">
        <f t="shared" si="54"/>
        <v>2468.9634349801599</v>
      </c>
      <c r="H148" s="84">
        <v>0</v>
      </c>
      <c r="I148" s="109">
        <f t="shared" si="59"/>
        <v>13.6858125328884</v>
      </c>
      <c r="J148" s="85">
        <f t="shared" si="58"/>
        <v>24.643637222793753</v>
      </c>
      <c r="K148" s="129">
        <f t="shared" si="49"/>
        <v>38.329449755682155</v>
      </c>
      <c r="L148" s="85">
        <f t="shared" si="60"/>
        <v>150.91174979912233</v>
      </c>
      <c r="M148" s="130">
        <f t="shared" si="50"/>
        <v>189.2411995548045</v>
      </c>
      <c r="N148" s="8">
        <f t="shared" si="51"/>
        <v>2493.6070722029535</v>
      </c>
      <c r="O148" s="84">
        <f t="shared" si="52"/>
        <v>2304.365872648149</v>
      </c>
    </row>
    <row r="149" spans="1:15" x14ac:dyDescent="0.2">
      <c r="A149" s="96" t="s">
        <v>60</v>
      </c>
      <c r="B149" s="81" t="str">
        <f t="shared" si="57"/>
        <v>Q4/2017</v>
      </c>
      <c r="C149" s="82">
        <f t="shared" si="55"/>
        <v>43009</v>
      </c>
      <c r="D149" s="82">
        <f t="shared" si="56"/>
        <v>43100</v>
      </c>
      <c r="E149" s="81">
        <f t="shared" si="53"/>
        <v>92</v>
      </c>
      <c r="F149" s="83">
        <f>VLOOKUP(D149,'FERC Interest Rate'!$A:$B,2,TRUE)</f>
        <v>4.2099999999999999E-2</v>
      </c>
      <c r="G149" s="84">
        <f t="shared" si="54"/>
        <v>2304.365872648149</v>
      </c>
      <c r="H149" s="84">
        <v>0</v>
      </c>
      <c r="I149" s="109">
        <f t="shared" si="59"/>
        <v>13.6858125328884</v>
      </c>
      <c r="J149" s="85">
        <f t="shared" si="58"/>
        <v>24.452794240933731</v>
      </c>
      <c r="K149" s="129">
        <f t="shared" si="49"/>
        <v>38.138606773822133</v>
      </c>
      <c r="L149" s="85">
        <f t="shared" si="60"/>
        <v>150.91174979912233</v>
      </c>
      <c r="M149" s="130">
        <f t="shared" si="50"/>
        <v>189.05035657294445</v>
      </c>
      <c r="N149" s="8">
        <f t="shared" si="51"/>
        <v>2328.8186668890826</v>
      </c>
      <c r="O149" s="84">
        <f t="shared" si="52"/>
        <v>2139.768310316138</v>
      </c>
    </row>
    <row r="150" spans="1:15" x14ac:dyDescent="0.2">
      <c r="A150" s="96" t="s">
        <v>61</v>
      </c>
      <c r="B150" s="81" t="str">
        <f t="shared" si="57"/>
        <v>Q1/2018</v>
      </c>
      <c r="C150" s="82">
        <f t="shared" si="55"/>
        <v>43101</v>
      </c>
      <c r="D150" s="82">
        <f t="shared" si="56"/>
        <v>43190</v>
      </c>
      <c r="E150" s="81">
        <f t="shared" si="53"/>
        <v>90</v>
      </c>
      <c r="F150" s="83">
        <f>VLOOKUP(D150,'FERC Interest Rate'!$A:$B,2,TRUE)</f>
        <v>4.2500000000000003E-2</v>
      </c>
      <c r="G150" s="84">
        <f t="shared" si="54"/>
        <v>2139.768310316138</v>
      </c>
      <c r="H150" s="84">
        <v>0</v>
      </c>
      <c r="I150" s="109">
        <f t="shared" si="59"/>
        <v>13.6858125328884</v>
      </c>
      <c r="J150" s="85">
        <f t="shared" si="58"/>
        <v>22.423599416326653</v>
      </c>
      <c r="K150" s="129">
        <f t="shared" si="49"/>
        <v>36.109411949215051</v>
      </c>
      <c r="L150" s="85">
        <f t="shared" si="60"/>
        <v>150.91174979912233</v>
      </c>
      <c r="M150" s="130">
        <f t="shared" si="50"/>
        <v>187.02116174833739</v>
      </c>
      <c r="N150" s="8">
        <f t="shared" si="51"/>
        <v>2162.1919097324649</v>
      </c>
      <c r="O150" s="84">
        <f t="shared" si="52"/>
        <v>1975.1707479841273</v>
      </c>
    </row>
    <row r="151" spans="1:15" x14ac:dyDescent="0.2">
      <c r="A151" s="96" t="s">
        <v>62</v>
      </c>
      <c r="B151" s="81" t="str">
        <f t="shared" si="57"/>
        <v>Q2/2018</v>
      </c>
      <c r="C151" s="82">
        <f t="shared" si="55"/>
        <v>43191</v>
      </c>
      <c r="D151" s="82">
        <f t="shared" si="56"/>
        <v>43281</v>
      </c>
      <c r="E151" s="81">
        <f t="shared" si="53"/>
        <v>91</v>
      </c>
      <c r="F151" s="83">
        <f>VLOOKUP(D151,'FERC Interest Rate'!$A:$B,2,TRUE)</f>
        <v>4.4699999999999997E-2</v>
      </c>
      <c r="G151" s="84">
        <f t="shared" si="54"/>
        <v>1975.1707479841273</v>
      </c>
      <c r="H151" s="84">
        <v>0</v>
      </c>
      <c r="I151" s="109">
        <f t="shared" si="59"/>
        <v>13.6858125328884</v>
      </c>
      <c r="J151" s="85">
        <f t="shared" si="58"/>
        <v>22.012060415274064</v>
      </c>
      <c r="K151" s="129">
        <f t="shared" si="49"/>
        <v>35.697872948162463</v>
      </c>
      <c r="L151" s="85">
        <f t="shared" si="60"/>
        <v>150.91174979912233</v>
      </c>
      <c r="M151" s="130">
        <f t="shared" si="50"/>
        <v>186.60962274728479</v>
      </c>
      <c r="N151" s="8">
        <f t="shared" si="51"/>
        <v>1997.1828083994014</v>
      </c>
      <c r="O151" s="84">
        <f t="shared" si="52"/>
        <v>1810.5731856521165</v>
      </c>
    </row>
    <row r="152" spans="1:15" x14ac:dyDescent="0.2">
      <c r="A152" s="96" t="s">
        <v>63</v>
      </c>
      <c r="B152" s="81" t="str">
        <f t="shared" si="57"/>
        <v>Q3/2018</v>
      </c>
      <c r="C152" s="82">
        <f t="shared" si="55"/>
        <v>43282</v>
      </c>
      <c r="D152" s="82">
        <f t="shared" si="56"/>
        <v>43373</v>
      </c>
      <c r="E152" s="81">
        <f t="shared" si="53"/>
        <v>92</v>
      </c>
      <c r="F152" s="83">
        <f>VLOOKUP(D152,'FERC Interest Rate'!$A:$B,2,TRUE)</f>
        <v>5.011111E-2</v>
      </c>
      <c r="G152" s="84">
        <f t="shared" si="54"/>
        <v>1810.5731856521165</v>
      </c>
      <c r="H152" s="84">
        <v>0</v>
      </c>
      <c r="I152" s="109">
        <f t="shared" si="59"/>
        <v>13.6858125328884</v>
      </c>
      <c r="J152" s="85">
        <f t="shared" si="58"/>
        <v>22.868889179102069</v>
      </c>
      <c r="K152" s="129">
        <f t="shared" si="49"/>
        <v>36.554701711990468</v>
      </c>
      <c r="L152" s="85">
        <f t="shared" si="60"/>
        <v>150.91174979912233</v>
      </c>
      <c r="M152" s="130">
        <f t="shared" si="50"/>
        <v>187.46645151111281</v>
      </c>
      <c r="N152" s="8">
        <f t="shared" si="51"/>
        <v>1833.4420748312186</v>
      </c>
      <c r="O152" s="84">
        <f t="shared" si="52"/>
        <v>1645.9756233201058</v>
      </c>
    </row>
    <row r="153" spans="1:15" x14ac:dyDescent="0.2">
      <c r="A153" s="96" t="s">
        <v>64</v>
      </c>
      <c r="B153" s="81" t="str">
        <f t="shared" si="57"/>
        <v>Q4/2018</v>
      </c>
      <c r="C153" s="82">
        <f t="shared" si="55"/>
        <v>43374</v>
      </c>
      <c r="D153" s="82">
        <f t="shared" si="56"/>
        <v>43465</v>
      </c>
      <c r="E153" s="81">
        <f t="shared" si="53"/>
        <v>92</v>
      </c>
      <c r="F153" s="83">
        <f>VLOOKUP(D153,'FERC Interest Rate'!$A:$B,2,TRUE)</f>
        <v>5.2822580000000001E-2</v>
      </c>
      <c r="G153" s="84">
        <f t="shared" si="54"/>
        <v>1645.9756233201058</v>
      </c>
      <c r="H153" s="84">
        <v>0</v>
      </c>
      <c r="I153" s="109">
        <f t="shared" si="59"/>
        <v>13.6858125328884</v>
      </c>
      <c r="J153" s="85">
        <f t="shared" si="58"/>
        <v>21.91482321030303</v>
      </c>
      <c r="K153" s="129">
        <f t="shared" si="49"/>
        <v>35.600635743191432</v>
      </c>
      <c r="L153" s="85">
        <f t="shared" si="60"/>
        <v>150.91174979912233</v>
      </c>
      <c r="M153" s="130">
        <f t="shared" si="50"/>
        <v>186.51238554231378</v>
      </c>
      <c r="N153" s="8">
        <f t="shared" si="51"/>
        <v>1667.8904465304088</v>
      </c>
      <c r="O153" s="84">
        <f t="shared" si="52"/>
        <v>1481.3780609880951</v>
      </c>
    </row>
    <row r="154" spans="1:15" x14ac:dyDescent="0.2">
      <c r="A154" s="96" t="s">
        <v>65</v>
      </c>
      <c r="B154" s="81" t="str">
        <f t="shared" si="57"/>
        <v>Q1/2019</v>
      </c>
      <c r="C154" s="82">
        <f t="shared" si="55"/>
        <v>43466</v>
      </c>
      <c r="D154" s="82">
        <f t="shared" si="56"/>
        <v>43555</v>
      </c>
      <c r="E154" s="81">
        <f t="shared" si="53"/>
        <v>90</v>
      </c>
      <c r="F154" s="83">
        <f>VLOOKUP(D154,'FERC Interest Rate'!$A:$B,2,TRUE)</f>
        <v>5.5296770000000002E-2</v>
      </c>
      <c r="G154" s="84">
        <f t="shared" si="54"/>
        <v>1481.3780609880951</v>
      </c>
      <c r="H154" s="84">
        <v>0</v>
      </c>
      <c r="I154" s="109">
        <f t="shared" si="59"/>
        <v>13.6858125328884</v>
      </c>
      <c r="J154" s="85">
        <f t="shared" si="58"/>
        <v>20.1983232135217</v>
      </c>
      <c r="K154" s="129">
        <f t="shared" si="49"/>
        <v>33.884135746410102</v>
      </c>
      <c r="L154" s="85">
        <f t="shared" si="60"/>
        <v>150.91174979912233</v>
      </c>
      <c r="M154" s="130">
        <f t="shared" si="50"/>
        <v>184.79588554553243</v>
      </c>
      <c r="N154" s="8">
        <f t="shared" si="51"/>
        <v>1501.5763842016167</v>
      </c>
      <c r="O154" s="84">
        <f t="shared" si="52"/>
        <v>1316.7804986560843</v>
      </c>
    </row>
    <row r="155" spans="1:15" x14ac:dyDescent="0.2">
      <c r="A155" s="96" t="s">
        <v>66</v>
      </c>
      <c r="B155" s="81" t="str">
        <f t="shared" si="57"/>
        <v>Q2/2019</v>
      </c>
      <c r="C155" s="82">
        <f t="shared" si="55"/>
        <v>43556</v>
      </c>
      <c r="D155" s="82">
        <f t="shared" si="56"/>
        <v>43646</v>
      </c>
      <c r="E155" s="81">
        <f t="shared" si="53"/>
        <v>91</v>
      </c>
      <c r="F155" s="83">
        <f>VLOOKUP(D155,'FERC Interest Rate'!$A:$B,2,TRUE)</f>
        <v>5.7999999999999996E-2</v>
      </c>
      <c r="G155" s="84">
        <f t="shared" si="54"/>
        <v>1316.7804986560843</v>
      </c>
      <c r="H155" s="84">
        <v>0</v>
      </c>
      <c r="I155" s="109">
        <f t="shared" si="59"/>
        <v>13.6858125328884</v>
      </c>
      <c r="J155" s="85">
        <f t="shared" si="58"/>
        <v>19.041006772347433</v>
      </c>
      <c r="K155" s="129">
        <f t="shared" si="49"/>
        <v>32.726819305235836</v>
      </c>
      <c r="L155" s="85">
        <f t="shared" si="60"/>
        <v>150.91174979912233</v>
      </c>
      <c r="M155" s="130">
        <f t="shared" si="50"/>
        <v>183.63856910435817</v>
      </c>
      <c r="N155" s="8">
        <f t="shared" si="51"/>
        <v>1335.8215054284317</v>
      </c>
      <c r="O155" s="84">
        <f t="shared" si="52"/>
        <v>1152.1829363240736</v>
      </c>
    </row>
    <row r="156" spans="1:15" x14ac:dyDescent="0.2">
      <c r="A156" s="96" t="s">
        <v>67</v>
      </c>
      <c r="B156" s="81" t="str">
        <f t="shared" si="57"/>
        <v>Q3/2019</v>
      </c>
      <c r="C156" s="82">
        <f t="shared" si="55"/>
        <v>43647</v>
      </c>
      <c r="D156" s="82">
        <f t="shared" si="56"/>
        <v>43738</v>
      </c>
      <c r="E156" s="81">
        <f t="shared" si="53"/>
        <v>92</v>
      </c>
      <c r="F156" s="83">
        <f>VLOOKUP(D156,'FERC Interest Rate'!$A:$B,2,TRUE)</f>
        <v>0.06</v>
      </c>
      <c r="G156" s="84">
        <f t="shared" si="54"/>
        <v>1152.1829363240736</v>
      </c>
      <c r="H156" s="84">
        <v>0</v>
      </c>
      <c r="I156" s="109">
        <f t="shared" si="59"/>
        <v>13.6858125328884</v>
      </c>
      <c r="J156" s="85">
        <f t="shared" si="58"/>
        <v>17.424793995914758</v>
      </c>
      <c r="K156" s="129">
        <f t="shared" si="49"/>
        <v>31.11060652880316</v>
      </c>
      <c r="L156" s="85">
        <f t="shared" si="60"/>
        <v>150.91174979912233</v>
      </c>
      <c r="M156" s="130">
        <f t="shared" si="50"/>
        <v>182.02235632792548</v>
      </c>
      <c r="N156" s="8">
        <f t="shared" si="51"/>
        <v>1169.6077303199884</v>
      </c>
      <c r="O156" s="84">
        <f t="shared" si="52"/>
        <v>987.58537399206284</v>
      </c>
    </row>
    <row r="157" spans="1:15" x14ac:dyDescent="0.2">
      <c r="A157" s="96" t="s">
        <v>68</v>
      </c>
      <c r="B157" s="81" t="str">
        <f t="shared" si="57"/>
        <v>Q4/2019</v>
      </c>
      <c r="C157" s="82">
        <f t="shared" si="55"/>
        <v>43739</v>
      </c>
      <c r="D157" s="82">
        <f t="shared" si="56"/>
        <v>43830</v>
      </c>
      <c r="E157" s="81">
        <f t="shared" si="53"/>
        <v>92</v>
      </c>
      <c r="F157" s="83">
        <f>VLOOKUP(D157,'FERC Interest Rate'!$A:$B,2,TRUE)</f>
        <v>6.0349460000000001E-2</v>
      </c>
      <c r="G157" s="84">
        <f t="shared" si="54"/>
        <v>987.58537399206284</v>
      </c>
      <c r="H157" s="84">
        <v>0</v>
      </c>
      <c r="I157" s="109">
        <f t="shared" si="59"/>
        <v>13.6858125328884</v>
      </c>
      <c r="J157" s="85">
        <f t="shared" si="58"/>
        <v>15.022527260924251</v>
      </c>
      <c r="K157" s="129">
        <f t="shared" si="49"/>
        <v>28.708339793812652</v>
      </c>
      <c r="L157" s="85">
        <f t="shared" si="60"/>
        <v>150.91174979912233</v>
      </c>
      <c r="M157" s="130">
        <f t="shared" si="50"/>
        <v>179.62008959293499</v>
      </c>
      <c r="N157" s="8">
        <f t="shared" si="51"/>
        <v>1002.6079012529871</v>
      </c>
      <c r="O157" s="84">
        <f t="shared" si="52"/>
        <v>822.9878116600521</v>
      </c>
    </row>
    <row r="158" spans="1:15" x14ac:dyDescent="0.2">
      <c r="A158" s="96" t="s">
        <v>69</v>
      </c>
      <c r="B158" s="81" t="str">
        <f t="shared" si="57"/>
        <v>Q1/2020</v>
      </c>
      <c r="C158" s="82">
        <f t="shared" si="55"/>
        <v>43831</v>
      </c>
      <c r="D158" s="82">
        <f t="shared" si="56"/>
        <v>43921</v>
      </c>
      <c r="E158" s="81">
        <f t="shared" si="53"/>
        <v>91</v>
      </c>
      <c r="F158" s="83">
        <f>VLOOKUP(D158,'FERC Interest Rate'!$A:$B,2,TRUE)</f>
        <v>6.2501040000000008E-2</v>
      </c>
      <c r="G158" s="84">
        <f t="shared" si="54"/>
        <v>822.9878116600521</v>
      </c>
      <c r="H158" s="84">
        <v>0</v>
      </c>
      <c r="I158" s="109">
        <f t="shared" si="59"/>
        <v>13.6858125328884</v>
      </c>
      <c r="J158" s="85">
        <f t="shared" si="58"/>
        <v>12.789128596674978</v>
      </c>
      <c r="K158" s="129">
        <f t="shared" si="49"/>
        <v>26.474941129563376</v>
      </c>
      <c r="L158" s="85">
        <f t="shared" si="60"/>
        <v>150.91174979912233</v>
      </c>
      <c r="M158" s="130">
        <f t="shared" si="50"/>
        <v>177.38669092868571</v>
      </c>
      <c r="N158" s="8">
        <f t="shared" si="51"/>
        <v>835.77694025672713</v>
      </c>
      <c r="O158" s="84">
        <f t="shared" si="52"/>
        <v>658.39024932804136</v>
      </c>
    </row>
    <row r="159" spans="1:15" x14ac:dyDescent="0.2">
      <c r="A159" s="96" t="s">
        <v>70</v>
      </c>
      <c r="B159" s="81" t="str">
        <f t="shared" si="57"/>
        <v>Q2/2020</v>
      </c>
      <c r="C159" s="82">
        <f t="shared" si="55"/>
        <v>43922</v>
      </c>
      <c r="D159" s="82">
        <f t="shared" si="56"/>
        <v>44012</v>
      </c>
      <c r="E159" s="81">
        <f t="shared" si="53"/>
        <v>91</v>
      </c>
      <c r="F159" s="83">
        <f>VLOOKUP(D159,'FERC Interest Rate'!$A:$B,2,TRUE)</f>
        <v>6.3055559999999997E-2</v>
      </c>
      <c r="G159" s="84">
        <f t="shared" si="54"/>
        <v>658.39024932804136</v>
      </c>
      <c r="H159" s="84">
        <v>0</v>
      </c>
      <c r="I159" s="109">
        <f t="shared" si="59"/>
        <v>13.6858125328884</v>
      </c>
      <c r="J159" s="85">
        <f t="shared" si="58"/>
        <v>10.322076760007251</v>
      </c>
      <c r="K159" s="129">
        <f t="shared" si="49"/>
        <v>24.007889292895651</v>
      </c>
      <c r="L159" s="85">
        <f t="shared" si="60"/>
        <v>150.91174979912233</v>
      </c>
      <c r="M159" s="130">
        <f t="shared" si="50"/>
        <v>174.91963909201797</v>
      </c>
      <c r="N159" s="8">
        <f t="shared" si="51"/>
        <v>668.7123260880486</v>
      </c>
      <c r="O159" s="84">
        <f t="shared" si="52"/>
        <v>493.79268699603062</v>
      </c>
    </row>
    <row r="160" spans="1:15" x14ac:dyDescent="0.2">
      <c r="A160" s="96" t="s">
        <v>71</v>
      </c>
      <c r="B160" s="81" t="str">
        <f>+IF(MONTH(C160)&lt;4,"Q1",IF(MONTH(C160)&lt;7,"Q2",IF(MONTH(C160)&lt;10,"Q3","Q4")))&amp;"/"&amp;YEAR(C160)</f>
        <v>Q3/2020</v>
      </c>
      <c r="C160" s="82">
        <f t="shared" si="55"/>
        <v>44013</v>
      </c>
      <c r="D160" s="82">
        <f t="shared" si="56"/>
        <v>44104</v>
      </c>
      <c r="E160" s="81">
        <f t="shared" si="53"/>
        <v>92</v>
      </c>
      <c r="F160" s="83">
        <f>VLOOKUP(D160,'FERC Interest Rate'!$A:$B,2,TRUE)</f>
        <v>6.5000000000000002E-2</v>
      </c>
      <c r="G160" s="84">
        <f t="shared" si="54"/>
        <v>493.79268699603062</v>
      </c>
      <c r="H160" s="84">
        <v>0</v>
      </c>
      <c r="I160" s="109">
        <f t="shared" si="59"/>
        <v>13.6858125328884</v>
      </c>
      <c r="J160" s="85">
        <f t="shared" si="58"/>
        <v>8.067978874962467</v>
      </c>
      <c r="K160" s="129">
        <f t="shared" si="49"/>
        <v>21.753791407850869</v>
      </c>
      <c r="L160" s="85">
        <f t="shared" si="60"/>
        <v>150.91174979912233</v>
      </c>
      <c r="M160" s="130">
        <f t="shared" si="50"/>
        <v>172.66554120697322</v>
      </c>
      <c r="N160" s="8">
        <f t="shared" si="51"/>
        <v>501.8606658709931</v>
      </c>
      <c r="O160" s="84">
        <f t="shared" si="52"/>
        <v>329.19512466401989</v>
      </c>
    </row>
    <row r="161" spans="1:15" x14ac:dyDescent="0.2">
      <c r="A161" s="96" t="s">
        <v>72</v>
      </c>
      <c r="B161" s="81" t="str">
        <f>+IF(MONTH(C161)&lt;4,"Q1",IF(MONTH(C161)&lt;7,"Q2",IF(MONTH(C161)&lt;10,"Q3","Q4")))&amp;"/"&amp;YEAR(C161)</f>
        <v>Q4/2020</v>
      </c>
      <c r="C161" s="82">
        <f t="shared" si="55"/>
        <v>44105</v>
      </c>
      <c r="D161" s="82">
        <f t="shared" si="56"/>
        <v>44196</v>
      </c>
      <c r="E161" s="81">
        <f t="shared" si="53"/>
        <v>92</v>
      </c>
      <c r="F161" s="83">
        <f>VLOOKUP(D161,'FERC Interest Rate'!$A:$B,2,TRUE)</f>
        <v>6.5000000000000002E-2</v>
      </c>
      <c r="G161" s="84">
        <f t="shared" si="54"/>
        <v>329.19512466401989</v>
      </c>
      <c r="H161" s="84">
        <v>0</v>
      </c>
      <c r="I161" s="109">
        <f t="shared" si="59"/>
        <v>13.6858125328884</v>
      </c>
      <c r="J161" s="85">
        <f t="shared" si="58"/>
        <v>5.3786525833083028</v>
      </c>
      <c r="K161" s="129">
        <f t="shared" si="49"/>
        <v>19.064465116196704</v>
      </c>
      <c r="L161" s="85">
        <f t="shared" si="60"/>
        <v>150.91174979912233</v>
      </c>
      <c r="M161" s="130">
        <f t="shared" si="50"/>
        <v>169.97621491531905</v>
      </c>
      <c r="N161" s="8">
        <f t="shared" si="51"/>
        <v>334.57377724732817</v>
      </c>
      <c r="O161" s="84">
        <f t="shared" si="52"/>
        <v>164.59756233200915</v>
      </c>
    </row>
    <row r="162" spans="1:15" x14ac:dyDescent="0.2">
      <c r="A162" s="96" t="s">
        <v>73</v>
      </c>
      <c r="B162" s="81" t="str">
        <f>+IF(MONTH(C162)&lt;4,"Q1",IF(MONTH(C162)&lt;7,"Q2",IF(MONTH(C162)&lt;10,"Q3","Q4")))&amp;"/"&amp;YEAR(C162)</f>
        <v>Q1/2021</v>
      </c>
      <c r="C162" s="82">
        <f>D161+1</f>
        <v>44197</v>
      </c>
      <c r="D162" s="82">
        <f t="shared" si="56"/>
        <v>44286</v>
      </c>
      <c r="E162" s="81">
        <f>D162-C162+1</f>
        <v>90</v>
      </c>
      <c r="F162" s="83">
        <f>VLOOKUP(D162,'FERC Interest Rate'!$A:$B,2,TRUE)</f>
        <v>6.5000000000000002E-2</v>
      </c>
      <c r="G162" s="84">
        <f>O161</f>
        <v>164.59756233200915</v>
      </c>
      <c r="H162" s="84">
        <v>0</v>
      </c>
      <c r="I162" s="109">
        <f t="shared" si="59"/>
        <v>13.6858125328884</v>
      </c>
      <c r="J162" s="85">
        <f t="shared" si="58"/>
        <v>2.6380705195678176</v>
      </c>
      <c r="K162" s="129">
        <f>+SUM(I162:J162)</f>
        <v>16.323883052456218</v>
      </c>
      <c r="L162" s="85">
        <f t="shared" si="60"/>
        <v>150.91174979912233</v>
      </c>
      <c r="M162" s="130">
        <f>+SUM(K162:L162)</f>
        <v>167.23563285157854</v>
      </c>
      <c r="N162" s="8">
        <f>+G162+H162+J162</f>
        <v>167.23563285157695</v>
      </c>
      <c r="O162" s="84">
        <f>G162+H162-L162-I162</f>
        <v>-1.5862866575844237E-12</v>
      </c>
    </row>
    <row r="163" spans="1:15" x14ac:dyDescent="0.2">
      <c r="A163" s="96"/>
      <c r="B163" s="81"/>
      <c r="C163" s="82"/>
      <c r="D163" s="82"/>
      <c r="E163" s="81"/>
      <c r="F163" s="83"/>
      <c r="G163" s="84"/>
      <c r="H163" s="84"/>
      <c r="I163" s="109"/>
      <c r="J163" s="85"/>
      <c r="K163" s="129"/>
      <c r="L163" s="85"/>
      <c r="M163" s="130"/>
      <c r="N163" s="8"/>
      <c r="O163" s="84"/>
    </row>
    <row r="164" spans="1:15" ht="13.5" thickBot="1" x14ac:dyDescent="0.25">
      <c r="A164" s="151"/>
      <c r="B164" s="152"/>
      <c r="C164" s="153"/>
      <c r="D164" s="153"/>
      <c r="E164" s="154"/>
      <c r="F164" s="152"/>
      <c r="G164" s="137">
        <f>SUM(G136:G163)</f>
        <v>56836.62402273318</v>
      </c>
      <c r="H164" s="137">
        <f>SUM(H136:H163)</f>
        <v>273.716250657768</v>
      </c>
      <c r="I164" s="138">
        <f t="shared" ref="I164:O164" si="61">SUM(I136:I163)</f>
        <v>273.71625065776806</v>
      </c>
      <c r="J164" s="137">
        <f t="shared" si="61"/>
        <v>301.72462515562694</v>
      </c>
      <c r="K164" s="137">
        <f t="shared" si="61"/>
        <v>575.440875813395</v>
      </c>
      <c r="L164" s="137">
        <f t="shared" si="61"/>
        <v>3018.2349959824473</v>
      </c>
      <c r="M164" s="139">
        <f t="shared" si="61"/>
        <v>3593.6758717958414</v>
      </c>
      <c r="N164" s="137">
        <f t="shared" si="61"/>
        <v>57412.064898546581</v>
      </c>
      <c r="O164" s="137">
        <f t="shared" si="61"/>
        <v>53818.389026750745</v>
      </c>
    </row>
    <row r="165" spans="1:15" ht="13.5" thickTop="1" x14ac:dyDescent="0.2">
      <c r="B165" s="117"/>
      <c r="C165" s="117"/>
      <c r="D165" s="117"/>
      <c r="E165" s="117"/>
      <c r="F165" s="117"/>
      <c r="G165" s="117"/>
      <c r="H165" s="117"/>
      <c r="I165" s="116"/>
      <c r="J165" s="117"/>
      <c r="K165" s="117"/>
      <c r="L165" s="117"/>
      <c r="M165" s="131"/>
      <c r="O165" s="117"/>
    </row>
    <row r="166" spans="1:15" ht="38.25" x14ac:dyDescent="0.2">
      <c r="A166" s="90" t="s">
        <v>53</v>
      </c>
      <c r="B166" s="90" t="s">
        <v>3</v>
      </c>
      <c r="C166" s="90" t="s">
        <v>4</v>
      </c>
      <c r="D166" s="90" t="s">
        <v>5</v>
      </c>
      <c r="E166" s="90" t="s">
        <v>6</v>
      </c>
      <c r="F166" s="90" t="s">
        <v>7</v>
      </c>
      <c r="G166" s="90" t="s">
        <v>93</v>
      </c>
      <c r="H166" s="90" t="s">
        <v>94</v>
      </c>
      <c r="I166" s="105" t="s">
        <v>95</v>
      </c>
      <c r="J166" s="106" t="s">
        <v>96</v>
      </c>
      <c r="K166" s="106" t="s">
        <v>97</v>
      </c>
      <c r="L166" s="106" t="s">
        <v>98</v>
      </c>
      <c r="M166" s="107" t="s">
        <v>99</v>
      </c>
      <c r="N166" s="90" t="s">
        <v>100</v>
      </c>
      <c r="O166" s="90" t="s">
        <v>101</v>
      </c>
    </row>
    <row r="167" spans="1:15" x14ac:dyDescent="0.2">
      <c r="A167" s="309" t="s">
        <v>15</v>
      </c>
      <c r="B167" s="309"/>
      <c r="C167" s="282">
        <f>VLOOKUP(B168,A$1:F$19,2,FALSE)</f>
        <v>41978</v>
      </c>
      <c r="D167" s="282">
        <f>DATE(YEAR(C167),IF(MONTH(C167)&lt;=3,3,IF(MONTH(C167)&lt;=6,6,IF(MONTH(C167)&lt;=9,9,12))),IF(OR(MONTH(C167)&lt;=3,MONTH(C167)&gt;=10),31,30))</f>
        <v>42004</v>
      </c>
      <c r="E167" s="283">
        <f>D167-C167+1</f>
        <v>27</v>
      </c>
      <c r="F167" s="284">
        <f>VLOOKUP(D167,'FERC Interest Rate'!$A:$B,2,TRUE)</f>
        <v>3.2500000000000001E-2</v>
      </c>
      <c r="G167" s="167">
        <f>VLOOKUP(B168,$A$1:$F$23,5,FALSE)</f>
        <v>4130.7073366709928</v>
      </c>
      <c r="H167" s="167">
        <f t="shared" ref="H167:H176" si="62">G167*F167*(E167/(DATE(YEAR(D167),12,31)-DATE(YEAR(D167),1,1)+1))</f>
        <v>9.9306731176131411</v>
      </c>
      <c r="I167" s="291">
        <v>0</v>
      </c>
      <c r="J167" s="286">
        <v>0</v>
      </c>
      <c r="K167" s="288">
        <f t="shared" ref="K167:K192" si="63">+SUM(I167:J167)</f>
        <v>0</v>
      </c>
      <c r="L167" s="286">
        <v>0</v>
      </c>
      <c r="M167" s="289">
        <f t="shared" ref="M167:M192" si="64">+SUM(K167:L167)</f>
        <v>0</v>
      </c>
      <c r="N167" s="290">
        <f t="shared" ref="N167:N192" si="65">+G167+H167+J167</f>
        <v>4140.6380097886058</v>
      </c>
      <c r="O167" s="167">
        <f t="shared" ref="O167:O192" si="66">G167+H167-L167-I167</f>
        <v>4140.6380097886058</v>
      </c>
    </row>
    <row r="168" spans="1:15" x14ac:dyDescent="0.2">
      <c r="A168" s="275" t="s">
        <v>38</v>
      </c>
      <c r="B168" s="276" t="s">
        <v>57</v>
      </c>
      <c r="C168" s="282">
        <f>D167+1</f>
        <v>42005</v>
      </c>
      <c r="D168" s="282">
        <f>EOMONTH(D167,3)</f>
        <v>42094</v>
      </c>
      <c r="E168" s="283">
        <f t="shared" ref="E168:E192" si="67">D168-C168+1</f>
        <v>90</v>
      </c>
      <c r="F168" s="284">
        <f>VLOOKUP(D168,'FERC Interest Rate'!$A:$B,2,TRUE)</f>
        <v>3.2500000000000001E-2</v>
      </c>
      <c r="G168" s="167">
        <f t="shared" ref="G168:G192" si="68">O167</f>
        <v>4140.6380097886058</v>
      </c>
      <c r="H168" s="167">
        <f t="shared" si="62"/>
        <v>33.181825146936085</v>
      </c>
      <c r="I168" s="291">
        <v>0</v>
      </c>
      <c r="J168" s="286">
        <v>0</v>
      </c>
      <c r="K168" s="288">
        <f t="shared" si="63"/>
        <v>0</v>
      </c>
      <c r="L168" s="286">
        <v>0</v>
      </c>
      <c r="M168" s="289">
        <f t="shared" si="64"/>
        <v>0</v>
      </c>
      <c r="N168" s="290">
        <f t="shared" si="65"/>
        <v>4173.8198349355416</v>
      </c>
      <c r="O168" s="167">
        <f t="shared" si="66"/>
        <v>4173.8198349355416</v>
      </c>
    </row>
    <row r="169" spans="1:15" x14ac:dyDescent="0.2">
      <c r="B169" s="283"/>
      <c r="C169" s="282">
        <f t="shared" ref="C169:C192" si="69">D168+1</f>
        <v>42095</v>
      </c>
      <c r="D169" s="282">
        <f t="shared" ref="D169:D192" si="70">EOMONTH(D168,3)</f>
        <v>42185</v>
      </c>
      <c r="E169" s="283">
        <f t="shared" si="67"/>
        <v>91</v>
      </c>
      <c r="F169" s="284">
        <f>VLOOKUP(D169,'FERC Interest Rate'!$A:$B,2,TRUE)</f>
        <v>3.2500000000000001E-2</v>
      </c>
      <c r="G169" s="167">
        <f t="shared" si="68"/>
        <v>4173.8198349355416</v>
      </c>
      <c r="H169" s="167">
        <f t="shared" si="62"/>
        <v>33.819375785813328</v>
      </c>
      <c r="I169" s="291">
        <v>0</v>
      </c>
      <c r="J169" s="286">
        <v>0</v>
      </c>
      <c r="K169" s="288">
        <f t="shared" si="63"/>
        <v>0</v>
      </c>
      <c r="L169" s="286">
        <v>0</v>
      </c>
      <c r="M169" s="289">
        <f t="shared" si="64"/>
        <v>0</v>
      </c>
      <c r="N169" s="290">
        <f t="shared" si="65"/>
        <v>4207.6392107213551</v>
      </c>
      <c r="O169" s="167">
        <f t="shared" si="66"/>
        <v>4207.6392107213551</v>
      </c>
    </row>
    <row r="170" spans="1:15" x14ac:dyDescent="0.2">
      <c r="B170" s="283"/>
      <c r="C170" s="282">
        <f t="shared" si="69"/>
        <v>42186</v>
      </c>
      <c r="D170" s="282">
        <f t="shared" si="70"/>
        <v>42277</v>
      </c>
      <c r="E170" s="283">
        <f t="shared" si="67"/>
        <v>92</v>
      </c>
      <c r="F170" s="284">
        <f>VLOOKUP(D170,'FERC Interest Rate'!$A:$B,2,TRUE)</f>
        <v>3.2500000000000001E-2</v>
      </c>
      <c r="G170" s="167">
        <f t="shared" si="68"/>
        <v>4207.6392107213551</v>
      </c>
      <c r="H170" s="167">
        <f t="shared" si="62"/>
        <v>34.468058191936585</v>
      </c>
      <c r="I170" s="291">
        <v>0</v>
      </c>
      <c r="J170" s="286">
        <v>0</v>
      </c>
      <c r="K170" s="288">
        <f t="shared" si="63"/>
        <v>0</v>
      </c>
      <c r="L170" s="286">
        <v>0</v>
      </c>
      <c r="M170" s="289">
        <f t="shared" si="64"/>
        <v>0</v>
      </c>
      <c r="N170" s="290">
        <f t="shared" si="65"/>
        <v>4242.1072689132916</v>
      </c>
      <c r="O170" s="167">
        <f t="shared" si="66"/>
        <v>4242.1072689132916</v>
      </c>
    </row>
    <row r="171" spans="1:15" x14ac:dyDescent="0.2">
      <c r="B171" s="283"/>
      <c r="C171" s="282">
        <f t="shared" si="69"/>
        <v>42278</v>
      </c>
      <c r="D171" s="282">
        <f t="shared" si="70"/>
        <v>42369</v>
      </c>
      <c r="E171" s="283">
        <f t="shared" si="67"/>
        <v>92</v>
      </c>
      <c r="F171" s="284">
        <f>VLOOKUP(D171,'FERC Interest Rate'!$A:$B,2,TRUE)</f>
        <v>3.2500000000000001E-2</v>
      </c>
      <c r="G171" s="167">
        <f t="shared" si="68"/>
        <v>4242.1072689132916</v>
      </c>
      <c r="H171" s="167">
        <f t="shared" si="62"/>
        <v>34.750412970002031</v>
      </c>
      <c r="I171" s="291">
        <v>0</v>
      </c>
      <c r="J171" s="286">
        <v>0</v>
      </c>
      <c r="K171" s="288">
        <f t="shared" si="63"/>
        <v>0</v>
      </c>
      <c r="L171" s="286">
        <v>0</v>
      </c>
      <c r="M171" s="289">
        <f t="shared" si="64"/>
        <v>0</v>
      </c>
      <c r="N171" s="290">
        <f t="shared" si="65"/>
        <v>4276.8576818832935</v>
      </c>
      <c r="O171" s="167">
        <f t="shared" si="66"/>
        <v>4276.8576818832935</v>
      </c>
    </row>
    <row r="172" spans="1:15" x14ac:dyDescent="0.2">
      <c r="B172" s="283"/>
      <c r="C172" s="282">
        <f t="shared" si="69"/>
        <v>42370</v>
      </c>
      <c r="D172" s="282">
        <f t="shared" si="70"/>
        <v>42460</v>
      </c>
      <c r="E172" s="283">
        <f t="shared" si="67"/>
        <v>91</v>
      </c>
      <c r="F172" s="284">
        <f>VLOOKUP(D172,'FERC Interest Rate'!$A:$B,2,TRUE)</f>
        <v>3.2500000000000001E-2</v>
      </c>
      <c r="G172" s="167">
        <f t="shared" si="68"/>
        <v>4276.8576818832935</v>
      </c>
      <c r="H172" s="167">
        <f t="shared" si="62"/>
        <v>34.559580858387548</v>
      </c>
      <c r="I172" s="291">
        <v>0</v>
      </c>
      <c r="J172" s="286">
        <v>0</v>
      </c>
      <c r="K172" s="288">
        <f t="shared" si="63"/>
        <v>0</v>
      </c>
      <c r="L172" s="286">
        <v>0</v>
      </c>
      <c r="M172" s="289">
        <f t="shared" si="64"/>
        <v>0</v>
      </c>
      <c r="N172" s="290">
        <f t="shared" si="65"/>
        <v>4311.417262741681</v>
      </c>
      <c r="O172" s="167">
        <f t="shared" si="66"/>
        <v>4311.417262741681</v>
      </c>
    </row>
    <row r="173" spans="1:15" x14ac:dyDescent="0.2">
      <c r="A173" s="96"/>
      <c r="B173" s="81"/>
      <c r="C173" s="82">
        <f t="shared" si="69"/>
        <v>42461</v>
      </c>
      <c r="D173" s="82">
        <f t="shared" si="70"/>
        <v>42551</v>
      </c>
      <c r="E173" s="81">
        <f t="shared" si="67"/>
        <v>91</v>
      </c>
      <c r="F173" s="83">
        <f>VLOOKUP(D173,'FERC Interest Rate'!$A:$B,2,TRUE)</f>
        <v>3.4599999999999999E-2</v>
      </c>
      <c r="G173" s="84">
        <f t="shared" si="68"/>
        <v>4311.417262741681</v>
      </c>
      <c r="H173" s="167">
        <f t="shared" si="62"/>
        <v>37.089968288165181</v>
      </c>
      <c r="I173" s="173">
        <v>0</v>
      </c>
      <c r="J173" s="286">
        <v>0</v>
      </c>
      <c r="K173" s="129">
        <f t="shared" si="63"/>
        <v>0</v>
      </c>
      <c r="L173" s="85">
        <v>0</v>
      </c>
      <c r="M173" s="130">
        <f t="shared" si="64"/>
        <v>0</v>
      </c>
      <c r="N173" s="8">
        <f t="shared" si="65"/>
        <v>4348.5072310298465</v>
      </c>
      <c r="O173" s="84">
        <f t="shared" si="66"/>
        <v>4348.5072310298465</v>
      </c>
    </row>
    <row r="174" spans="1:15" x14ac:dyDescent="0.2">
      <c r="A174" s="96"/>
      <c r="B174" s="81"/>
      <c r="C174" s="82">
        <f t="shared" si="69"/>
        <v>42552</v>
      </c>
      <c r="D174" s="82">
        <f t="shared" si="70"/>
        <v>42643</v>
      </c>
      <c r="E174" s="81">
        <f t="shared" si="67"/>
        <v>92</v>
      </c>
      <c r="F174" s="83">
        <f>VLOOKUP(D174,'FERC Interest Rate'!$A:$B,2,TRUE)</f>
        <v>3.5000000000000003E-2</v>
      </c>
      <c r="G174" s="84">
        <f t="shared" si="68"/>
        <v>4348.5072310298465</v>
      </c>
      <c r="H174" s="84">
        <f t="shared" si="62"/>
        <v>38.257358699224334</v>
      </c>
      <c r="I174" s="173">
        <v>0</v>
      </c>
      <c r="J174" s="85">
        <v>0</v>
      </c>
      <c r="K174" s="129">
        <f t="shared" si="63"/>
        <v>0</v>
      </c>
      <c r="L174" s="85">
        <v>0</v>
      </c>
      <c r="M174" s="130">
        <f t="shared" si="64"/>
        <v>0</v>
      </c>
      <c r="N174" s="8">
        <f t="shared" si="65"/>
        <v>4386.7645897290704</v>
      </c>
      <c r="O174" s="84">
        <f t="shared" si="66"/>
        <v>4386.7645897290704</v>
      </c>
    </row>
    <row r="175" spans="1:15" x14ac:dyDescent="0.2">
      <c r="A175" s="96"/>
      <c r="B175" s="81"/>
      <c r="C175" s="82">
        <f t="shared" si="69"/>
        <v>42644</v>
      </c>
      <c r="D175" s="82">
        <f t="shared" si="70"/>
        <v>42735</v>
      </c>
      <c r="E175" s="81">
        <f t="shared" si="67"/>
        <v>92</v>
      </c>
      <c r="F175" s="83">
        <f>VLOOKUP(D175,'FERC Interest Rate'!$A:$B,2,TRUE)</f>
        <v>3.5000000000000003E-2</v>
      </c>
      <c r="G175" s="84">
        <f t="shared" si="68"/>
        <v>4386.7645897290704</v>
      </c>
      <c r="H175" s="84">
        <f t="shared" si="62"/>
        <v>38.593939833135543</v>
      </c>
      <c r="I175" s="173">
        <v>0</v>
      </c>
      <c r="J175" s="85">
        <v>0</v>
      </c>
      <c r="K175" s="129">
        <f t="shared" si="63"/>
        <v>0</v>
      </c>
      <c r="L175" s="85">
        <v>0</v>
      </c>
      <c r="M175" s="130">
        <f t="shared" si="64"/>
        <v>0</v>
      </c>
      <c r="N175" s="8">
        <f t="shared" si="65"/>
        <v>4425.3585295622061</v>
      </c>
      <c r="O175" s="84">
        <f t="shared" si="66"/>
        <v>4425.3585295622061</v>
      </c>
    </row>
    <row r="176" spans="1:15" x14ac:dyDescent="0.2">
      <c r="A176" s="96" t="s">
        <v>102</v>
      </c>
      <c r="B176" s="81" t="str">
        <f t="shared" ref="B176:B189" si="71">+IF(MONTH(C176)&lt;4,"Q1",IF(MONTH(C176)&lt;7,"Q2",IF(MONTH(C176)&lt;10,"Q3","Q4")))&amp;"/"&amp;YEAR(C176)</f>
        <v>Q1/2017</v>
      </c>
      <c r="C176" s="82">
        <f t="shared" si="69"/>
        <v>42736</v>
      </c>
      <c r="D176" s="82">
        <f t="shared" si="70"/>
        <v>42825</v>
      </c>
      <c r="E176" s="81">
        <f t="shared" si="67"/>
        <v>90</v>
      </c>
      <c r="F176" s="83">
        <f>VLOOKUP(D176,'FERC Interest Rate'!$A:$B,2,TRUE)</f>
        <v>3.5000000000000003E-2</v>
      </c>
      <c r="G176" s="84">
        <f t="shared" si="68"/>
        <v>4425.3585295622061</v>
      </c>
      <c r="H176" s="84">
        <f t="shared" si="62"/>
        <v>38.191450323619037</v>
      </c>
      <c r="I176" s="109">
        <f>(SUM($H$167:$H$193)/20)*4</f>
        <v>66.568528642966569</v>
      </c>
      <c r="J176" s="85">
        <f>G176*F176*(E176/(DATE(YEAR(D176),12,31)-DATE(YEAR(D176),1,1)+1))</f>
        <v>38.191450323619037</v>
      </c>
      <c r="K176" s="129">
        <f t="shared" si="63"/>
        <v>104.75997896658561</v>
      </c>
      <c r="L176" s="85">
        <f>VLOOKUP($B$168,A$1:F$19,5,FALSE)/20*4</f>
        <v>826.14146733419852</v>
      </c>
      <c r="M176" s="130">
        <f t="shared" si="64"/>
        <v>930.90144630078407</v>
      </c>
      <c r="N176" s="8">
        <f t="shared" si="65"/>
        <v>4501.7414302094448</v>
      </c>
      <c r="O176" s="84">
        <f t="shared" si="66"/>
        <v>3570.8399839086601</v>
      </c>
    </row>
    <row r="177" spans="1:15" x14ac:dyDescent="0.2">
      <c r="A177" s="96" t="s">
        <v>58</v>
      </c>
      <c r="B177" s="81" t="str">
        <f t="shared" si="71"/>
        <v>Q2/2017</v>
      </c>
      <c r="C177" s="82">
        <f t="shared" si="69"/>
        <v>42826</v>
      </c>
      <c r="D177" s="82">
        <f t="shared" si="70"/>
        <v>42916</v>
      </c>
      <c r="E177" s="81">
        <f t="shared" si="67"/>
        <v>91</v>
      </c>
      <c r="F177" s="83">
        <f>VLOOKUP(D177,'FERC Interest Rate'!$A:$B,2,TRUE)</f>
        <v>3.7100000000000001E-2</v>
      </c>
      <c r="G177" s="84">
        <f t="shared" si="68"/>
        <v>3570.8399839086601</v>
      </c>
      <c r="H177" s="84">
        <v>0</v>
      </c>
      <c r="I177" s="109">
        <f t="shared" ref="I177:I192" si="72">(SUM($H$167:$H$193)/20)</f>
        <v>16.642132160741642</v>
      </c>
      <c r="J177" s="85">
        <f>G177*F177*(E177/(DATE(YEAR(D177),12,31)-DATE(YEAR(D177),1,1)+1))</f>
        <v>33.028802382668566</v>
      </c>
      <c r="K177" s="129">
        <f t="shared" si="63"/>
        <v>49.670934543410212</v>
      </c>
      <c r="L177" s="85">
        <f t="shared" ref="L177:L192" si="73">VLOOKUP($B$168,A$1:F$19,5,FALSE)/20</f>
        <v>206.53536683354963</v>
      </c>
      <c r="M177" s="130">
        <f t="shared" si="64"/>
        <v>256.20630137695986</v>
      </c>
      <c r="N177" s="8">
        <f t="shared" si="65"/>
        <v>3603.8687862913284</v>
      </c>
      <c r="O177" s="84">
        <f t="shared" si="66"/>
        <v>3347.6624849143686</v>
      </c>
    </row>
    <row r="178" spans="1:15" x14ac:dyDescent="0.2">
      <c r="A178" s="96" t="s">
        <v>59</v>
      </c>
      <c r="B178" s="81" t="str">
        <f t="shared" si="71"/>
        <v>Q3/2017</v>
      </c>
      <c r="C178" s="82">
        <f t="shared" si="69"/>
        <v>42917</v>
      </c>
      <c r="D178" s="82">
        <f t="shared" si="70"/>
        <v>43008</v>
      </c>
      <c r="E178" s="81">
        <f t="shared" si="67"/>
        <v>92</v>
      </c>
      <c r="F178" s="83">
        <f>VLOOKUP(D178,'FERC Interest Rate'!$A:$B,2,TRUE)</f>
        <v>3.9600000000000003E-2</v>
      </c>
      <c r="G178" s="84">
        <f t="shared" si="68"/>
        <v>3347.6624849143686</v>
      </c>
      <c r="H178" s="84">
        <v>0</v>
      </c>
      <c r="I178" s="109">
        <f t="shared" si="72"/>
        <v>16.642132160741642</v>
      </c>
      <c r="J178" s="85">
        <f>G178*F178*(E178/(DATE(YEAR(D178),12,31)-DATE(YEAR(D178),1,1)+1))</f>
        <v>33.414257438465832</v>
      </c>
      <c r="K178" s="129">
        <f t="shared" si="63"/>
        <v>50.056389599207478</v>
      </c>
      <c r="L178" s="85">
        <f t="shared" si="73"/>
        <v>206.53536683354963</v>
      </c>
      <c r="M178" s="130">
        <f t="shared" si="64"/>
        <v>256.59175643275711</v>
      </c>
      <c r="N178" s="8">
        <f t="shared" si="65"/>
        <v>3381.0767423528346</v>
      </c>
      <c r="O178" s="84">
        <f t="shared" si="66"/>
        <v>3124.4849859200772</v>
      </c>
    </row>
    <row r="179" spans="1:15" x14ac:dyDescent="0.2">
      <c r="A179" s="96" t="s">
        <v>60</v>
      </c>
      <c r="B179" s="81" t="str">
        <f t="shared" si="71"/>
        <v>Q4/2017</v>
      </c>
      <c r="C179" s="82">
        <f t="shared" si="69"/>
        <v>43009</v>
      </c>
      <c r="D179" s="82">
        <f t="shared" si="70"/>
        <v>43100</v>
      </c>
      <c r="E179" s="81">
        <f t="shared" si="67"/>
        <v>92</v>
      </c>
      <c r="F179" s="83">
        <f>VLOOKUP(D179,'FERC Interest Rate'!$A:$B,2,TRUE)</f>
        <v>4.2099999999999999E-2</v>
      </c>
      <c r="G179" s="84">
        <f t="shared" si="68"/>
        <v>3124.4849859200772</v>
      </c>
      <c r="H179" s="84">
        <v>0</v>
      </c>
      <c r="I179" s="109">
        <f t="shared" si="72"/>
        <v>16.642132160741642</v>
      </c>
      <c r="J179" s="85">
        <f t="shared" ref="J179:J192" si="74">G179*F179*(E179/(DATE(YEAR(D179),12,31)-DATE(YEAR(D179),1,1)+1))</f>
        <v>33.155493828672995</v>
      </c>
      <c r="K179" s="129">
        <f t="shared" si="63"/>
        <v>49.797625989414641</v>
      </c>
      <c r="L179" s="85">
        <f t="shared" si="73"/>
        <v>206.53536683354963</v>
      </c>
      <c r="M179" s="130">
        <f t="shared" si="64"/>
        <v>256.33299282296429</v>
      </c>
      <c r="N179" s="8">
        <f t="shared" si="65"/>
        <v>3157.6404797487503</v>
      </c>
      <c r="O179" s="84">
        <f t="shared" si="66"/>
        <v>2901.3074869257857</v>
      </c>
    </row>
    <row r="180" spans="1:15" x14ac:dyDescent="0.2">
      <c r="A180" s="96" t="s">
        <v>61</v>
      </c>
      <c r="B180" s="81" t="str">
        <f t="shared" si="71"/>
        <v>Q1/2018</v>
      </c>
      <c r="C180" s="82">
        <f t="shared" si="69"/>
        <v>43101</v>
      </c>
      <c r="D180" s="82">
        <f t="shared" si="70"/>
        <v>43190</v>
      </c>
      <c r="E180" s="81">
        <f t="shared" si="67"/>
        <v>90</v>
      </c>
      <c r="F180" s="83">
        <f>VLOOKUP(D180,'FERC Interest Rate'!$A:$B,2,TRUE)</f>
        <v>4.2500000000000003E-2</v>
      </c>
      <c r="G180" s="84">
        <f t="shared" si="68"/>
        <v>2901.3074869257857</v>
      </c>
      <c r="H180" s="84">
        <v>0</v>
      </c>
      <c r="I180" s="109">
        <f t="shared" si="72"/>
        <v>16.642132160741642</v>
      </c>
      <c r="J180" s="85">
        <f t="shared" si="74"/>
        <v>30.404112705455155</v>
      </c>
      <c r="K180" s="129">
        <f t="shared" si="63"/>
        <v>47.046244866196801</v>
      </c>
      <c r="L180" s="85">
        <f t="shared" si="73"/>
        <v>206.53536683354963</v>
      </c>
      <c r="M180" s="130">
        <f t="shared" si="64"/>
        <v>253.58161169974642</v>
      </c>
      <c r="N180" s="8">
        <f t="shared" si="65"/>
        <v>2931.7115996312409</v>
      </c>
      <c r="O180" s="84">
        <f t="shared" si="66"/>
        <v>2678.1299879314943</v>
      </c>
    </row>
    <row r="181" spans="1:15" x14ac:dyDescent="0.2">
      <c r="A181" s="96" t="s">
        <v>62</v>
      </c>
      <c r="B181" s="81" t="str">
        <f t="shared" si="71"/>
        <v>Q2/2018</v>
      </c>
      <c r="C181" s="82">
        <f t="shared" si="69"/>
        <v>43191</v>
      </c>
      <c r="D181" s="82">
        <f t="shared" si="70"/>
        <v>43281</v>
      </c>
      <c r="E181" s="81">
        <f t="shared" si="67"/>
        <v>91</v>
      </c>
      <c r="F181" s="83">
        <f>VLOOKUP(D181,'FERC Interest Rate'!$A:$B,2,TRUE)</f>
        <v>4.4699999999999997E-2</v>
      </c>
      <c r="G181" s="84">
        <f t="shared" si="68"/>
        <v>2678.1299879314943</v>
      </c>
      <c r="H181" s="84">
        <v>0</v>
      </c>
      <c r="I181" s="109">
        <f t="shared" si="72"/>
        <v>16.642132160741642</v>
      </c>
      <c r="J181" s="85">
        <f t="shared" si="74"/>
        <v>29.846107813449144</v>
      </c>
      <c r="K181" s="129">
        <f t="shared" si="63"/>
        <v>46.48823997419079</v>
      </c>
      <c r="L181" s="85">
        <f t="shared" si="73"/>
        <v>206.53536683354963</v>
      </c>
      <c r="M181" s="130">
        <f t="shared" si="64"/>
        <v>253.02360680774041</v>
      </c>
      <c r="N181" s="8">
        <f t="shared" si="65"/>
        <v>2707.9760957449434</v>
      </c>
      <c r="O181" s="84">
        <f t="shared" si="66"/>
        <v>2454.9524889372028</v>
      </c>
    </row>
    <row r="182" spans="1:15" x14ac:dyDescent="0.2">
      <c r="A182" s="96" t="s">
        <v>63</v>
      </c>
      <c r="B182" s="81" t="str">
        <f t="shared" si="71"/>
        <v>Q3/2018</v>
      </c>
      <c r="C182" s="82">
        <f t="shared" si="69"/>
        <v>43282</v>
      </c>
      <c r="D182" s="82">
        <f t="shared" si="70"/>
        <v>43373</v>
      </c>
      <c r="E182" s="81">
        <f t="shared" si="67"/>
        <v>92</v>
      </c>
      <c r="F182" s="83">
        <f>VLOOKUP(D182,'FERC Interest Rate'!$A:$B,2,TRUE)</f>
        <v>5.011111E-2</v>
      </c>
      <c r="G182" s="84">
        <f t="shared" si="68"/>
        <v>2454.9524889372028</v>
      </c>
      <c r="H182" s="84">
        <v>0</v>
      </c>
      <c r="I182" s="109">
        <f t="shared" si="72"/>
        <v>16.642132160741642</v>
      </c>
      <c r="J182" s="85">
        <f t="shared" si="74"/>
        <v>31.007880186431095</v>
      </c>
      <c r="K182" s="129">
        <f t="shared" si="63"/>
        <v>47.650012347172733</v>
      </c>
      <c r="L182" s="85">
        <f t="shared" si="73"/>
        <v>206.53536683354963</v>
      </c>
      <c r="M182" s="130">
        <f t="shared" si="64"/>
        <v>254.18537918072235</v>
      </c>
      <c r="N182" s="8">
        <f t="shared" si="65"/>
        <v>2485.9603691236339</v>
      </c>
      <c r="O182" s="84">
        <f t="shared" si="66"/>
        <v>2231.7749899429114</v>
      </c>
    </row>
    <row r="183" spans="1:15" x14ac:dyDescent="0.2">
      <c r="A183" s="96" t="s">
        <v>64</v>
      </c>
      <c r="B183" s="81" t="str">
        <f t="shared" si="71"/>
        <v>Q4/2018</v>
      </c>
      <c r="C183" s="82">
        <f t="shared" si="69"/>
        <v>43374</v>
      </c>
      <c r="D183" s="82">
        <f t="shared" si="70"/>
        <v>43465</v>
      </c>
      <c r="E183" s="81">
        <f t="shared" si="67"/>
        <v>92</v>
      </c>
      <c r="F183" s="83">
        <f>VLOOKUP(D183,'FERC Interest Rate'!$A:$B,2,TRUE)</f>
        <v>5.2822580000000001E-2</v>
      </c>
      <c r="G183" s="84">
        <f t="shared" si="68"/>
        <v>2231.7749899429114</v>
      </c>
      <c r="H183" s="84">
        <v>0</v>
      </c>
      <c r="I183" s="109">
        <f t="shared" si="72"/>
        <v>16.642132160741642</v>
      </c>
      <c r="J183" s="85">
        <f t="shared" si="74"/>
        <v>29.714264085588482</v>
      </c>
      <c r="K183" s="129">
        <f t="shared" si="63"/>
        <v>46.356396246330121</v>
      </c>
      <c r="L183" s="85">
        <f t="shared" si="73"/>
        <v>206.53536683354963</v>
      </c>
      <c r="M183" s="130">
        <f t="shared" si="64"/>
        <v>252.89176307987975</v>
      </c>
      <c r="N183" s="8">
        <f t="shared" si="65"/>
        <v>2261.4892540285</v>
      </c>
      <c r="O183" s="84">
        <f t="shared" si="66"/>
        <v>2008.5974909486201</v>
      </c>
    </row>
    <row r="184" spans="1:15" x14ac:dyDescent="0.2">
      <c r="A184" s="96" t="s">
        <v>65</v>
      </c>
      <c r="B184" s="81" t="str">
        <f t="shared" si="71"/>
        <v>Q1/2019</v>
      </c>
      <c r="C184" s="82">
        <f t="shared" si="69"/>
        <v>43466</v>
      </c>
      <c r="D184" s="82">
        <f t="shared" si="70"/>
        <v>43555</v>
      </c>
      <c r="E184" s="81">
        <f t="shared" si="67"/>
        <v>90</v>
      </c>
      <c r="F184" s="83">
        <f>VLOOKUP(D184,'FERC Interest Rate'!$A:$B,2,TRUE)</f>
        <v>5.5296770000000002E-2</v>
      </c>
      <c r="G184" s="84">
        <f t="shared" si="68"/>
        <v>2008.5974909486201</v>
      </c>
      <c r="H184" s="84">
        <v>0</v>
      </c>
      <c r="I184" s="109">
        <f t="shared" si="72"/>
        <v>16.642132160741642</v>
      </c>
      <c r="J184" s="85">
        <f t="shared" si="74"/>
        <v>27.386865241536064</v>
      </c>
      <c r="K184" s="129">
        <f t="shared" si="63"/>
        <v>44.02899740227771</v>
      </c>
      <c r="L184" s="85">
        <f t="shared" si="73"/>
        <v>206.53536683354963</v>
      </c>
      <c r="M184" s="130">
        <f t="shared" si="64"/>
        <v>250.56436423582733</v>
      </c>
      <c r="N184" s="8">
        <f t="shared" si="65"/>
        <v>2035.9843561901562</v>
      </c>
      <c r="O184" s="84">
        <f t="shared" si="66"/>
        <v>1785.4199919543289</v>
      </c>
    </row>
    <row r="185" spans="1:15" x14ac:dyDescent="0.2">
      <c r="A185" s="96" t="s">
        <v>66</v>
      </c>
      <c r="B185" s="81" t="str">
        <f t="shared" si="71"/>
        <v>Q2/2019</v>
      </c>
      <c r="C185" s="82">
        <f t="shared" si="69"/>
        <v>43556</v>
      </c>
      <c r="D185" s="82">
        <f t="shared" si="70"/>
        <v>43646</v>
      </c>
      <c r="E185" s="81">
        <f t="shared" si="67"/>
        <v>91</v>
      </c>
      <c r="F185" s="83">
        <f>VLOOKUP(D185,'FERC Interest Rate'!$A:$B,2,TRUE)</f>
        <v>5.7999999999999996E-2</v>
      </c>
      <c r="G185" s="84">
        <f t="shared" si="68"/>
        <v>1785.4199919543289</v>
      </c>
      <c r="H185" s="84">
        <v>0</v>
      </c>
      <c r="I185" s="109">
        <f t="shared" si="72"/>
        <v>16.642132160741642</v>
      </c>
      <c r="J185" s="85">
        <f t="shared" si="74"/>
        <v>25.817662239821775</v>
      </c>
      <c r="K185" s="129">
        <f t="shared" si="63"/>
        <v>42.459794400563418</v>
      </c>
      <c r="L185" s="85">
        <f t="shared" si="73"/>
        <v>206.53536683354963</v>
      </c>
      <c r="M185" s="130">
        <f t="shared" si="64"/>
        <v>248.99516123411306</v>
      </c>
      <c r="N185" s="8">
        <f t="shared" si="65"/>
        <v>1811.2376541941508</v>
      </c>
      <c r="O185" s="84">
        <f t="shared" si="66"/>
        <v>1562.2424929600377</v>
      </c>
    </row>
    <row r="186" spans="1:15" x14ac:dyDescent="0.2">
      <c r="A186" s="96" t="s">
        <v>67</v>
      </c>
      <c r="B186" s="81" t="str">
        <f t="shared" si="71"/>
        <v>Q3/2019</v>
      </c>
      <c r="C186" s="82">
        <f t="shared" si="69"/>
        <v>43647</v>
      </c>
      <c r="D186" s="82">
        <f t="shared" si="70"/>
        <v>43738</v>
      </c>
      <c r="E186" s="81">
        <f t="shared" si="67"/>
        <v>92</v>
      </c>
      <c r="F186" s="83">
        <f>VLOOKUP(D186,'FERC Interest Rate'!$A:$B,2,TRUE)</f>
        <v>0.06</v>
      </c>
      <c r="G186" s="84">
        <f t="shared" si="68"/>
        <v>1562.2424929600377</v>
      </c>
      <c r="H186" s="84">
        <v>0</v>
      </c>
      <c r="I186" s="109">
        <f t="shared" si="72"/>
        <v>16.642132160741642</v>
      </c>
      <c r="J186" s="85">
        <f t="shared" si="74"/>
        <v>23.626242633258652</v>
      </c>
      <c r="K186" s="129">
        <f t="shared" si="63"/>
        <v>40.268374794000295</v>
      </c>
      <c r="L186" s="85">
        <f t="shared" si="73"/>
        <v>206.53536683354963</v>
      </c>
      <c r="M186" s="130">
        <f t="shared" si="64"/>
        <v>246.80374162754993</v>
      </c>
      <c r="N186" s="8">
        <f t="shared" si="65"/>
        <v>1585.8687355932964</v>
      </c>
      <c r="O186" s="84">
        <f t="shared" si="66"/>
        <v>1339.0649939657465</v>
      </c>
    </row>
    <row r="187" spans="1:15" x14ac:dyDescent="0.2">
      <c r="A187" s="96" t="s">
        <v>68</v>
      </c>
      <c r="B187" s="81" t="str">
        <f t="shared" si="71"/>
        <v>Q4/2019</v>
      </c>
      <c r="C187" s="82">
        <f t="shared" si="69"/>
        <v>43739</v>
      </c>
      <c r="D187" s="82">
        <f t="shared" si="70"/>
        <v>43830</v>
      </c>
      <c r="E187" s="81">
        <f t="shared" si="67"/>
        <v>92</v>
      </c>
      <c r="F187" s="83">
        <f>VLOOKUP(D187,'FERC Interest Rate'!$A:$B,2,TRUE)</f>
        <v>6.0349460000000001E-2</v>
      </c>
      <c r="G187" s="84">
        <f t="shared" si="68"/>
        <v>1339.0649939657465</v>
      </c>
      <c r="H187" s="84">
        <v>0</v>
      </c>
      <c r="I187" s="109">
        <f t="shared" si="72"/>
        <v>16.642132160741642</v>
      </c>
      <c r="J187" s="85">
        <f t="shared" si="74"/>
        <v>20.369014067801967</v>
      </c>
      <c r="K187" s="129">
        <f t="shared" si="63"/>
        <v>37.011146228543609</v>
      </c>
      <c r="L187" s="85">
        <f t="shared" si="73"/>
        <v>206.53536683354963</v>
      </c>
      <c r="M187" s="130">
        <f t="shared" si="64"/>
        <v>243.54651306209325</v>
      </c>
      <c r="N187" s="8">
        <f t="shared" si="65"/>
        <v>1359.4340080335485</v>
      </c>
      <c r="O187" s="84">
        <f t="shared" si="66"/>
        <v>1115.8874949714552</v>
      </c>
    </row>
    <row r="188" spans="1:15" x14ac:dyDescent="0.2">
      <c r="A188" s="96" t="s">
        <v>69</v>
      </c>
      <c r="B188" s="81" t="str">
        <f t="shared" si="71"/>
        <v>Q1/2020</v>
      </c>
      <c r="C188" s="82">
        <f t="shared" si="69"/>
        <v>43831</v>
      </c>
      <c r="D188" s="82">
        <f t="shared" si="70"/>
        <v>43921</v>
      </c>
      <c r="E188" s="81">
        <f t="shared" si="67"/>
        <v>91</v>
      </c>
      <c r="F188" s="83">
        <f>VLOOKUP(D188,'FERC Interest Rate'!$A:$B,2,TRUE)</f>
        <v>6.2501040000000008E-2</v>
      </c>
      <c r="G188" s="84">
        <f t="shared" si="68"/>
        <v>1115.8874949714552</v>
      </c>
      <c r="H188" s="84">
        <v>0</v>
      </c>
      <c r="I188" s="109">
        <f t="shared" si="72"/>
        <v>16.642132160741642</v>
      </c>
      <c r="J188" s="85">
        <f t="shared" si="74"/>
        <v>17.34075337497999</v>
      </c>
      <c r="K188" s="129">
        <f t="shared" si="63"/>
        <v>33.982885535721636</v>
      </c>
      <c r="L188" s="85">
        <f t="shared" si="73"/>
        <v>206.53536683354963</v>
      </c>
      <c r="M188" s="130">
        <f t="shared" si="64"/>
        <v>240.51825236927127</v>
      </c>
      <c r="N188" s="8">
        <f t="shared" si="65"/>
        <v>1133.2282483464353</v>
      </c>
      <c r="O188" s="84">
        <f t="shared" si="66"/>
        <v>892.70999597716389</v>
      </c>
    </row>
    <row r="189" spans="1:15" x14ac:dyDescent="0.2">
      <c r="A189" s="96" t="s">
        <v>70</v>
      </c>
      <c r="B189" s="81" t="str">
        <f t="shared" si="71"/>
        <v>Q2/2020</v>
      </c>
      <c r="C189" s="82">
        <f t="shared" si="69"/>
        <v>43922</v>
      </c>
      <c r="D189" s="82">
        <f t="shared" si="70"/>
        <v>44012</v>
      </c>
      <c r="E189" s="81">
        <f t="shared" si="67"/>
        <v>91</v>
      </c>
      <c r="F189" s="83">
        <f>VLOOKUP(D189,'FERC Interest Rate'!$A:$B,2,TRUE)</f>
        <v>6.3055559999999997E-2</v>
      </c>
      <c r="G189" s="84">
        <f t="shared" si="68"/>
        <v>892.70999597716389</v>
      </c>
      <c r="H189" s="84">
        <v>0</v>
      </c>
      <c r="I189" s="109">
        <f t="shared" si="72"/>
        <v>16.642132160741642</v>
      </c>
      <c r="J189" s="85">
        <f t="shared" si="74"/>
        <v>13.995682822317871</v>
      </c>
      <c r="K189" s="129">
        <f t="shared" si="63"/>
        <v>30.637814983059513</v>
      </c>
      <c r="L189" s="85">
        <f t="shared" si="73"/>
        <v>206.53536683354963</v>
      </c>
      <c r="M189" s="130">
        <f t="shared" si="64"/>
        <v>237.17318181660914</v>
      </c>
      <c r="N189" s="8">
        <f t="shared" si="65"/>
        <v>906.7056787994818</v>
      </c>
      <c r="O189" s="84">
        <f t="shared" si="66"/>
        <v>669.53249698287266</v>
      </c>
    </row>
    <row r="190" spans="1:15" x14ac:dyDescent="0.2">
      <c r="A190" s="96" t="s">
        <v>71</v>
      </c>
      <c r="B190" s="81" t="str">
        <f>+IF(MONTH(C190)&lt;4,"Q1",IF(MONTH(C190)&lt;7,"Q2",IF(MONTH(C190)&lt;10,"Q3","Q4")))&amp;"/"&amp;YEAR(C190)</f>
        <v>Q3/2020</v>
      </c>
      <c r="C190" s="82">
        <f t="shared" si="69"/>
        <v>44013</v>
      </c>
      <c r="D190" s="82">
        <f t="shared" si="70"/>
        <v>44104</v>
      </c>
      <c r="E190" s="81">
        <f t="shared" si="67"/>
        <v>92</v>
      </c>
      <c r="F190" s="83">
        <f>VLOOKUP(D190,'FERC Interest Rate'!$A:$B,2,TRUE)</f>
        <v>6.5000000000000002E-2</v>
      </c>
      <c r="G190" s="84">
        <f t="shared" si="68"/>
        <v>669.53249698287266</v>
      </c>
      <c r="H190" s="84">
        <v>0</v>
      </c>
      <c r="I190" s="109">
        <f t="shared" si="72"/>
        <v>16.642132160741642</v>
      </c>
      <c r="J190" s="85">
        <f t="shared" si="74"/>
        <v>10.939356098244751</v>
      </c>
      <c r="K190" s="129">
        <f t="shared" si="63"/>
        <v>27.581488258986393</v>
      </c>
      <c r="L190" s="85">
        <f t="shared" si="73"/>
        <v>206.53536683354963</v>
      </c>
      <c r="M190" s="130">
        <f t="shared" si="64"/>
        <v>234.11685509253601</v>
      </c>
      <c r="N190" s="8">
        <f t="shared" si="65"/>
        <v>680.47185308111739</v>
      </c>
      <c r="O190" s="84">
        <f t="shared" si="66"/>
        <v>446.35499798858137</v>
      </c>
    </row>
    <row r="191" spans="1:15" x14ac:dyDescent="0.2">
      <c r="A191" s="96" t="s">
        <v>72</v>
      </c>
      <c r="B191" s="81" t="str">
        <f>+IF(MONTH(C191)&lt;4,"Q1",IF(MONTH(C191)&lt;7,"Q2",IF(MONTH(C191)&lt;10,"Q3","Q4")))&amp;"/"&amp;YEAR(C191)</f>
        <v>Q4/2020</v>
      </c>
      <c r="C191" s="82">
        <f t="shared" si="69"/>
        <v>44105</v>
      </c>
      <c r="D191" s="82">
        <f t="shared" si="70"/>
        <v>44196</v>
      </c>
      <c r="E191" s="81">
        <f t="shared" si="67"/>
        <v>92</v>
      </c>
      <c r="F191" s="83">
        <f>VLOOKUP(D191,'FERC Interest Rate'!$A:$B,2,TRUE)</f>
        <v>6.5000000000000002E-2</v>
      </c>
      <c r="G191" s="84">
        <f t="shared" si="68"/>
        <v>446.35499798858137</v>
      </c>
      <c r="H191" s="84">
        <v>0</v>
      </c>
      <c r="I191" s="109">
        <f t="shared" si="72"/>
        <v>16.642132160741642</v>
      </c>
      <c r="J191" s="85">
        <f t="shared" si="74"/>
        <v>7.2929040654964936</v>
      </c>
      <c r="K191" s="129">
        <f t="shared" si="63"/>
        <v>23.935036226238136</v>
      </c>
      <c r="L191" s="85">
        <f t="shared" si="73"/>
        <v>206.53536683354963</v>
      </c>
      <c r="M191" s="130">
        <f t="shared" si="64"/>
        <v>230.47040305978777</v>
      </c>
      <c r="N191" s="8">
        <f t="shared" si="65"/>
        <v>453.64790205407786</v>
      </c>
      <c r="O191" s="84">
        <f t="shared" si="66"/>
        <v>223.17749899429009</v>
      </c>
    </row>
    <row r="192" spans="1:15" x14ac:dyDescent="0.2">
      <c r="A192" s="96" t="s">
        <v>73</v>
      </c>
      <c r="B192" s="81" t="str">
        <f>+IF(MONTH(C192)&lt;4,"Q1",IF(MONTH(C192)&lt;7,"Q2",IF(MONTH(C192)&lt;10,"Q3","Q4")))&amp;"/"&amp;YEAR(C192)</f>
        <v>Q1/2021</v>
      </c>
      <c r="C192" s="82">
        <f t="shared" si="69"/>
        <v>44197</v>
      </c>
      <c r="D192" s="82">
        <f t="shared" si="70"/>
        <v>44286</v>
      </c>
      <c r="E192" s="81">
        <f t="shared" si="67"/>
        <v>90</v>
      </c>
      <c r="F192" s="83">
        <f>VLOOKUP(D192,'FERC Interest Rate'!$A:$B,2,TRUE)</f>
        <v>6.5000000000000002E-2</v>
      </c>
      <c r="G192" s="84">
        <f t="shared" si="68"/>
        <v>223.17749899429009</v>
      </c>
      <c r="H192" s="84">
        <v>0</v>
      </c>
      <c r="I192" s="109">
        <f t="shared" si="72"/>
        <v>16.642132160741642</v>
      </c>
      <c r="J192" s="85">
        <f t="shared" si="74"/>
        <v>3.5769544359358822</v>
      </c>
      <c r="K192" s="129">
        <f t="shared" si="63"/>
        <v>20.219086596677524</v>
      </c>
      <c r="L192" s="85">
        <f t="shared" si="73"/>
        <v>206.53536683354963</v>
      </c>
      <c r="M192" s="130">
        <f t="shared" si="64"/>
        <v>226.75445343022716</v>
      </c>
      <c r="N192" s="8">
        <f t="shared" si="65"/>
        <v>226.75445343022596</v>
      </c>
      <c r="O192" s="84">
        <f t="shared" si="66"/>
        <v>-1.1830536550405668E-12</v>
      </c>
    </row>
    <row r="193" spans="1:15" x14ac:dyDescent="0.2">
      <c r="A193" s="96"/>
      <c r="B193" s="81"/>
      <c r="C193" s="82"/>
      <c r="D193" s="82"/>
      <c r="E193" s="81"/>
      <c r="F193" s="83"/>
      <c r="G193" s="84"/>
      <c r="H193" s="84"/>
      <c r="I193" s="109"/>
      <c r="J193" s="85"/>
      <c r="K193" s="129"/>
      <c r="L193" s="85"/>
      <c r="M193" s="130"/>
      <c r="N193" s="8"/>
      <c r="O193" s="84"/>
    </row>
    <row r="194" spans="1:15" ht="13.5" thickBot="1" x14ac:dyDescent="0.25">
      <c r="A194" s="151"/>
      <c r="B194" s="152"/>
      <c r="C194" s="153"/>
      <c r="D194" s="153"/>
      <c r="E194" s="154"/>
      <c r="F194" s="152"/>
      <c r="G194" s="137">
        <f>SUM(G167:G193)</f>
        <v>72995.956819199491</v>
      </c>
      <c r="H194" s="137">
        <f>SUM(H167:H193)</f>
        <v>332.84264321483283</v>
      </c>
      <c r="I194" s="138">
        <f t="shared" ref="I194:O194" si="75">SUM(I167:I193)</f>
        <v>332.84264321483295</v>
      </c>
      <c r="J194" s="137">
        <f t="shared" si="75"/>
        <v>409.10780374374372</v>
      </c>
      <c r="K194" s="137">
        <f t="shared" si="75"/>
        <v>741.95044695857644</v>
      </c>
      <c r="L194" s="137">
        <f t="shared" si="75"/>
        <v>4130.7073366709928</v>
      </c>
      <c r="M194" s="139">
        <f t="shared" si="75"/>
        <v>4872.6577836295683</v>
      </c>
      <c r="N194" s="137">
        <f t="shared" si="75"/>
        <v>73737.907266158058</v>
      </c>
      <c r="O194" s="137">
        <f t="shared" si="75"/>
        <v>68865.249482528496</v>
      </c>
    </row>
    <row r="195" spans="1:15" ht="13.5" thickTop="1" x14ac:dyDescent="0.2">
      <c r="B195" s="117"/>
      <c r="C195" s="117"/>
      <c r="D195" s="117"/>
      <c r="E195" s="117"/>
      <c r="F195" s="117"/>
      <c r="G195" s="117"/>
      <c r="H195" s="117"/>
      <c r="I195" s="116"/>
      <c r="J195" s="117"/>
      <c r="K195" s="117"/>
      <c r="L195" s="117"/>
      <c r="M195" s="131"/>
      <c r="O195" s="117"/>
    </row>
    <row r="196" spans="1:15" ht="38.25" x14ac:dyDescent="0.2">
      <c r="A196" s="90" t="s">
        <v>53</v>
      </c>
      <c r="B196" s="90" t="s">
        <v>3</v>
      </c>
      <c r="C196" s="90" t="s">
        <v>4</v>
      </c>
      <c r="D196" s="90" t="s">
        <v>5</v>
      </c>
      <c r="E196" s="90" t="s">
        <v>6</v>
      </c>
      <c r="F196" s="90" t="s">
        <v>7</v>
      </c>
      <c r="G196" s="90" t="s">
        <v>93</v>
      </c>
      <c r="H196" s="90" t="s">
        <v>94</v>
      </c>
      <c r="I196" s="105" t="s">
        <v>95</v>
      </c>
      <c r="J196" s="106" t="s">
        <v>96</v>
      </c>
      <c r="K196" s="106" t="s">
        <v>97</v>
      </c>
      <c r="L196" s="106" t="s">
        <v>98</v>
      </c>
      <c r="M196" s="107" t="s">
        <v>99</v>
      </c>
      <c r="N196" s="90" t="s">
        <v>100</v>
      </c>
      <c r="O196" s="90" t="s">
        <v>101</v>
      </c>
    </row>
    <row r="197" spans="1:15" x14ac:dyDescent="0.2">
      <c r="A197" s="309" t="s">
        <v>15</v>
      </c>
      <c r="B197" s="309"/>
      <c r="C197" s="282">
        <f>VLOOKUP(B198,A$1:F$19,2,FALSE)</f>
        <v>42058</v>
      </c>
      <c r="D197" s="282">
        <f>DATE(YEAR(C197),IF(MONTH(C197)&lt;=3,3,IF(MONTH(C197)&lt;=6,6,IF(MONTH(C197)&lt;=9,9,12))),IF(OR(MONTH(C197)&lt;=3,MONTH(C197)&gt;=10),31,30))</f>
        <v>42094</v>
      </c>
      <c r="E197" s="283">
        <f>D197-C197+1</f>
        <v>37</v>
      </c>
      <c r="F197" s="284">
        <f>VLOOKUP(D197,'FERC Interest Rate'!$A:$B,2,TRUE)</f>
        <v>3.2500000000000001E-2</v>
      </c>
      <c r="G197" s="167">
        <f>VLOOKUP(B198,$A$1:$F$23,5,FALSE)</f>
        <v>3923.479325050992</v>
      </c>
      <c r="H197" s="167">
        <f t="shared" ref="H197:H205" si="76">G197*F197*(E197/(DATE(YEAR(D197),12,31)-DATE(YEAR(D197),1,1)+1))</f>
        <v>12.925983255818679</v>
      </c>
      <c r="I197" s="291">
        <v>0</v>
      </c>
      <c r="J197" s="286">
        <v>0</v>
      </c>
      <c r="K197" s="129">
        <f t="shared" ref="K197:K221" si="77">+SUM(I197:J197)</f>
        <v>0</v>
      </c>
      <c r="L197" s="286">
        <v>0</v>
      </c>
      <c r="M197" s="130">
        <f t="shared" ref="M197:M221" si="78">+SUM(K197:L197)</f>
        <v>0</v>
      </c>
      <c r="N197" s="8">
        <f t="shared" ref="N197:N221" si="79">+G197+H197+J197</f>
        <v>3936.4053083068106</v>
      </c>
      <c r="O197" s="167">
        <f t="shared" ref="O197:O221" si="80">G197+H197-L197-I197</f>
        <v>3936.4053083068106</v>
      </c>
    </row>
    <row r="198" spans="1:15" x14ac:dyDescent="0.2">
      <c r="A198" s="275" t="s">
        <v>38</v>
      </c>
      <c r="B198" s="276" t="s">
        <v>58</v>
      </c>
      <c r="C198" s="282">
        <f>D197+1</f>
        <v>42095</v>
      </c>
      <c r="D198" s="282">
        <f>EOMONTH(D197,3)</f>
        <v>42185</v>
      </c>
      <c r="E198" s="283">
        <f t="shared" ref="E198:E221" si="81">D198-C198+1</f>
        <v>91</v>
      </c>
      <c r="F198" s="284">
        <f>VLOOKUP(D198,'FERC Interest Rate'!$A:$B,2,TRUE)</f>
        <v>3.2500000000000001E-2</v>
      </c>
      <c r="G198" s="167">
        <f t="shared" ref="G198:G221" si="82">O197</f>
        <v>3936.4053083068106</v>
      </c>
      <c r="H198" s="167">
        <f t="shared" si="76"/>
        <v>31.895667669362719</v>
      </c>
      <c r="I198" s="291">
        <v>0</v>
      </c>
      <c r="J198" s="286">
        <v>0</v>
      </c>
      <c r="K198" s="129">
        <f t="shared" si="77"/>
        <v>0</v>
      </c>
      <c r="L198" s="286">
        <v>0</v>
      </c>
      <c r="M198" s="130">
        <f t="shared" si="78"/>
        <v>0</v>
      </c>
      <c r="N198" s="8">
        <f t="shared" si="79"/>
        <v>3968.3009759761735</v>
      </c>
      <c r="O198" s="167">
        <f t="shared" si="80"/>
        <v>3968.3009759761735</v>
      </c>
    </row>
    <row r="199" spans="1:15" x14ac:dyDescent="0.2">
      <c r="B199" s="283"/>
      <c r="C199" s="282">
        <f t="shared" ref="C199:C221" si="83">D198+1</f>
        <v>42186</v>
      </c>
      <c r="D199" s="282">
        <f t="shared" ref="D199:D221" si="84">EOMONTH(D198,3)</f>
        <v>42277</v>
      </c>
      <c r="E199" s="283">
        <f t="shared" si="81"/>
        <v>92</v>
      </c>
      <c r="F199" s="284">
        <f>VLOOKUP(D199,'FERC Interest Rate'!$A:$B,2,TRUE)</f>
        <v>3.2500000000000001E-2</v>
      </c>
      <c r="G199" s="167">
        <f t="shared" si="82"/>
        <v>3968.3009759761735</v>
      </c>
      <c r="H199" s="167">
        <f t="shared" si="76"/>
        <v>32.507451830599344</v>
      </c>
      <c r="I199" s="291">
        <v>0</v>
      </c>
      <c r="J199" s="286">
        <v>0</v>
      </c>
      <c r="K199" s="129">
        <f t="shared" si="77"/>
        <v>0</v>
      </c>
      <c r="L199" s="286">
        <v>0</v>
      </c>
      <c r="M199" s="130">
        <f t="shared" si="78"/>
        <v>0</v>
      </c>
      <c r="N199" s="8">
        <f t="shared" si="79"/>
        <v>4000.8084278067727</v>
      </c>
      <c r="O199" s="167">
        <f t="shared" si="80"/>
        <v>4000.8084278067727</v>
      </c>
    </row>
    <row r="200" spans="1:15" x14ac:dyDescent="0.2">
      <c r="B200" s="283"/>
      <c r="C200" s="282">
        <f t="shared" si="83"/>
        <v>42278</v>
      </c>
      <c r="D200" s="282">
        <f t="shared" si="84"/>
        <v>42369</v>
      </c>
      <c r="E200" s="283">
        <f t="shared" si="81"/>
        <v>92</v>
      </c>
      <c r="F200" s="284">
        <f>VLOOKUP(D200,'FERC Interest Rate'!$A:$B,2,TRUE)</f>
        <v>3.2500000000000001E-2</v>
      </c>
      <c r="G200" s="167">
        <f t="shared" si="82"/>
        <v>4000.8084278067727</v>
      </c>
      <c r="H200" s="167">
        <f t="shared" si="76"/>
        <v>32.773745751074664</v>
      </c>
      <c r="I200" s="291">
        <v>0</v>
      </c>
      <c r="J200" s="286">
        <v>0</v>
      </c>
      <c r="K200" s="129">
        <f t="shared" si="77"/>
        <v>0</v>
      </c>
      <c r="L200" s="286">
        <v>0</v>
      </c>
      <c r="M200" s="130">
        <f t="shared" si="78"/>
        <v>0</v>
      </c>
      <c r="N200" s="8">
        <f t="shared" si="79"/>
        <v>4033.5821735578475</v>
      </c>
      <c r="O200" s="167">
        <f t="shared" si="80"/>
        <v>4033.5821735578475</v>
      </c>
    </row>
    <row r="201" spans="1:15" x14ac:dyDescent="0.2">
      <c r="B201" s="283"/>
      <c r="C201" s="282">
        <f t="shared" si="83"/>
        <v>42370</v>
      </c>
      <c r="D201" s="282">
        <f t="shared" si="84"/>
        <v>42460</v>
      </c>
      <c r="E201" s="283">
        <f t="shared" si="81"/>
        <v>91</v>
      </c>
      <c r="F201" s="284">
        <f>VLOOKUP(D201,'FERC Interest Rate'!$A:$B,2,TRUE)</f>
        <v>3.2500000000000001E-2</v>
      </c>
      <c r="G201" s="167">
        <f t="shared" si="82"/>
        <v>4033.5821735578475</v>
      </c>
      <c r="H201" s="167">
        <f t="shared" si="76"/>
        <v>32.593768519938074</v>
      </c>
      <c r="I201" s="291">
        <v>0</v>
      </c>
      <c r="J201" s="286">
        <v>0</v>
      </c>
      <c r="K201" s="129">
        <f t="shared" si="77"/>
        <v>0</v>
      </c>
      <c r="L201" s="286">
        <v>0</v>
      </c>
      <c r="M201" s="130">
        <f t="shared" si="78"/>
        <v>0</v>
      </c>
      <c r="N201" s="8">
        <f t="shared" si="79"/>
        <v>4066.1759420777857</v>
      </c>
      <c r="O201" s="167">
        <f t="shared" si="80"/>
        <v>4066.1759420777857</v>
      </c>
    </row>
    <row r="202" spans="1:15" x14ac:dyDescent="0.2">
      <c r="A202" s="96"/>
      <c r="B202" s="81"/>
      <c r="C202" s="82">
        <f t="shared" si="83"/>
        <v>42461</v>
      </c>
      <c r="D202" s="82">
        <f t="shared" si="84"/>
        <v>42551</v>
      </c>
      <c r="E202" s="81">
        <f t="shared" si="81"/>
        <v>91</v>
      </c>
      <c r="F202" s="83">
        <f>VLOOKUP(D202,'FERC Interest Rate'!$A:$B,2,TRUE)</f>
        <v>3.4599999999999999E-2</v>
      </c>
      <c r="G202" s="84">
        <f t="shared" si="82"/>
        <v>4066.1759420777857</v>
      </c>
      <c r="H202" s="167">
        <f t="shared" si="76"/>
        <v>34.980222872202496</v>
      </c>
      <c r="I202" s="173">
        <v>0</v>
      </c>
      <c r="J202" s="286">
        <v>0</v>
      </c>
      <c r="K202" s="129">
        <f t="shared" si="77"/>
        <v>0</v>
      </c>
      <c r="L202" s="85">
        <v>0</v>
      </c>
      <c r="M202" s="130">
        <f t="shared" si="78"/>
        <v>0</v>
      </c>
      <c r="N202" s="8">
        <f t="shared" si="79"/>
        <v>4101.1561649499881</v>
      </c>
      <c r="O202" s="84">
        <f t="shared" si="80"/>
        <v>4101.1561649499881</v>
      </c>
    </row>
    <row r="203" spans="1:15" x14ac:dyDescent="0.2">
      <c r="A203" s="96"/>
      <c r="B203" s="81"/>
      <c r="C203" s="82">
        <f t="shared" si="83"/>
        <v>42552</v>
      </c>
      <c r="D203" s="82">
        <f t="shared" si="84"/>
        <v>42643</v>
      </c>
      <c r="E203" s="81">
        <f t="shared" si="81"/>
        <v>92</v>
      </c>
      <c r="F203" s="83">
        <f>VLOOKUP(D203,'FERC Interest Rate'!$A:$B,2,TRUE)</f>
        <v>3.5000000000000003E-2</v>
      </c>
      <c r="G203" s="84">
        <f t="shared" si="82"/>
        <v>4101.1561649499881</v>
      </c>
      <c r="H203" s="84">
        <f t="shared" si="76"/>
        <v>36.081209975789513</v>
      </c>
      <c r="I203" s="173">
        <v>0</v>
      </c>
      <c r="J203" s="85">
        <v>0</v>
      </c>
      <c r="K203" s="129">
        <f t="shared" si="77"/>
        <v>0</v>
      </c>
      <c r="L203" s="85">
        <v>0</v>
      </c>
      <c r="M203" s="130">
        <f t="shared" si="78"/>
        <v>0</v>
      </c>
      <c r="N203" s="8">
        <f t="shared" si="79"/>
        <v>4137.2373749257777</v>
      </c>
      <c r="O203" s="84">
        <f t="shared" si="80"/>
        <v>4137.2373749257777</v>
      </c>
    </row>
    <row r="204" spans="1:15" x14ac:dyDescent="0.2">
      <c r="A204" s="96"/>
      <c r="B204" s="81"/>
      <c r="C204" s="82">
        <f t="shared" si="83"/>
        <v>42644</v>
      </c>
      <c r="D204" s="82">
        <f t="shared" si="84"/>
        <v>42735</v>
      </c>
      <c r="E204" s="81">
        <f t="shared" si="81"/>
        <v>92</v>
      </c>
      <c r="F204" s="83">
        <f>VLOOKUP(D204,'FERC Interest Rate'!$A:$B,2,TRUE)</f>
        <v>3.5000000000000003E-2</v>
      </c>
      <c r="G204" s="84">
        <f t="shared" si="82"/>
        <v>4137.2373749257777</v>
      </c>
      <c r="H204" s="84">
        <f t="shared" si="76"/>
        <v>36.398645757543733</v>
      </c>
      <c r="I204" s="173">
        <v>0</v>
      </c>
      <c r="J204" s="85">
        <v>0</v>
      </c>
      <c r="K204" s="129">
        <f t="shared" si="77"/>
        <v>0</v>
      </c>
      <c r="L204" s="85">
        <v>0</v>
      </c>
      <c r="M204" s="130">
        <f t="shared" si="78"/>
        <v>0</v>
      </c>
      <c r="N204" s="8">
        <f t="shared" si="79"/>
        <v>4173.6360206833215</v>
      </c>
      <c r="O204" s="84">
        <f t="shared" si="80"/>
        <v>4173.6360206833215</v>
      </c>
    </row>
    <row r="205" spans="1:15" x14ac:dyDescent="0.2">
      <c r="A205" s="96" t="s">
        <v>102</v>
      </c>
      <c r="B205" s="81" t="str">
        <f t="shared" ref="B205:B218" si="85">+IF(MONTH(C205)&lt;4,"Q1",IF(MONTH(C205)&lt;7,"Q2",IF(MONTH(C205)&lt;10,"Q3","Q4")))&amp;"/"&amp;YEAR(C205)</f>
        <v>Q1/2017</v>
      </c>
      <c r="C205" s="82">
        <f t="shared" si="83"/>
        <v>42736</v>
      </c>
      <c r="D205" s="82">
        <f t="shared" si="84"/>
        <v>42825</v>
      </c>
      <c r="E205" s="81">
        <f t="shared" si="81"/>
        <v>90</v>
      </c>
      <c r="F205" s="83">
        <f>VLOOKUP(D205,'FERC Interest Rate'!$A:$B,2,TRUE)</f>
        <v>3.5000000000000003E-2</v>
      </c>
      <c r="G205" s="84">
        <f t="shared" si="82"/>
        <v>4173.6360206833215</v>
      </c>
      <c r="H205" s="84">
        <f t="shared" si="76"/>
        <v>36.0190505894588</v>
      </c>
      <c r="I205" s="173">
        <f>SUM($H$197:$H$222)/20*4</f>
        <v>57.235149244357601</v>
      </c>
      <c r="J205" s="85">
        <f t="shared" ref="J205:J221" si="86">G205*F205*(E205/(DATE(YEAR(D205),12,31)-DATE(YEAR(D205),1,1)+1))</f>
        <v>36.0190505894588</v>
      </c>
      <c r="K205" s="129">
        <f t="shared" si="77"/>
        <v>93.254199833816401</v>
      </c>
      <c r="L205" s="85">
        <f>VLOOKUP($B$198,A$1:F$19,5,FALSE)/20*4</f>
        <v>784.69586501019842</v>
      </c>
      <c r="M205" s="130">
        <f t="shared" si="78"/>
        <v>877.95006484401483</v>
      </c>
      <c r="N205" s="8">
        <f t="shared" si="79"/>
        <v>4245.6741218622392</v>
      </c>
      <c r="O205" s="84">
        <f t="shared" si="80"/>
        <v>3367.7240570182244</v>
      </c>
    </row>
    <row r="206" spans="1:15" x14ac:dyDescent="0.2">
      <c r="A206" s="96" t="s">
        <v>58</v>
      </c>
      <c r="B206" s="81" t="str">
        <f t="shared" si="85"/>
        <v>Q2/2017</v>
      </c>
      <c r="C206" s="82">
        <f t="shared" si="83"/>
        <v>42826</v>
      </c>
      <c r="D206" s="82">
        <f t="shared" si="84"/>
        <v>42916</v>
      </c>
      <c r="E206" s="81">
        <f t="shared" si="81"/>
        <v>91</v>
      </c>
      <c r="F206" s="83">
        <f>VLOOKUP(D206,'FERC Interest Rate'!$A:$B,2,TRUE)</f>
        <v>3.7100000000000001E-2</v>
      </c>
      <c r="G206" s="84">
        <f t="shared" si="82"/>
        <v>3367.7240570182244</v>
      </c>
      <c r="H206" s="84">
        <v>0</v>
      </c>
      <c r="I206" s="109">
        <f>SUM($H$197:$H$222)/20</f>
        <v>14.3087873110894</v>
      </c>
      <c r="J206" s="85">
        <f t="shared" si="86"/>
        <v>31.15006353123076</v>
      </c>
      <c r="K206" s="129">
        <f t="shared" si="77"/>
        <v>45.45885084232016</v>
      </c>
      <c r="L206" s="85">
        <f t="shared" ref="L206:L221" si="87">VLOOKUP($B$198,A$1:F$19,5,FALSE)/20</f>
        <v>196.1739662525496</v>
      </c>
      <c r="M206" s="130">
        <f t="shared" si="78"/>
        <v>241.63281709486978</v>
      </c>
      <c r="N206" s="8">
        <f t="shared" si="79"/>
        <v>3398.8741205494553</v>
      </c>
      <c r="O206" s="84">
        <f t="shared" si="80"/>
        <v>3157.2413034545852</v>
      </c>
    </row>
    <row r="207" spans="1:15" x14ac:dyDescent="0.2">
      <c r="A207" s="96" t="s">
        <v>59</v>
      </c>
      <c r="B207" s="81" t="str">
        <f t="shared" si="85"/>
        <v>Q3/2017</v>
      </c>
      <c r="C207" s="82">
        <f t="shared" si="83"/>
        <v>42917</v>
      </c>
      <c r="D207" s="82">
        <f t="shared" si="84"/>
        <v>43008</v>
      </c>
      <c r="E207" s="81">
        <f t="shared" si="81"/>
        <v>92</v>
      </c>
      <c r="F207" s="83">
        <f>VLOOKUP(D207,'FERC Interest Rate'!$A:$B,2,TRUE)</f>
        <v>3.9600000000000003E-2</v>
      </c>
      <c r="G207" s="84">
        <f t="shared" si="82"/>
        <v>3157.2413034545852</v>
      </c>
      <c r="H207" s="84">
        <v>0</v>
      </c>
      <c r="I207" s="109">
        <f>SUM($H$197:$H$222)/20</f>
        <v>14.3087873110894</v>
      </c>
      <c r="J207" s="85">
        <f t="shared" si="86"/>
        <v>31.51359319656369</v>
      </c>
      <c r="K207" s="129">
        <f t="shared" si="77"/>
        <v>45.822380507653094</v>
      </c>
      <c r="L207" s="85">
        <f t="shared" si="87"/>
        <v>196.1739662525496</v>
      </c>
      <c r="M207" s="130">
        <f t="shared" si="78"/>
        <v>241.9963467602027</v>
      </c>
      <c r="N207" s="8">
        <f t="shared" si="79"/>
        <v>3188.754896651149</v>
      </c>
      <c r="O207" s="84">
        <f t="shared" si="80"/>
        <v>2946.7585498909461</v>
      </c>
    </row>
    <row r="208" spans="1:15" x14ac:dyDescent="0.2">
      <c r="A208" s="96" t="s">
        <v>60</v>
      </c>
      <c r="B208" s="81" t="str">
        <f t="shared" si="85"/>
        <v>Q4/2017</v>
      </c>
      <c r="C208" s="82">
        <f t="shared" si="83"/>
        <v>43009</v>
      </c>
      <c r="D208" s="82">
        <f t="shared" si="84"/>
        <v>43100</v>
      </c>
      <c r="E208" s="81">
        <f t="shared" si="81"/>
        <v>92</v>
      </c>
      <c r="F208" s="83">
        <f>VLOOKUP(D208,'FERC Interest Rate'!$A:$B,2,TRUE)</f>
        <v>4.2099999999999999E-2</v>
      </c>
      <c r="G208" s="84">
        <f t="shared" si="82"/>
        <v>2946.7585498909461</v>
      </c>
      <c r="H208" s="84">
        <v>0</v>
      </c>
      <c r="I208" s="109">
        <f t="shared" ref="I208:I221" si="88">SUM($H$197:$H$222)/20</f>
        <v>14.3087873110894</v>
      </c>
      <c r="J208" s="85">
        <f t="shared" si="86"/>
        <v>31.269548535445516</v>
      </c>
      <c r="K208" s="129">
        <f t="shared" si="77"/>
        <v>45.578335846534912</v>
      </c>
      <c r="L208" s="85">
        <f t="shared" si="87"/>
        <v>196.1739662525496</v>
      </c>
      <c r="M208" s="130">
        <f t="shared" si="78"/>
        <v>241.75230209908452</v>
      </c>
      <c r="N208" s="8">
        <f t="shared" si="79"/>
        <v>2978.0280984263918</v>
      </c>
      <c r="O208" s="84">
        <f t="shared" si="80"/>
        <v>2736.275796327307</v>
      </c>
    </row>
    <row r="209" spans="1:15" x14ac:dyDescent="0.2">
      <c r="A209" s="96" t="s">
        <v>61</v>
      </c>
      <c r="B209" s="81" t="str">
        <f t="shared" si="85"/>
        <v>Q1/2018</v>
      </c>
      <c r="C209" s="82">
        <f t="shared" si="83"/>
        <v>43101</v>
      </c>
      <c r="D209" s="82">
        <f t="shared" si="84"/>
        <v>43190</v>
      </c>
      <c r="E209" s="81">
        <f t="shared" si="81"/>
        <v>90</v>
      </c>
      <c r="F209" s="83">
        <f>VLOOKUP(D209,'FERC Interest Rate'!$A:$B,2,TRUE)</f>
        <v>4.2500000000000003E-2</v>
      </c>
      <c r="G209" s="84">
        <f t="shared" si="82"/>
        <v>2736.275796327307</v>
      </c>
      <c r="H209" s="84">
        <v>0</v>
      </c>
      <c r="I209" s="109">
        <f t="shared" si="88"/>
        <v>14.3087873110894</v>
      </c>
      <c r="J209" s="85">
        <f>G209*F209*(E209/(DATE(YEAR(D209),12,31)-DATE(YEAR(D209),1,1)+1))</f>
        <v>28.674671016306711</v>
      </c>
      <c r="K209" s="129">
        <f t="shared" si="77"/>
        <v>42.983458327396107</v>
      </c>
      <c r="L209" s="85">
        <f t="shared" si="87"/>
        <v>196.1739662525496</v>
      </c>
      <c r="M209" s="130">
        <f t="shared" si="78"/>
        <v>239.15742457994571</v>
      </c>
      <c r="N209" s="8">
        <f t="shared" si="79"/>
        <v>2764.9504673436136</v>
      </c>
      <c r="O209" s="84">
        <f t="shared" si="80"/>
        <v>2525.7930427636679</v>
      </c>
    </row>
    <row r="210" spans="1:15" x14ac:dyDescent="0.2">
      <c r="A210" s="96" t="s">
        <v>62</v>
      </c>
      <c r="B210" s="81" t="str">
        <f t="shared" si="85"/>
        <v>Q2/2018</v>
      </c>
      <c r="C210" s="82">
        <f t="shared" si="83"/>
        <v>43191</v>
      </c>
      <c r="D210" s="82">
        <f t="shared" si="84"/>
        <v>43281</v>
      </c>
      <c r="E210" s="81">
        <f t="shared" si="81"/>
        <v>91</v>
      </c>
      <c r="F210" s="83">
        <f>VLOOKUP(D210,'FERC Interest Rate'!$A:$B,2,TRUE)</f>
        <v>4.4699999999999997E-2</v>
      </c>
      <c r="G210" s="84">
        <f t="shared" si="82"/>
        <v>2525.7930427636679</v>
      </c>
      <c r="H210" s="84">
        <v>0</v>
      </c>
      <c r="I210" s="109">
        <f t="shared" si="88"/>
        <v>14.3087873110894</v>
      </c>
      <c r="J210" s="85">
        <f t="shared" si="86"/>
        <v>28.148406465889785</v>
      </c>
      <c r="K210" s="129">
        <f t="shared" si="77"/>
        <v>42.457193776979182</v>
      </c>
      <c r="L210" s="85">
        <f t="shared" si="87"/>
        <v>196.1739662525496</v>
      </c>
      <c r="M210" s="130">
        <f t="shared" si="78"/>
        <v>238.63116002952879</v>
      </c>
      <c r="N210" s="8">
        <f t="shared" si="79"/>
        <v>2553.9414492295577</v>
      </c>
      <c r="O210" s="84">
        <f t="shared" si="80"/>
        <v>2315.3102892000288</v>
      </c>
    </row>
    <row r="211" spans="1:15" x14ac:dyDescent="0.2">
      <c r="A211" s="96" t="s">
        <v>63</v>
      </c>
      <c r="B211" s="81" t="str">
        <f t="shared" si="85"/>
        <v>Q3/2018</v>
      </c>
      <c r="C211" s="82">
        <f t="shared" si="83"/>
        <v>43282</v>
      </c>
      <c r="D211" s="82">
        <f t="shared" si="84"/>
        <v>43373</v>
      </c>
      <c r="E211" s="81">
        <f t="shared" si="81"/>
        <v>92</v>
      </c>
      <c r="F211" s="83">
        <f>VLOOKUP(D211,'FERC Interest Rate'!$A:$B,2,TRUE)</f>
        <v>5.011111E-2</v>
      </c>
      <c r="G211" s="84">
        <f t="shared" si="82"/>
        <v>2315.3102892000288</v>
      </c>
      <c r="H211" s="84">
        <v>0</v>
      </c>
      <c r="I211" s="109">
        <f t="shared" si="88"/>
        <v>14.3087873110894</v>
      </c>
      <c r="J211" s="85">
        <f t="shared" si="86"/>
        <v>29.244095095708413</v>
      </c>
      <c r="K211" s="129">
        <f t="shared" si="77"/>
        <v>43.552882406797814</v>
      </c>
      <c r="L211" s="85">
        <f t="shared" si="87"/>
        <v>196.1739662525496</v>
      </c>
      <c r="M211" s="130">
        <f t="shared" si="78"/>
        <v>239.72684865934741</v>
      </c>
      <c r="N211" s="8">
        <f t="shared" si="79"/>
        <v>2344.5543842957372</v>
      </c>
      <c r="O211" s="84">
        <f t="shared" si="80"/>
        <v>2104.8275356363897</v>
      </c>
    </row>
    <row r="212" spans="1:15" x14ac:dyDescent="0.2">
      <c r="A212" s="96" t="s">
        <v>64</v>
      </c>
      <c r="B212" s="81" t="str">
        <f t="shared" si="85"/>
        <v>Q4/2018</v>
      </c>
      <c r="C212" s="82">
        <f t="shared" si="83"/>
        <v>43374</v>
      </c>
      <c r="D212" s="82">
        <f t="shared" si="84"/>
        <v>43465</v>
      </c>
      <c r="E212" s="81">
        <f t="shared" si="81"/>
        <v>92</v>
      </c>
      <c r="F212" s="83">
        <f>VLOOKUP(D212,'FERC Interest Rate'!$A:$B,2,TRUE)</f>
        <v>5.2822580000000001E-2</v>
      </c>
      <c r="G212" s="84">
        <f t="shared" si="82"/>
        <v>2104.8275356363897</v>
      </c>
      <c r="H212" s="84">
        <v>0</v>
      </c>
      <c r="I212" s="109">
        <f t="shared" si="88"/>
        <v>14.3087873110894</v>
      </c>
      <c r="J212" s="85">
        <f t="shared" si="86"/>
        <v>28.024062251059608</v>
      </c>
      <c r="K212" s="129">
        <f t="shared" si="77"/>
        <v>42.332849562149008</v>
      </c>
      <c r="L212" s="85">
        <f t="shared" si="87"/>
        <v>196.1739662525496</v>
      </c>
      <c r="M212" s="130">
        <f t="shared" si="78"/>
        <v>238.5068158146986</v>
      </c>
      <c r="N212" s="8">
        <f t="shared" si="79"/>
        <v>2132.8515978874493</v>
      </c>
      <c r="O212" s="84">
        <f t="shared" si="80"/>
        <v>1894.3447820727506</v>
      </c>
    </row>
    <row r="213" spans="1:15" x14ac:dyDescent="0.2">
      <c r="A213" s="96" t="s">
        <v>65</v>
      </c>
      <c r="B213" s="81" t="str">
        <f t="shared" si="85"/>
        <v>Q1/2019</v>
      </c>
      <c r="C213" s="82">
        <f t="shared" si="83"/>
        <v>43466</v>
      </c>
      <c r="D213" s="82">
        <f t="shared" si="84"/>
        <v>43555</v>
      </c>
      <c r="E213" s="81">
        <f t="shared" si="81"/>
        <v>90</v>
      </c>
      <c r="F213" s="83">
        <f>VLOOKUP(D213,'FERC Interest Rate'!$A:$B,2,TRUE)</f>
        <v>5.5296770000000002E-2</v>
      </c>
      <c r="G213" s="84">
        <f t="shared" si="82"/>
        <v>1894.3447820727506</v>
      </c>
      <c r="H213" s="84">
        <v>0</v>
      </c>
      <c r="I213" s="109">
        <f t="shared" si="88"/>
        <v>14.3087873110894</v>
      </c>
      <c r="J213" s="85">
        <f t="shared" si="86"/>
        <v>25.829050121501183</v>
      </c>
      <c r="K213" s="129">
        <f t="shared" si="77"/>
        <v>40.137837432590587</v>
      </c>
      <c r="L213" s="85">
        <f t="shared" si="87"/>
        <v>196.1739662525496</v>
      </c>
      <c r="M213" s="130">
        <f t="shared" si="78"/>
        <v>236.31180368514021</v>
      </c>
      <c r="N213" s="8">
        <f t="shared" si="79"/>
        <v>1920.1738321942519</v>
      </c>
      <c r="O213" s="84">
        <f t="shared" si="80"/>
        <v>1683.8620285091115</v>
      </c>
    </row>
    <row r="214" spans="1:15" x14ac:dyDescent="0.2">
      <c r="A214" s="96" t="s">
        <v>66</v>
      </c>
      <c r="B214" s="81" t="str">
        <f t="shared" si="85"/>
        <v>Q2/2019</v>
      </c>
      <c r="C214" s="82">
        <f t="shared" si="83"/>
        <v>43556</v>
      </c>
      <c r="D214" s="82">
        <f t="shared" si="84"/>
        <v>43646</v>
      </c>
      <c r="E214" s="81">
        <f t="shared" si="81"/>
        <v>91</v>
      </c>
      <c r="F214" s="83">
        <f>VLOOKUP(D214,'FERC Interest Rate'!$A:$B,2,TRUE)</f>
        <v>5.7999999999999996E-2</v>
      </c>
      <c r="G214" s="84">
        <f t="shared" si="82"/>
        <v>1683.8620285091115</v>
      </c>
      <c r="H214" s="84">
        <v>0</v>
      </c>
      <c r="I214" s="109">
        <f t="shared" si="88"/>
        <v>14.3087873110894</v>
      </c>
      <c r="J214" s="85">
        <f t="shared" si="86"/>
        <v>24.349106264304353</v>
      </c>
      <c r="K214" s="129">
        <f t="shared" si="77"/>
        <v>38.657893575393757</v>
      </c>
      <c r="L214" s="85">
        <f t="shared" si="87"/>
        <v>196.1739662525496</v>
      </c>
      <c r="M214" s="130">
        <f t="shared" si="78"/>
        <v>234.83185982794336</v>
      </c>
      <c r="N214" s="8">
        <f t="shared" si="79"/>
        <v>1708.2111347734158</v>
      </c>
      <c r="O214" s="84">
        <f t="shared" si="80"/>
        <v>1473.3792749454724</v>
      </c>
    </row>
    <row r="215" spans="1:15" x14ac:dyDescent="0.2">
      <c r="A215" s="96" t="s">
        <v>67</v>
      </c>
      <c r="B215" s="81" t="str">
        <f t="shared" si="85"/>
        <v>Q3/2019</v>
      </c>
      <c r="C215" s="82">
        <f t="shared" si="83"/>
        <v>43647</v>
      </c>
      <c r="D215" s="82">
        <f t="shared" si="84"/>
        <v>43738</v>
      </c>
      <c r="E215" s="81">
        <f t="shared" si="81"/>
        <v>92</v>
      </c>
      <c r="F215" s="83">
        <f>VLOOKUP(D215,'FERC Interest Rate'!$A:$B,2,TRUE)</f>
        <v>0.06</v>
      </c>
      <c r="G215" s="84">
        <f t="shared" si="82"/>
        <v>1473.3792749454724</v>
      </c>
      <c r="H215" s="84">
        <v>0</v>
      </c>
      <c r="I215" s="109">
        <f t="shared" si="88"/>
        <v>14.3087873110894</v>
      </c>
      <c r="J215" s="85">
        <f t="shared" si="86"/>
        <v>22.282338623832899</v>
      </c>
      <c r="K215" s="129">
        <f t="shared" si="77"/>
        <v>36.591125934922303</v>
      </c>
      <c r="L215" s="85">
        <f t="shared" si="87"/>
        <v>196.1739662525496</v>
      </c>
      <c r="M215" s="130">
        <f t="shared" si="78"/>
        <v>232.76509218747191</v>
      </c>
      <c r="N215" s="8">
        <f t="shared" si="79"/>
        <v>1495.6616135693052</v>
      </c>
      <c r="O215" s="84">
        <f t="shared" si="80"/>
        <v>1262.8965213818333</v>
      </c>
    </row>
    <row r="216" spans="1:15" x14ac:dyDescent="0.2">
      <c r="A216" s="96" t="s">
        <v>68</v>
      </c>
      <c r="B216" s="81" t="str">
        <f t="shared" si="85"/>
        <v>Q4/2019</v>
      </c>
      <c r="C216" s="82">
        <f t="shared" si="83"/>
        <v>43739</v>
      </c>
      <c r="D216" s="82">
        <f t="shared" si="84"/>
        <v>43830</v>
      </c>
      <c r="E216" s="81">
        <f t="shared" si="81"/>
        <v>92</v>
      </c>
      <c r="F216" s="83">
        <f>VLOOKUP(D216,'FERC Interest Rate'!$A:$B,2,TRUE)</f>
        <v>6.0349460000000001E-2</v>
      </c>
      <c r="G216" s="84">
        <f t="shared" si="82"/>
        <v>1262.8965213818333</v>
      </c>
      <c r="H216" s="84">
        <v>0</v>
      </c>
      <c r="I216" s="109">
        <f t="shared" si="88"/>
        <v>14.3087873110894</v>
      </c>
      <c r="J216" s="85">
        <f t="shared" si="86"/>
        <v>19.210387192649407</v>
      </c>
      <c r="K216" s="129">
        <f t="shared" si="77"/>
        <v>33.51917450373881</v>
      </c>
      <c r="L216" s="85">
        <f t="shared" si="87"/>
        <v>196.1739662525496</v>
      </c>
      <c r="M216" s="130">
        <f t="shared" si="78"/>
        <v>229.69314075628841</v>
      </c>
      <c r="N216" s="8">
        <f t="shared" si="79"/>
        <v>1282.1069085744828</v>
      </c>
      <c r="O216" s="84">
        <f t="shared" si="80"/>
        <v>1052.4137678181942</v>
      </c>
    </row>
    <row r="217" spans="1:15" x14ac:dyDescent="0.2">
      <c r="A217" s="96" t="s">
        <v>69</v>
      </c>
      <c r="B217" s="81" t="str">
        <f t="shared" si="85"/>
        <v>Q1/2020</v>
      </c>
      <c r="C217" s="82">
        <f t="shared" si="83"/>
        <v>43831</v>
      </c>
      <c r="D217" s="82">
        <f t="shared" si="84"/>
        <v>43921</v>
      </c>
      <c r="E217" s="81">
        <f t="shared" si="81"/>
        <v>91</v>
      </c>
      <c r="F217" s="83">
        <f>VLOOKUP(D217,'FERC Interest Rate'!$A:$B,2,TRUE)</f>
        <v>6.2501040000000008E-2</v>
      </c>
      <c r="G217" s="84">
        <f t="shared" si="82"/>
        <v>1052.4137678181942</v>
      </c>
      <c r="H217" s="84">
        <v>0</v>
      </c>
      <c r="I217" s="109">
        <f t="shared" si="88"/>
        <v>14.3087873110894</v>
      </c>
      <c r="J217" s="85">
        <f t="shared" si="86"/>
        <v>16.354379521598268</v>
      </c>
      <c r="K217" s="129">
        <f t="shared" si="77"/>
        <v>30.663166832687669</v>
      </c>
      <c r="L217" s="85">
        <f t="shared" si="87"/>
        <v>196.1739662525496</v>
      </c>
      <c r="M217" s="130">
        <f t="shared" si="78"/>
        <v>226.83713308523727</v>
      </c>
      <c r="N217" s="8">
        <f t="shared" si="79"/>
        <v>1068.7681473397924</v>
      </c>
      <c r="O217" s="84">
        <f t="shared" si="80"/>
        <v>841.93101425455518</v>
      </c>
    </row>
    <row r="218" spans="1:15" x14ac:dyDescent="0.2">
      <c r="A218" s="96" t="s">
        <v>70</v>
      </c>
      <c r="B218" s="81" t="str">
        <f t="shared" si="85"/>
        <v>Q2/2020</v>
      </c>
      <c r="C218" s="82">
        <f t="shared" si="83"/>
        <v>43922</v>
      </c>
      <c r="D218" s="82">
        <f t="shared" si="84"/>
        <v>44012</v>
      </c>
      <c r="E218" s="81">
        <f t="shared" si="81"/>
        <v>91</v>
      </c>
      <c r="F218" s="83">
        <f>VLOOKUP(D218,'FERC Interest Rate'!$A:$B,2,TRUE)</f>
        <v>6.3055559999999997E-2</v>
      </c>
      <c r="G218" s="84">
        <f t="shared" si="82"/>
        <v>841.93101425455518</v>
      </c>
      <c r="H218" s="84">
        <v>0</v>
      </c>
      <c r="I218" s="109">
        <f t="shared" si="88"/>
        <v>14.3087873110894</v>
      </c>
      <c r="J218" s="85">
        <f t="shared" si="86"/>
        <v>13.199582716536051</v>
      </c>
      <c r="K218" s="129">
        <f t="shared" si="77"/>
        <v>27.508370027625453</v>
      </c>
      <c r="L218" s="85">
        <f t="shared" si="87"/>
        <v>196.1739662525496</v>
      </c>
      <c r="M218" s="130">
        <f t="shared" si="78"/>
        <v>223.68233628017506</v>
      </c>
      <c r="N218" s="8">
        <f t="shared" si="79"/>
        <v>855.13059697109122</v>
      </c>
      <c r="O218" s="84">
        <f t="shared" si="80"/>
        <v>631.44826069091619</v>
      </c>
    </row>
    <row r="219" spans="1:15" x14ac:dyDescent="0.2">
      <c r="A219" s="96" t="s">
        <v>71</v>
      </c>
      <c r="B219" s="81" t="str">
        <f>+IF(MONTH(C219)&lt;4,"Q1",IF(MONTH(C219)&lt;7,"Q2",IF(MONTH(C219)&lt;10,"Q3","Q4")))&amp;"/"&amp;YEAR(C219)</f>
        <v>Q3/2020</v>
      </c>
      <c r="C219" s="82">
        <f t="shared" si="83"/>
        <v>44013</v>
      </c>
      <c r="D219" s="82">
        <f t="shared" si="84"/>
        <v>44104</v>
      </c>
      <c r="E219" s="81">
        <f t="shared" si="81"/>
        <v>92</v>
      </c>
      <c r="F219" s="83">
        <f>VLOOKUP(D219,'FERC Interest Rate'!$A:$B,2,TRUE)</f>
        <v>6.5000000000000002E-2</v>
      </c>
      <c r="G219" s="84">
        <f t="shared" si="82"/>
        <v>631.44826069091619</v>
      </c>
      <c r="H219" s="84">
        <v>0</v>
      </c>
      <c r="I219" s="109">
        <f t="shared" si="88"/>
        <v>14.3087873110894</v>
      </c>
      <c r="J219" s="85">
        <f t="shared" si="86"/>
        <v>10.317105461561964</v>
      </c>
      <c r="K219" s="129">
        <f t="shared" si="77"/>
        <v>24.625892772651362</v>
      </c>
      <c r="L219" s="85">
        <f t="shared" si="87"/>
        <v>196.1739662525496</v>
      </c>
      <c r="M219" s="130">
        <f t="shared" si="78"/>
        <v>220.79985902520096</v>
      </c>
      <c r="N219" s="8">
        <f t="shared" si="79"/>
        <v>641.76536615247812</v>
      </c>
      <c r="O219" s="84">
        <f t="shared" si="80"/>
        <v>420.96550712727719</v>
      </c>
    </row>
    <row r="220" spans="1:15" x14ac:dyDescent="0.2">
      <c r="A220" s="96" t="s">
        <v>72</v>
      </c>
      <c r="B220" s="81" t="str">
        <f>+IF(MONTH(C220)&lt;4,"Q1",IF(MONTH(C220)&lt;7,"Q2",IF(MONTH(C220)&lt;10,"Q3","Q4")))&amp;"/"&amp;YEAR(C220)</f>
        <v>Q4/2020</v>
      </c>
      <c r="C220" s="82">
        <f t="shared" si="83"/>
        <v>44105</v>
      </c>
      <c r="D220" s="82">
        <f t="shared" si="84"/>
        <v>44196</v>
      </c>
      <c r="E220" s="81">
        <f t="shared" si="81"/>
        <v>92</v>
      </c>
      <c r="F220" s="83">
        <f>VLOOKUP(D220,'FERC Interest Rate'!$A:$B,2,TRUE)</f>
        <v>6.5000000000000002E-2</v>
      </c>
      <c r="G220" s="84">
        <f t="shared" si="82"/>
        <v>420.96550712727719</v>
      </c>
      <c r="H220" s="84">
        <v>0</v>
      </c>
      <c r="I220" s="109">
        <f t="shared" si="88"/>
        <v>14.3087873110894</v>
      </c>
      <c r="J220" s="85">
        <f t="shared" si="86"/>
        <v>6.8780703077079721</v>
      </c>
      <c r="K220" s="129">
        <f t="shared" si="77"/>
        <v>21.186857618797372</v>
      </c>
      <c r="L220" s="85">
        <f t="shared" si="87"/>
        <v>196.1739662525496</v>
      </c>
      <c r="M220" s="130">
        <f t="shared" si="78"/>
        <v>217.36082387134698</v>
      </c>
      <c r="N220" s="8">
        <f t="shared" si="79"/>
        <v>427.84357743498515</v>
      </c>
      <c r="O220" s="84">
        <f t="shared" si="80"/>
        <v>210.4827535636382</v>
      </c>
    </row>
    <row r="221" spans="1:15" x14ac:dyDescent="0.2">
      <c r="A221" s="96" t="s">
        <v>73</v>
      </c>
      <c r="B221" s="81" t="str">
        <f>+IF(MONTH(C221)&lt;4,"Q1",IF(MONTH(C221)&lt;7,"Q2",IF(MONTH(C221)&lt;10,"Q3","Q4")))&amp;"/"&amp;YEAR(C221)</f>
        <v>Q1/2021</v>
      </c>
      <c r="C221" s="82">
        <f t="shared" si="83"/>
        <v>44197</v>
      </c>
      <c r="D221" s="82">
        <f t="shared" si="84"/>
        <v>44286</v>
      </c>
      <c r="E221" s="81">
        <f t="shared" si="81"/>
        <v>90</v>
      </c>
      <c r="F221" s="83">
        <f>VLOOKUP(D221,'FERC Interest Rate'!$A:$B,2,TRUE)</f>
        <v>6.5000000000000002E-2</v>
      </c>
      <c r="G221" s="84">
        <f t="shared" si="82"/>
        <v>210.4827535636382</v>
      </c>
      <c r="H221" s="84">
        <v>0</v>
      </c>
      <c r="I221" s="109">
        <f t="shared" si="88"/>
        <v>14.3087873110894</v>
      </c>
      <c r="J221" s="85">
        <f t="shared" si="86"/>
        <v>3.3734907078007765</v>
      </c>
      <c r="K221" s="129">
        <f t="shared" si="77"/>
        <v>17.682278018890177</v>
      </c>
      <c r="L221" s="85">
        <f t="shared" si="87"/>
        <v>196.1739662525496</v>
      </c>
      <c r="M221" s="130">
        <f t="shared" si="78"/>
        <v>213.85624427143978</v>
      </c>
      <c r="N221" s="8">
        <f t="shared" si="79"/>
        <v>213.85624427143898</v>
      </c>
      <c r="O221" s="84">
        <f t="shared" si="80"/>
        <v>-8.0646600508771371E-13</v>
      </c>
    </row>
    <row r="222" spans="1:15" x14ac:dyDescent="0.2">
      <c r="A222" s="96"/>
      <c r="B222" s="81"/>
      <c r="C222" s="82"/>
      <c r="D222" s="82"/>
      <c r="E222" s="81"/>
      <c r="F222" s="83"/>
      <c r="G222" s="84"/>
      <c r="H222" s="84"/>
      <c r="I222" s="109"/>
      <c r="J222" s="85"/>
      <c r="K222" s="129"/>
      <c r="L222" s="85"/>
      <c r="M222" s="130"/>
      <c r="N222" s="8"/>
      <c r="O222" s="84"/>
    </row>
    <row r="223" spans="1:15" ht="13.5" thickBot="1" x14ac:dyDescent="0.25">
      <c r="A223" s="151"/>
      <c r="B223" s="152"/>
      <c r="C223" s="153"/>
      <c r="D223" s="153"/>
      <c r="E223" s="154"/>
      <c r="F223" s="152"/>
      <c r="G223" s="140">
        <f t="shared" ref="G223:O223" si="89">+SUM(G197:G222)</f>
        <v>64966.436197990362</v>
      </c>
      <c r="H223" s="140">
        <f t="shared" si="89"/>
        <v>286.17574622178802</v>
      </c>
      <c r="I223" s="141">
        <f t="shared" si="89"/>
        <v>286.17574622178796</v>
      </c>
      <c r="J223" s="140">
        <f t="shared" si="89"/>
        <v>385.83700159915617</v>
      </c>
      <c r="K223" s="140">
        <f t="shared" si="89"/>
        <v>672.01274782094424</v>
      </c>
      <c r="L223" s="140">
        <f t="shared" si="89"/>
        <v>3923.4793250509933</v>
      </c>
      <c r="M223" s="142">
        <f t="shared" si="89"/>
        <v>4595.4920728719371</v>
      </c>
      <c r="N223" s="140">
        <f t="shared" si="89"/>
        <v>65638.448945811295</v>
      </c>
      <c r="O223" s="140">
        <f t="shared" si="89"/>
        <v>61042.95687293938</v>
      </c>
    </row>
    <row r="224" spans="1:15" ht="13.5" thickTop="1" x14ac:dyDescent="0.2">
      <c r="B224" s="117"/>
      <c r="C224" s="117"/>
      <c r="D224" s="117"/>
      <c r="E224" s="117"/>
      <c r="F224" s="117"/>
      <c r="G224" s="117"/>
      <c r="H224" s="117"/>
      <c r="I224" s="116"/>
      <c r="J224" s="117"/>
      <c r="K224" s="117"/>
      <c r="L224" s="117"/>
      <c r="M224" s="131"/>
      <c r="O224" s="117"/>
    </row>
    <row r="225" spans="1:15" ht="38.25" x14ac:dyDescent="0.2">
      <c r="A225" s="90" t="s">
        <v>53</v>
      </c>
      <c r="B225" s="90" t="s">
        <v>3</v>
      </c>
      <c r="C225" s="90" t="s">
        <v>4</v>
      </c>
      <c r="D225" s="90" t="s">
        <v>5</v>
      </c>
      <c r="E225" s="90" t="s">
        <v>6</v>
      </c>
      <c r="F225" s="90" t="s">
        <v>7</v>
      </c>
      <c r="G225" s="90" t="s">
        <v>93</v>
      </c>
      <c r="H225" s="90" t="s">
        <v>94</v>
      </c>
      <c r="I225" s="105" t="s">
        <v>95</v>
      </c>
      <c r="J225" s="106" t="s">
        <v>96</v>
      </c>
      <c r="K225" s="106" t="s">
        <v>97</v>
      </c>
      <c r="L225" s="106" t="s">
        <v>98</v>
      </c>
      <c r="M225" s="107" t="s">
        <v>99</v>
      </c>
      <c r="N225" s="90" t="s">
        <v>100</v>
      </c>
      <c r="O225" s="90" t="s">
        <v>101</v>
      </c>
    </row>
    <row r="226" spans="1:15" x14ac:dyDescent="0.2">
      <c r="A226" s="309" t="s">
        <v>15</v>
      </c>
      <c r="B226" s="309"/>
      <c r="C226" s="282">
        <f>VLOOKUP(B227,A$1:F$19,2,FALSE)</f>
        <v>42143</v>
      </c>
      <c r="D226" s="282">
        <f>DATE(YEAR(C226),IF(MONTH(C226)&lt;=3,3,IF(MONTH(C226)&lt;=6,6,IF(MONTH(C226)&lt;=9,9,12))),IF(OR(MONTH(C226)&lt;=3,MONTH(C226)&gt;=10),31,30))</f>
        <v>42185</v>
      </c>
      <c r="E226" s="283">
        <f>D226-C226+1</f>
        <v>43</v>
      </c>
      <c r="F226" s="284">
        <f>VLOOKUP(D226,'FERC Interest Rate'!$A:$B,2,TRUE)</f>
        <v>3.2500000000000001E-2</v>
      </c>
      <c r="G226" s="167">
        <f>VLOOKUP(B227,$A$1:$F$23,5,FALSE)</f>
        <v>2637.7044316706842</v>
      </c>
      <c r="H226" s="167">
        <f t="shared" ref="H226:H233" si="90">G226*F226*(E226/(DATE(YEAR(D226),12,31)-DATE(YEAR(D226),1,1)+1))</f>
        <v>10.099156008930906</v>
      </c>
      <c r="I226" s="291">
        <v>0</v>
      </c>
      <c r="J226" s="286">
        <v>0</v>
      </c>
      <c r="K226" s="288">
        <f t="shared" ref="K226:K249" si="91">+SUM(I226:J226)</f>
        <v>0</v>
      </c>
      <c r="L226" s="286">
        <v>0</v>
      </c>
      <c r="M226" s="289">
        <f t="shared" ref="M226:M249" si="92">+SUM(K226:L226)</f>
        <v>0</v>
      </c>
      <c r="N226" s="290">
        <f t="shared" ref="N226:N249" si="93">+G226+H226+J226</f>
        <v>2647.8035876796152</v>
      </c>
      <c r="O226" s="167">
        <f t="shared" ref="O226:O249" si="94">G226+H226-L226-I226</f>
        <v>2647.8035876796152</v>
      </c>
    </row>
    <row r="227" spans="1:15" x14ac:dyDescent="0.2">
      <c r="A227" s="275" t="s">
        <v>38</v>
      </c>
      <c r="B227" s="276" t="s">
        <v>59</v>
      </c>
      <c r="C227" s="282">
        <f>D226+1</f>
        <v>42186</v>
      </c>
      <c r="D227" s="282">
        <f>EOMONTH(D226,3)</f>
        <v>42277</v>
      </c>
      <c r="E227" s="283">
        <f t="shared" ref="E227:E249" si="95">D227-C227+1</f>
        <v>92</v>
      </c>
      <c r="F227" s="284">
        <f>VLOOKUP(D227,'FERC Interest Rate'!$A:$B,2,TRUE)</f>
        <v>3.2500000000000001E-2</v>
      </c>
      <c r="G227" s="167">
        <f t="shared" ref="G227:G249" si="96">O226</f>
        <v>2647.8035876796152</v>
      </c>
      <c r="H227" s="167">
        <f t="shared" si="90"/>
        <v>21.690226649759044</v>
      </c>
      <c r="I227" s="291">
        <v>0</v>
      </c>
      <c r="J227" s="286">
        <v>0</v>
      </c>
      <c r="K227" s="288">
        <f t="shared" si="91"/>
        <v>0</v>
      </c>
      <c r="L227" s="286">
        <v>0</v>
      </c>
      <c r="M227" s="289">
        <f t="shared" si="92"/>
        <v>0</v>
      </c>
      <c r="N227" s="290">
        <f t="shared" si="93"/>
        <v>2669.4938143293743</v>
      </c>
      <c r="O227" s="167">
        <f t="shared" si="94"/>
        <v>2669.4938143293743</v>
      </c>
    </row>
    <row r="228" spans="1:15" x14ac:dyDescent="0.2">
      <c r="B228" s="283"/>
      <c r="C228" s="282">
        <f t="shared" ref="C228:C249" si="97">D227+1</f>
        <v>42278</v>
      </c>
      <c r="D228" s="282">
        <f t="shared" ref="D228:D249" si="98">EOMONTH(D227,3)</f>
        <v>42369</v>
      </c>
      <c r="E228" s="283">
        <f t="shared" si="95"/>
        <v>92</v>
      </c>
      <c r="F228" s="284">
        <f>VLOOKUP(D228,'FERC Interest Rate'!$A:$B,2,TRUE)</f>
        <v>3.2500000000000001E-2</v>
      </c>
      <c r="G228" s="167">
        <f t="shared" si="96"/>
        <v>2669.4938143293743</v>
      </c>
      <c r="H228" s="167">
        <f t="shared" si="90"/>
        <v>21.867908232451587</v>
      </c>
      <c r="I228" s="291">
        <v>0</v>
      </c>
      <c r="J228" s="286">
        <v>0</v>
      </c>
      <c r="K228" s="288">
        <f t="shared" si="91"/>
        <v>0</v>
      </c>
      <c r="L228" s="286">
        <v>0</v>
      </c>
      <c r="M228" s="289">
        <f t="shared" si="92"/>
        <v>0</v>
      </c>
      <c r="N228" s="290">
        <f t="shared" si="93"/>
        <v>2691.3617225618259</v>
      </c>
      <c r="O228" s="167">
        <f t="shared" si="94"/>
        <v>2691.3617225618259</v>
      </c>
    </row>
    <row r="229" spans="1:15" x14ac:dyDescent="0.2">
      <c r="B229" s="283"/>
      <c r="C229" s="282">
        <f t="shared" si="97"/>
        <v>42370</v>
      </c>
      <c r="D229" s="282">
        <f t="shared" si="98"/>
        <v>42460</v>
      </c>
      <c r="E229" s="283">
        <f t="shared" si="95"/>
        <v>91</v>
      </c>
      <c r="F229" s="284">
        <f>VLOOKUP(D229,'FERC Interest Rate'!$A:$B,2,TRUE)</f>
        <v>3.2500000000000001E-2</v>
      </c>
      <c r="G229" s="167">
        <f t="shared" si="96"/>
        <v>2691.3617225618259</v>
      </c>
      <c r="H229" s="167">
        <f t="shared" si="90"/>
        <v>21.747820476712022</v>
      </c>
      <c r="I229" s="291">
        <v>0</v>
      </c>
      <c r="J229" s="286">
        <v>0</v>
      </c>
      <c r="K229" s="288">
        <f t="shared" si="91"/>
        <v>0</v>
      </c>
      <c r="L229" s="286">
        <v>0</v>
      </c>
      <c r="M229" s="289">
        <f t="shared" si="92"/>
        <v>0</v>
      </c>
      <c r="N229" s="290">
        <f t="shared" si="93"/>
        <v>2713.109543038538</v>
      </c>
      <c r="O229" s="167">
        <f t="shared" si="94"/>
        <v>2713.109543038538</v>
      </c>
    </row>
    <row r="230" spans="1:15" x14ac:dyDescent="0.2">
      <c r="A230" s="96"/>
      <c r="B230" s="81"/>
      <c r="C230" s="82">
        <f t="shared" si="97"/>
        <v>42461</v>
      </c>
      <c r="D230" s="82">
        <f t="shared" si="98"/>
        <v>42551</v>
      </c>
      <c r="E230" s="81">
        <f t="shared" si="95"/>
        <v>91</v>
      </c>
      <c r="F230" s="83">
        <f>VLOOKUP(D230,'FERC Interest Rate'!$A:$B,2,TRUE)</f>
        <v>3.4599999999999999E-2</v>
      </c>
      <c r="G230" s="84">
        <f t="shared" si="96"/>
        <v>2713.109543038538</v>
      </c>
      <c r="H230" s="167">
        <f t="shared" si="90"/>
        <v>23.340154937735356</v>
      </c>
      <c r="I230" s="173">
        <v>0</v>
      </c>
      <c r="J230" s="286">
        <v>0</v>
      </c>
      <c r="K230" s="129">
        <f t="shared" si="91"/>
        <v>0</v>
      </c>
      <c r="L230" s="85">
        <v>0</v>
      </c>
      <c r="M230" s="130">
        <f t="shared" si="92"/>
        <v>0</v>
      </c>
      <c r="N230" s="8">
        <f t="shared" si="93"/>
        <v>2736.4496979762735</v>
      </c>
      <c r="O230" s="84">
        <f t="shared" si="94"/>
        <v>2736.4496979762735</v>
      </c>
    </row>
    <row r="231" spans="1:15" x14ac:dyDescent="0.2">
      <c r="A231" s="96"/>
      <c r="B231" s="81"/>
      <c r="C231" s="82">
        <f t="shared" si="97"/>
        <v>42552</v>
      </c>
      <c r="D231" s="82">
        <f t="shared" si="98"/>
        <v>42643</v>
      </c>
      <c r="E231" s="81">
        <f t="shared" si="95"/>
        <v>92</v>
      </c>
      <c r="F231" s="83">
        <f>VLOOKUP(D231,'FERC Interest Rate'!$A:$B,2,TRUE)</f>
        <v>3.5000000000000003E-2</v>
      </c>
      <c r="G231" s="84">
        <f t="shared" si="96"/>
        <v>2736.4496979762735</v>
      </c>
      <c r="H231" s="84">
        <f t="shared" si="90"/>
        <v>24.074776031375958</v>
      </c>
      <c r="I231" s="173">
        <v>0</v>
      </c>
      <c r="J231" s="85">
        <v>0</v>
      </c>
      <c r="K231" s="129">
        <f t="shared" si="91"/>
        <v>0</v>
      </c>
      <c r="L231" s="85">
        <v>0</v>
      </c>
      <c r="M231" s="130">
        <f t="shared" si="92"/>
        <v>0</v>
      </c>
      <c r="N231" s="8">
        <f t="shared" si="93"/>
        <v>2760.5244740076496</v>
      </c>
      <c r="O231" s="84">
        <f t="shared" si="94"/>
        <v>2760.5244740076496</v>
      </c>
    </row>
    <row r="232" spans="1:15" x14ac:dyDescent="0.2">
      <c r="A232" s="96"/>
      <c r="B232" s="81"/>
      <c r="C232" s="82">
        <f t="shared" si="97"/>
        <v>42644</v>
      </c>
      <c r="D232" s="82">
        <f t="shared" si="98"/>
        <v>42735</v>
      </c>
      <c r="E232" s="81">
        <f t="shared" si="95"/>
        <v>92</v>
      </c>
      <c r="F232" s="83">
        <f>VLOOKUP(D232,'FERC Interest Rate'!$A:$B,2,TRUE)</f>
        <v>3.5000000000000003E-2</v>
      </c>
      <c r="G232" s="84">
        <f t="shared" si="96"/>
        <v>2760.5244740076496</v>
      </c>
      <c r="H232" s="84">
        <f t="shared" si="90"/>
        <v>24.286581437990801</v>
      </c>
      <c r="I232" s="173">
        <v>0</v>
      </c>
      <c r="J232" s="85">
        <v>0</v>
      </c>
      <c r="K232" s="129">
        <f t="shared" si="91"/>
        <v>0</v>
      </c>
      <c r="L232" s="85">
        <v>0</v>
      </c>
      <c r="M232" s="130">
        <f t="shared" si="92"/>
        <v>0</v>
      </c>
      <c r="N232" s="8">
        <f t="shared" si="93"/>
        <v>2784.8110554456402</v>
      </c>
      <c r="O232" s="84">
        <f t="shared" si="94"/>
        <v>2784.8110554456402</v>
      </c>
    </row>
    <row r="233" spans="1:15" x14ac:dyDescent="0.2">
      <c r="A233" s="96" t="s">
        <v>102</v>
      </c>
      <c r="B233" s="81" t="str">
        <f t="shared" ref="B233:B246" si="99">+IF(MONTH(C233)&lt;4,"Q1",IF(MONTH(C233)&lt;7,"Q2",IF(MONTH(C233)&lt;10,"Q3","Q4")))&amp;"/"&amp;YEAR(C233)</f>
        <v>Q1/2017</v>
      </c>
      <c r="C233" s="82">
        <f t="shared" si="97"/>
        <v>42736</v>
      </c>
      <c r="D233" s="82">
        <f t="shared" si="98"/>
        <v>42825</v>
      </c>
      <c r="E233" s="81">
        <f t="shared" si="95"/>
        <v>90</v>
      </c>
      <c r="F233" s="83">
        <f>VLOOKUP(D233,'FERC Interest Rate'!$A:$B,2,TRUE)</f>
        <v>3.5000000000000003E-2</v>
      </c>
      <c r="G233" s="84">
        <f t="shared" si="96"/>
        <v>2784.8110554456402</v>
      </c>
      <c r="H233" s="84">
        <f t="shared" si="90"/>
        <v>24.033300889462375</v>
      </c>
      <c r="I233" s="173">
        <f>SUM($H$226:$H$250)/20*4</f>
        <v>34.227984932883615</v>
      </c>
      <c r="J233" s="85">
        <f t="shared" ref="J233:J249" si="100">G233*F233*(E233/(DATE(YEAR(D233),12,31)-DATE(YEAR(D233),1,1)+1))</f>
        <v>24.033300889462375</v>
      </c>
      <c r="K233" s="129">
        <f t="shared" si="91"/>
        <v>58.26128582234599</v>
      </c>
      <c r="L233" s="85">
        <f>VLOOKUP($B$227,A$1:F$19,5,FALSE)/20*4</f>
        <v>527.54088633413687</v>
      </c>
      <c r="M233" s="130">
        <f t="shared" si="92"/>
        <v>585.80217215648281</v>
      </c>
      <c r="N233" s="8">
        <f t="shared" si="93"/>
        <v>2832.8776572245647</v>
      </c>
      <c r="O233" s="84">
        <f t="shared" si="94"/>
        <v>2247.0754850680819</v>
      </c>
    </row>
    <row r="234" spans="1:15" x14ac:dyDescent="0.2">
      <c r="A234" s="96" t="s">
        <v>58</v>
      </c>
      <c r="B234" s="81" t="str">
        <f t="shared" si="99"/>
        <v>Q2/2017</v>
      </c>
      <c r="C234" s="82">
        <f t="shared" si="97"/>
        <v>42826</v>
      </c>
      <c r="D234" s="82">
        <f t="shared" si="98"/>
        <v>42916</v>
      </c>
      <c r="E234" s="81">
        <f t="shared" si="95"/>
        <v>91</v>
      </c>
      <c r="F234" s="83">
        <f>VLOOKUP(D234,'FERC Interest Rate'!$A:$B,2,TRUE)</f>
        <v>3.7100000000000001E-2</v>
      </c>
      <c r="G234" s="84">
        <f t="shared" si="96"/>
        <v>2247.0754850680819</v>
      </c>
      <c r="H234" s="84">
        <v>0</v>
      </c>
      <c r="I234" s="109">
        <f>SUM($H$226:$H$250)/20</f>
        <v>8.5569962332209037</v>
      </c>
      <c r="J234" s="85">
        <f t="shared" si="100"/>
        <v>20.784524781200961</v>
      </c>
      <c r="K234" s="129">
        <f t="shared" si="91"/>
        <v>29.341521014421865</v>
      </c>
      <c r="L234" s="85">
        <f t="shared" ref="L234:L249" si="101">VLOOKUP($B$227,A$1:F$19,5,FALSE)/20</f>
        <v>131.88522158353422</v>
      </c>
      <c r="M234" s="130">
        <f t="shared" si="92"/>
        <v>161.22674259795608</v>
      </c>
      <c r="N234" s="8">
        <f t="shared" si="93"/>
        <v>2267.860009849283</v>
      </c>
      <c r="O234" s="84">
        <f t="shared" si="94"/>
        <v>2106.6332672513267</v>
      </c>
    </row>
    <row r="235" spans="1:15" x14ac:dyDescent="0.2">
      <c r="A235" s="96" t="s">
        <v>59</v>
      </c>
      <c r="B235" s="81" t="str">
        <f t="shared" si="99"/>
        <v>Q3/2017</v>
      </c>
      <c r="C235" s="82">
        <f t="shared" si="97"/>
        <v>42917</v>
      </c>
      <c r="D235" s="82">
        <f t="shared" si="98"/>
        <v>43008</v>
      </c>
      <c r="E235" s="81">
        <f t="shared" si="95"/>
        <v>92</v>
      </c>
      <c r="F235" s="83">
        <f>VLOOKUP(D235,'FERC Interest Rate'!$A:$B,2,TRUE)</f>
        <v>3.9600000000000003E-2</v>
      </c>
      <c r="G235" s="84">
        <f t="shared" si="96"/>
        <v>2106.6332672513267</v>
      </c>
      <c r="H235" s="84">
        <v>0</v>
      </c>
      <c r="I235" s="109">
        <f>SUM($H$226:$H$250)/20</f>
        <v>8.5569962332209037</v>
      </c>
      <c r="J235" s="85">
        <f t="shared" si="100"/>
        <v>21.027085806164479</v>
      </c>
      <c r="K235" s="129">
        <f t="shared" si="91"/>
        <v>29.584082039385383</v>
      </c>
      <c r="L235" s="85">
        <f t="shared" si="101"/>
        <v>131.88522158353422</v>
      </c>
      <c r="M235" s="130">
        <f t="shared" si="92"/>
        <v>161.4693036229196</v>
      </c>
      <c r="N235" s="8">
        <f t="shared" si="93"/>
        <v>2127.6603530574912</v>
      </c>
      <c r="O235" s="84">
        <f t="shared" si="94"/>
        <v>1966.1910494345716</v>
      </c>
    </row>
    <row r="236" spans="1:15" x14ac:dyDescent="0.2">
      <c r="A236" s="96" t="s">
        <v>60</v>
      </c>
      <c r="B236" s="81" t="str">
        <f t="shared" si="99"/>
        <v>Q4/2017</v>
      </c>
      <c r="C236" s="82">
        <f t="shared" si="97"/>
        <v>43009</v>
      </c>
      <c r="D236" s="82">
        <f t="shared" si="98"/>
        <v>43100</v>
      </c>
      <c r="E236" s="81">
        <f t="shared" si="95"/>
        <v>92</v>
      </c>
      <c r="F236" s="83">
        <f>VLOOKUP(D236,'FERC Interest Rate'!$A:$B,2,TRUE)</f>
        <v>4.2099999999999999E-2</v>
      </c>
      <c r="G236" s="84">
        <f t="shared" si="96"/>
        <v>1966.1910494345716</v>
      </c>
      <c r="H236" s="84">
        <v>0</v>
      </c>
      <c r="I236" s="109">
        <f t="shared" ref="I236:I249" si="102">SUM($H$226:$H$250)/20</f>
        <v>8.5569962332209037</v>
      </c>
      <c r="J236" s="85">
        <f t="shared" si="100"/>
        <v>20.864249788136942</v>
      </c>
      <c r="K236" s="129">
        <f t="shared" si="91"/>
        <v>29.421246021357845</v>
      </c>
      <c r="L236" s="85">
        <f t="shared" si="101"/>
        <v>131.88522158353422</v>
      </c>
      <c r="M236" s="130">
        <f t="shared" si="92"/>
        <v>161.30646760489208</v>
      </c>
      <c r="N236" s="8">
        <f t="shared" si="93"/>
        <v>1987.0552992227085</v>
      </c>
      <c r="O236" s="84">
        <f t="shared" si="94"/>
        <v>1825.7488316178164</v>
      </c>
    </row>
    <row r="237" spans="1:15" x14ac:dyDescent="0.2">
      <c r="A237" s="96" t="s">
        <v>61</v>
      </c>
      <c r="B237" s="81" t="str">
        <f t="shared" si="99"/>
        <v>Q1/2018</v>
      </c>
      <c r="C237" s="82">
        <f t="shared" si="97"/>
        <v>43101</v>
      </c>
      <c r="D237" s="82">
        <f t="shared" si="98"/>
        <v>43190</v>
      </c>
      <c r="E237" s="81">
        <f t="shared" si="95"/>
        <v>90</v>
      </c>
      <c r="F237" s="83">
        <f>VLOOKUP(D237,'FERC Interest Rate'!$A:$B,2,TRUE)</f>
        <v>4.2500000000000003E-2</v>
      </c>
      <c r="G237" s="84">
        <f t="shared" si="96"/>
        <v>1825.7488316178164</v>
      </c>
      <c r="H237" s="84">
        <v>0</v>
      </c>
      <c r="I237" s="109">
        <f t="shared" si="102"/>
        <v>8.5569962332209037</v>
      </c>
      <c r="J237" s="85">
        <f>G237*F237*(E237/(DATE(YEAR(D237),12,31)-DATE(YEAR(D237),1,1)+1))</f>
        <v>19.132847345036023</v>
      </c>
      <c r="K237" s="129">
        <f t="shared" si="91"/>
        <v>27.689843578256927</v>
      </c>
      <c r="L237" s="85">
        <f t="shared" si="101"/>
        <v>131.88522158353422</v>
      </c>
      <c r="M237" s="130">
        <f t="shared" si="92"/>
        <v>159.57506516179114</v>
      </c>
      <c r="N237" s="8">
        <f t="shared" si="93"/>
        <v>1844.8816789628524</v>
      </c>
      <c r="O237" s="84">
        <f t="shared" si="94"/>
        <v>1685.3066138010613</v>
      </c>
    </row>
    <row r="238" spans="1:15" x14ac:dyDescent="0.2">
      <c r="A238" s="96" t="s">
        <v>62</v>
      </c>
      <c r="B238" s="81" t="str">
        <f t="shared" si="99"/>
        <v>Q2/2018</v>
      </c>
      <c r="C238" s="82">
        <f t="shared" si="97"/>
        <v>43191</v>
      </c>
      <c r="D238" s="82">
        <f t="shared" si="98"/>
        <v>43281</v>
      </c>
      <c r="E238" s="81">
        <f t="shared" si="95"/>
        <v>91</v>
      </c>
      <c r="F238" s="83">
        <f>VLOOKUP(D238,'FERC Interest Rate'!$A:$B,2,TRUE)</f>
        <v>4.4699999999999997E-2</v>
      </c>
      <c r="G238" s="84">
        <f t="shared" si="96"/>
        <v>1685.3066138010613</v>
      </c>
      <c r="H238" s="84">
        <v>0</v>
      </c>
      <c r="I238" s="109">
        <f t="shared" si="102"/>
        <v>8.5569962332209037</v>
      </c>
      <c r="J238" s="85">
        <f t="shared" si="100"/>
        <v>18.781703323174185</v>
      </c>
      <c r="K238" s="129">
        <f t="shared" si="91"/>
        <v>27.338699556395088</v>
      </c>
      <c r="L238" s="85">
        <f t="shared" si="101"/>
        <v>131.88522158353422</v>
      </c>
      <c r="M238" s="130">
        <f t="shared" si="92"/>
        <v>159.2239211399293</v>
      </c>
      <c r="N238" s="8">
        <f t="shared" si="93"/>
        <v>1704.0883171242356</v>
      </c>
      <c r="O238" s="84">
        <f t="shared" si="94"/>
        <v>1544.8643959843062</v>
      </c>
    </row>
    <row r="239" spans="1:15" x14ac:dyDescent="0.2">
      <c r="A239" s="96" t="s">
        <v>63</v>
      </c>
      <c r="B239" s="81" t="str">
        <f t="shared" si="99"/>
        <v>Q3/2018</v>
      </c>
      <c r="C239" s="82">
        <f t="shared" si="97"/>
        <v>43282</v>
      </c>
      <c r="D239" s="82">
        <f t="shared" si="98"/>
        <v>43373</v>
      </c>
      <c r="E239" s="81">
        <f t="shared" si="95"/>
        <v>92</v>
      </c>
      <c r="F239" s="83">
        <f>VLOOKUP(D239,'FERC Interest Rate'!$A:$B,2,TRUE)</f>
        <v>5.011111E-2</v>
      </c>
      <c r="G239" s="84">
        <f t="shared" si="96"/>
        <v>1544.8643959843062</v>
      </c>
      <c r="H239" s="84">
        <v>0</v>
      </c>
      <c r="I239" s="109">
        <f t="shared" si="102"/>
        <v>8.5569962332209037</v>
      </c>
      <c r="J239" s="85">
        <f t="shared" si="100"/>
        <v>19.512789070595311</v>
      </c>
      <c r="K239" s="129">
        <f t="shared" si="91"/>
        <v>28.069785303816214</v>
      </c>
      <c r="L239" s="85">
        <f t="shared" si="101"/>
        <v>131.88522158353422</v>
      </c>
      <c r="M239" s="130">
        <f t="shared" si="92"/>
        <v>159.95500688735044</v>
      </c>
      <c r="N239" s="8">
        <f t="shared" si="93"/>
        <v>1564.3771850549015</v>
      </c>
      <c r="O239" s="84">
        <f t="shared" si="94"/>
        <v>1404.422178167551</v>
      </c>
    </row>
    <row r="240" spans="1:15" x14ac:dyDescent="0.2">
      <c r="A240" s="96" t="s">
        <v>64</v>
      </c>
      <c r="B240" s="81" t="str">
        <f t="shared" si="99"/>
        <v>Q4/2018</v>
      </c>
      <c r="C240" s="82">
        <f t="shared" si="97"/>
        <v>43374</v>
      </c>
      <c r="D240" s="82">
        <f t="shared" si="98"/>
        <v>43465</v>
      </c>
      <c r="E240" s="81">
        <f t="shared" si="95"/>
        <v>92</v>
      </c>
      <c r="F240" s="83">
        <f>VLOOKUP(D240,'FERC Interest Rate'!$A:$B,2,TRUE)</f>
        <v>5.2822580000000001E-2</v>
      </c>
      <c r="G240" s="84">
        <f t="shared" si="96"/>
        <v>1404.422178167551</v>
      </c>
      <c r="H240" s="84">
        <v>0</v>
      </c>
      <c r="I240" s="109">
        <f t="shared" si="102"/>
        <v>8.5569962332209037</v>
      </c>
      <c r="J240" s="85">
        <f t="shared" si="100"/>
        <v>18.698736063349958</v>
      </c>
      <c r="K240" s="129">
        <f t="shared" si="91"/>
        <v>27.255732296570862</v>
      </c>
      <c r="L240" s="85">
        <f t="shared" si="101"/>
        <v>131.88522158353422</v>
      </c>
      <c r="M240" s="130">
        <f t="shared" si="92"/>
        <v>159.14095388010509</v>
      </c>
      <c r="N240" s="8">
        <f t="shared" si="93"/>
        <v>1423.120914230901</v>
      </c>
      <c r="O240" s="84">
        <f t="shared" si="94"/>
        <v>1263.9799603507959</v>
      </c>
    </row>
    <row r="241" spans="1:15" x14ac:dyDescent="0.2">
      <c r="A241" s="96" t="s">
        <v>65</v>
      </c>
      <c r="B241" s="81" t="str">
        <f t="shared" si="99"/>
        <v>Q1/2019</v>
      </c>
      <c r="C241" s="82">
        <f t="shared" si="97"/>
        <v>43466</v>
      </c>
      <c r="D241" s="82">
        <f t="shared" si="98"/>
        <v>43555</v>
      </c>
      <c r="E241" s="81">
        <f t="shared" si="95"/>
        <v>90</v>
      </c>
      <c r="F241" s="83">
        <f>VLOOKUP(D241,'FERC Interest Rate'!$A:$B,2,TRUE)</f>
        <v>5.5296770000000002E-2</v>
      </c>
      <c r="G241" s="84">
        <f t="shared" si="96"/>
        <v>1263.9799603507959</v>
      </c>
      <c r="H241" s="84">
        <v>0</v>
      </c>
      <c r="I241" s="109">
        <f t="shared" si="102"/>
        <v>8.5569962332209037</v>
      </c>
      <c r="J241" s="85">
        <f t="shared" si="100"/>
        <v>17.234139242990238</v>
      </c>
      <c r="K241" s="129">
        <f t="shared" si="91"/>
        <v>25.791135476211142</v>
      </c>
      <c r="L241" s="85">
        <f t="shared" si="101"/>
        <v>131.88522158353422</v>
      </c>
      <c r="M241" s="130">
        <f t="shared" si="92"/>
        <v>157.67635705974536</v>
      </c>
      <c r="N241" s="8">
        <f t="shared" si="93"/>
        <v>1281.2140995937862</v>
      </c>
      <c r="O241" s="84">
        <f t="shared" si="94"/>
        <v>1123.5377425340407</v>
      </c>
    </row>
    <row r="242" spans="1:15" x14ac:dyDescent="0.2">
      <c r="A242" s="96" t="s">
        <v>66</v>
      </c>
      <c r="B242" s="81" t="str">
        <f t="shared" si="99"/>
        <v>Q2/2019</v>
      </c>
      <c r="C242" s="82">
        <f t="shared" si="97"/>
        <v>43556</v>
      </c>
      <c r="D242" s="82">
        <f t="shared" si="98"/>
        <v>43646</v>
      </c>
      <c r="E242" s="81">
        <f t="shared" si="95"/>
        <v>91</v>
      </c>
      <c r="F242" s="83">
        <f>VLOOKUP(D242,'FERC Interest Rate'!$A:$B,2,TRUE)</f>
        <v>5.7999999999999996E-2</v>
      </c>
      <c r="G242" s="84">
        <f t="shared" si="96"/>
        <v>1123.5377425340407</v>
      </c>
      <c r="H242" s="84">
        <v>0</v>
      </c>
      <c r="I242" s="109">
        <f t="shared" si="102"/>
        <v>8.5569962332209037</v>
      </c>
      <c r="J242" s="85">
        <f t="shared" si="100"/>
        <v>16.246663575601829</v>
      </c>
      <c r="K242" s="129">
        <f t="shared" si="91"/>
        <v>24.803659808822733</v>
      </c>
      <c r="L242" s="85">
        <f t="shared" si="101"/>
        <v>131.88522158353422</v>
      </c>
      <c r="M242" s="130">
        <f t="shared" si="92"/>
        <v>156.68888139235696</v>
      </c>
      <c r="N242" s="8">
        <f t="shared" si="93"/>
        <v>1139.7844061096425</v>
      </c>
      <c r="O242" s="84">
        <f t="shared" si="94"/>
        <v>983.09552471728557</v>
      </c>
    </row>
    <row r="243" spans="1:15" x14ac:dyDescent="0.2">
      <c r="A243" s="96" t="s">
        <v>67</v>
      </c>
      <c r="B243" s="81" t="str">
        <f t="shared" si="99"/>
        <v>Q3/2019</v>
      </c>
      <c r="C243" s="82">
        <f t="shared" si="97"/>
        <v>43647</v>
      </c>
      <c r="D243" s="82">
        <f t="shared" si="98"/>
        <v>43738</v>
      </c>
      <c r="E243" s="81">
        <f t="shared" si="95"/>
        <v>92</v>
      </c>
      <c r="F243" s="83">
        <f>VLOOKUP(D243,'FERC Interest Rate'!$A:$B,2,TRUE)</f>
        <v>0.06</v>
      </c>
      <c r="G243" s="84">
        <f t="shared" si="96"/>
        <v>983.09552471728557</v>
      </c>
      <c r="H243" s="84">
        <v>0</v>
      </c>
      <c r="I243" s="109">
        <f t="shared" si="102"/>
        <v>8.5569962332209037</v>
      </c>
      <c r="J243" s="85">
        <f t="shared" si="100"/>
        <v>14.867636428601141</v>
      </c>
      <c r="K243" s="129">
        <f t="shared" si="91"/>
        <v>23.424632661822045</v>
      </c>
      <c r="L243" s="85">
        <f t="shared" si="101"/>
        <v>131.88522158353422</v>
      </c>
      <c r="M243" s="130">
        <f t="shared" si="92"/>
        <v>155.30985424535626</v>
      </c>
      <c r="N243" s="8">
        <f t="shared" si="93"/>
        <v>997.96316114588672</v>
      </c>
      <c r="O243" s="84">
        <f t="shared" si="94"/>
        <v>842.65330690053042</v>
      </c>
    </row>
    <row r="244" spans="1:15" x14ac:dyDescent="0.2">
      <c r="A244" s="96" t="s">
        <v>68</v>
      </c>
      <c r="B244" s="81" t="str">
        <f t="shared" si="99"/>
        <v>Q4/2019</v>
      </c>
      <c r="C244" s="82">
        <f t="shared" si="97"/>
        <v>43739</v>
      </c>
      <c r="D244" s="82">
        <f t="shared" si="98"/>
        <v>43830</v>
      </c>
      <c r="E244" s="81">
        <f t="shared" si="95"/>
        <v>92</v>
      </c>
      <c r="F244" s="83">
        <f>VLOOKUP(D244,'FERC Interest Rate'!$A:$B,2,TRUE)</f>
        <v>6.0349460000000001E-2</v>
      </c>
      <c r="G244" s="84">
        <f t="shared" si="96"/>
        <v>842.65330690053042</v>
      </c>
      <c r="H244" s="84">
        <v>0</v>
      </c>
      <c r="I244" s="109">
        <f t="shared" si="102"/>
        <v>8.5569962332209037</v>
      </c>
      <c r="J244" s="85">
        <f t="shared" si="100"/>
        <v>12.817911856320107</v>
      </c>
      <c r="K244" s="129">
        <f t="shared" si="91"/>
        <v>21.374908089541009</v>
      </c>
      <c r="L244" s="85">
        <f t="shared" si="101"/>
        <v>131.88522158353422</v>
      </c>
      <c r="M244" s="130">
        <f t="shared" si="92"/>
        <v>153.26012967307523</v>
      </c>
      <c r="N244" s="8">
        <f t="shared" si="93"/>
        <v>855.47121875685048</v>
      </c>
      <c r="O244" s="84">
        <f t="shared" si="94"/>
        <v>702.21108908377528</v>
      </c>
    </row>
    <row r="245" spans="1:15" x14ac:dyDescent="0.2">
      <c r="A245" s="96" t="s">
        <v>69</v>
      </c>
      <c r="B245" s="81" t="str">
        <f t="shared" si="99"/>
        <v>Q1/2020</v>
      </c>
      <c r="C245" s="82">
        <f t="shared" si="97"/>
        <v>43831</v>
      </c>
      <c r="D245" s="82">
        <f t="shared" si="98"/>
        <v>43921</v>
      </c>
      <c r="E245" s="81">
        <f t="shared" si="95"/>
        <v>91</v>
      </c>
      <c r="F245" s="83">
        <f>VLOOKUP(D245,'FERC Interest Rate'!$A:$B,2,TRUE)</f>
        <v>6.2501040000000008E-2</v>
      </c>
      <c r="G245" s="84">
        <f t="shared" si="96"/>
        <v>702.21108908377528</v>
      </c>
      <c r="H245" s="84">
        <v>0</v>
      </c>
      <c r="I245" s="109">
        <f t="shared" si="102"/>
        <v>8.5569962332209037</v>
      </c>
      <c r="J245" s="85">
        <f t="shared" si="100"/>
        <v>10.912273296233453</v>
      </c>
      <c r="K245" s="129">
        <f t="shared" si="91"/>
        <v>19.469269529454358</v>
      </c>
      <c r="L245" s="85">
        <f t="shared" si="101"/>
        <v>131.88522158353422</v>
      </c>
      <c r="M245" s="130">
        <f t="shared" si="92"/>
        <v>151.35449111298857</v>
      </c>
      <c r="N245" s="8">
        <f t="shared" si="93"/>
        <v>713.12336238000876</v>
      </c>
      <c r="O245" s="84">
        <f t="shared" si="94"/>
        <v>561.76887126702013</v>
      </c>
    </row>
    <row r="246" spans="1:15" x14ac:dyDescent="0.2">
      <c r="A246" s="96" t="s">
        <v>70</v>
      </c>
      <c r="B246" s="81" t="str">
        <f t="shared" si="99"/>
        <v>Q2/2020</v>
      </c>
      <c r="C246" s="82">
        <f t="shared" si="97"/>
        <v>43922</v>
      </c>
      <c r="D246" s="82">
        <f t="shared" si="98"/>
        <v>44012</v>
      </c>
      <c r="E246" s="81">
        <f t="shared" si="95"/>
        <v>91</v>
      </c>
      <c r="F246" s="83">
        <f>VLOOKUP(D246,'FERC Interest Rate'!$A:$B,2,TRUE)</f>
        <v>6.3055559999999997E-2</v>
      </c>
      <c r="G246" s="84">
        <f t="shared" si="96"/>
        <v>561.76887126702013</v>
      </c>
      <c r="H246" s="84">
        <v>0</v>
      </c>
      <c r="I246" s="109">
        <f t="shared" si="102"/>
        <v>8.5569962332209037</v>
      </c>
      <c r="J246" s="85">
        <f t="shared" si="100"/>
        <v>8.8072710926672073</v>
      </c>
      <c r="K246" s="129">
        <f t="shared" si="91"/>
        <v>17.364267325888111</v>
      </c>
      <c r="L246" s="85">
        <f t="shared" si="101"/>
        <v>131.88522158353422</v>
      </c>
      <c r="M246" s="130">
        <f t="shared" si="92"/>
        <v>149.24948890942233</v>
      </c>
      <c r="N246" s="8">
        <f t="shared" si="93"/>
        <v>570.57614235968731</v>
      </c>
      <c r="O246" s="84">
        <f t="shared" si="94"/>
        <v>421.32665345026504</v>
      </c>
    </row>
    <row r="247" spans="1:15" x14ac:dyDescent="0.2">
      <c r="A247" s="96" t="s">
        <v>71</v>
      </c>
      <c r="B247" s="81" t="str">
        <f>+IF(MONTH(C247)&lt;4,"Q1",IF(MONTH(C247)&lt;7,"Q2",IF(MONTH(C247)&lt;10,"Q3","Q4")))&amp;"/"&amp;YEAR(C247)</f>
        <v>Q3/2020</v>
      </c>
      <c r="C247" s="82">
        <f t="shared" si="97"/>
        <v>44013</v>
      </c>
      <c r="D247" s="82">
        <f t="shared" si="98"/>
        <v>44104</v>
      </c>
      <c r="E247" s="81">
        <f t="shared" si="95"/>
        <v>92</v>
      </c>
      <c r="F247" s="83">
        <f>VLOOKUP(D247,'FERC Interest Rate'!$A:$B,2,TRUE)</f>
        <v>6.5000000000000002E-2</v>
      </c>
      <c r="G247" s="84">
        <f t="shared" si="96"/>
        <v>421.32665345026504</v>
      </c>
      <c r="H247" s="84">
        <v>0</v>
      </c>
      <c r="I247" s="109">
        <f t="shared" si="102"/>
        <v>8.5569962332209037</v>
      </c>
      <c r="J247" s="85">
        <f t="shared" si="100"/>
        <v>6.8839710044606148</v>
      </c>
      <c r="K247" s="129">
        <f t="shared" si="91"/>
        <v>15.440967237681519</v>
      </c>
      <c r="L247" s="85">
        <f t="shared" si="101"/>
        <v>131.88522158353422</v>
      </c>
      <c r="M247" s="130">
        <f t="shared" si="92"/>
        <v>147.32618882121574</v>
      </c>
      <c r="N247" s="8">
        <f t="shared" si="93"/>
        <v>428.21062445472563</v>
      </c>
      <c r="O247" s="84">
        <f t="shared" si="94"/>
        <v>280.8844356335099</v>
      </c>
    </row>
    <row r="248" spans="1:15" x14ac:dyDescent="0.2">
      <c r="A248" s="96" t="s">
        <v>72</v>
      </c>
      <c r="B248" s="81" t="str">
        <f>+IF(MONTH(C248)&lt;4,"Q1",IF(MONTH(C248)&lt;7,"Q2",IF(MONTH(C248)&lt;10,"Q3","Q4")))&amp;"/"&amp;YEAR(C248)</f>
        <v>Q4/2020</v>
      </c>
      <c r="C248" s="82">
        <f t="shared" si="97"/>
        <v>44105</v>
      </c>
      <c r="D248" s="82">
        <f t="shared" si="98"/>
        <v>44196</v>
      </c>
      <c r="E248" s="81">
        <f t="shared" si="95"/>
        <v>92</v>
      </c>
      <c r="F248" s="83">
        <f>VLOOKUP(D248,'FERC Interest Rate'!$A:$B,2,TRUE)</f>
        <v>6.5000000000000002E-2</v>
      </c>
      <c r="G248" s="84">
        <f t="shared" si="96"/>
        <v>280.8844356335099</v>
      </c>
      <c r="H248" s="84">
        <v>0</v>
      </c>
      <c r="I248" s="109">
        <f t="shared" si="102"/>
        <v>8.5569962332209037</v>
      </c>
      <c r="J248" s="85">
        <f t="shared" si="100"/>
        <v>4.5893140029737411</v>
      </c>
      <c r="K248" s="129">
        <f t="shared" si="91"/>
        <v>13.146310236194644</v>
      </c>
      <c r="L248" s="85">
        <f t="shared" si="101"/>
        <v>131.88522158353422</v>
      </c>
      <c r="M248" s="130">
        <f t="shared" si="92"/>
        <v>145.03153181972885</v>
      </c>
      <c r="N248" s="8">
        <f t="shared" si="93"/>
        <v>285.47374963648366</v>
      </c>
      <c r="O248" s="84">
        <f t="shared" si="94"/>
        <v>140.44221781675478</v>
      </c>
    </row>
    <row r="249" spans="1:15" x14ac:dyDescent="0.2">
      <c r="A249" s="96" t="s">
        <v>73</v>
      </c>
      <c r="B249" s="81" t="str">
        <f>+IF(MONTH(C249)&lt;4,"Q1",IF(MONTH(C249)&lt;7,"Q2",IF(MONTH(C249)&lt;10,"Q3","Q4")))&amp;"/"&amp;YEAR(C249)</f>
        <v>Q1/2021</v>
      </c>
      <c r="C249" s="82">
        <f t="shared" si="97"/>
        <v>44197</v>
      </c>
      <c r="D249" s="82">
        <f t="shared" si="98"/>
        <v>44286</v>
      </c>
      <c r="E249" s="81">
        <f t="shared" si="95"/>
        <v>90</v>
      </c>
      <c r="F249" s="83">
        <f>VLOOKUP(D249,'FERC Interest Rate'!$A:$B,2,TRUE)</f>
        <v>6.5000000000000002E-2</v>
      </c>
      <c r="G249" s="84">
        <f t="shared" si="96"/>
        <v>140.44221781675478</v>
      </c>
      <c r="H249" s="84">
        <v>0</v>
      </c>
      <c r="I249" s="109">
        <f t="shared" si="102"/>
        <v>8.5569962332209037</v>
      </c>
      <c r="J249" s="85">
        <f t="shared" si="100"/>
        <v>2.2509232170630562</v>
      </c>
      <c r="K249" s="129">
        <f t="shared" si="91"/>
        <v>10.80791945028396</v>
      </c>
      <c r="L249" s="85">
        <f t="shared" si="101"/>
        <v>131.88522158353422</v>
      </c>
      <c r="M249" s="130">
        <f t="shared" si="92"/>
        <v>142.69314103381816</v>
      </c>
      <c r="N249" s="8">
        <f t="shared" si="93"/>
        <v>142.69314103381782</v>
      </c>
      <c r="O249" s="84">
        <f t="shared" si="94"/>
        <v>-3.4461322684364859E-13</v>
      </c>
    </row>
    <row r="250" spans="1:15" x14ac:dyDescent="0.2">
      <c r="A250" s="96"/>
      <c r="B250" s="81"/>
      <c r="C250" s="82"/>
      <c r="D250" s="82"/>
      <c r="E250" s="81"/>
      <c r="F250" s="83"/>
      <c r="G250" s="84"/>
      <c r="H250" s="84"/>
      <c r="I250" s="109"/>
      <c r="J250" s="85"/>
      <c r="K250" s="129"/>
      <c r="L250" s="85"/>
      <c r="M250" s="130"/>
      <c r="N250" s="8"/>
      <c r="O250" s="84"/>
    </row>
    <row r="251" spans="1:15" ht="13.5" thickBot="1" x14ac:dyDescent="0.25">
      <c r="A251" s="151"/>
      <c r="B251" s="152"/>
      <c r="C251" s="153"/>
      <c r="D251" s="153"/>
      <c r="E251" s="154"/>
      <c r="F251" s="152"/>
      <c r="G251" s="140">
        <f t="shared" ref="G251:O251" si="103">+SUM(G226:G250)</f>
        <v>40741.399949788283</v>
      </c>
      <c r="H251" s="140">
        <f t="shared" si="103"/>
        <v>171.13992466441806</v>
      </c>
      <c r="I251" s="141">
        <f t="shared" si="103"/>
        <v>171.13992466441803</v>
      </c>
      <c r="J251" s="140">
        <f t="shared" si="103"/>
        <v>257.44534078403166</v>
      </c>
      <c r="K251" s="140">
        <f t="shared" si="103"/>
        <v>428.58526544844977</v>
      </c>
      <c r="L251" s="140">
        <f t="shared" si="103"/>
        <v>2637.7044316706842</v>
      </c>
      <c r="M251" s="142">
        <f t="shared" si="103"/>
        <v>3066.2896971191349</v>
      </c>
      <c r="N251" s="140">
        <f t="shared" si="103"/>
        <v>41169.985215236738</v>
      </c>
      <c r="O251" s="140">
        <f t="shared" si="103"/>
        <v>38103.695518117602</v>
      </c>
    </row>
    <row r="252" spans="1:15" ht="13.5" thickTop="1" x14ac:dyDescent="0.2">
      <c r="B252" s="117"/>
      <c r="C252" s="117"/>
      <c r="D252" s="117"/>
      <c r="E252" s="117"/>
      <c r="F252" s="117"/>
      <c r="G252" s="117"/>
      <c r="H252" s="117"/>
      <c r="I252" s="116"/>
      <c r="J252" s="117"/>
      <c r="K252" s="117"/>
      <c r="L252" s="117"/>
      <c r="M252" s="131"/>
      <c r="O252" s="117"/>
    </row>
    <row r="253" spans="1:15" ht="38.25" x14ac:dyDescent="0.2">
      <c r="A253" s="90" t="s">
        <v>53</v>
      </c>
      <c r="B253" s="90" t="s">
        <v>3</v>
      </c>
      <c r="C253" s="90" t="s">
        <v>4</v>
      </c>
      <c r="D253" s="90" t="s">
        <v>5</v>
      </c>
      <c r="E253" s="90" t="s">
        <v>6</v>
      </c>
      <c r="F253" s="90" t="s">
        <v>7</v>
      </c>
      <c r="G253" s="90" t="s">
        <v>93</v>
      </c>
      <c r="H253" s="90" t="s">
        <v>94</v>
      </c>
      <c r="I253" s="105" t="s">
        <v>95</v>
      </c>
      <c r="J253" s="106" t="s">
        <v>96</v>
      </c>
      <c r="K253" s="106" t="s">
        <v>97</v>
      </c>
      <c r="L253" s="106" t="s">
        <v>98</v>
      </c>
      <c r="M253" s="107" t="s">
        <v>99</v>
      </c>
      <c r="N253" s="90" t="s">
        <v>100</v>
      </c>
      <c r="O253" s="90" t="s">
        <v>101</v>
      </c>
    </row>
    <row r="254" spans="1:15" x14ac:dyDescent="0.2">
      <c r="A254" s="309" t="s">
        <v>15</v>
      </c>
      <c r="B254" s="309"/>
      <c r="C254" s="282">
        <f>VLOOKUP(B255,A$1:F$19,2,FALSE)</f>
        <v>42242</v>
      </c>
      <c r="D254" s="282">
        <f>DATE(YEAR(C254),IF(MONTH(C254)&lt;=3,3,IF(MONTH(C254)&lt;=6,6,IF(MONTH(C254)&lt;=9,9,12))),IF(OR(MONTH(C254)&lt;=3,MONTH(C254)&gt;=10),31,30))</f>
        <v>42277</v>
      </c>
      <c r="E254" s="283">
        <f>D254-C254+1</f>
        <v>36</v>
      </c>
      <c r="F254" s="284">
        <f>VLOOKUP(D254,'FERC Interest Rate'!$A:$B,2,TRUE)</f>
        <v>3.2500000000000001E-2</v>
      </c>
      <c r="G254" s="167">
        <f>VLOOKUP(B255,$A$1:$F$23,5,FALSE)</f>
        <v>1397.7289078435008</v>
      </c>
      <c r="H254" s="167">
        <f t="shared" ref="H254:H260" si="104">G254*F254*(E254/(DATE(YEAR(D254),12,31)-DATE(YEAR(D254),1,1)+1))</f>
        <v>4.4803912936353312</v>
      </c>
      <c r="I254" s="291">
        <v>0</v>
      </c>
      <c r="J254" s="286">
        <v>0</v>
      </c>
      <c r="K254" s="288">
        <f t="shared" ref="K254:K276" si="105">+SUM(I254:J254)</f>
        <v>0</v>
      </c>
      <c r="L254" s="286">
        <v>0</v>
      </c>
      <c r="M254" s="289">
        <f t="shared" ref="M254:M276" si="106">+SUM(K254:L254)</f>
        <v>0</v>
      </c>
      <c r="N254" s="290">
        <f t="shared" ref="N254:N276" si="107">+G254+H254+J254</f>
        <v>1402.2092991371362</v>
      </c>
      <c r="O254" s="167">
        <f t="shared" ref="O254:O276" si="108">G254+H254-L254-I254</f>
        <v>1402.2092991371362</v>
      </c>
    </row>
    <row r="255" spans="1:15" x14ac:dyDescent="0.2">
      <c r="A255" s="275" t="s">
        <v>38</v>
      </c>
      <c r="B255" s="276" t="s">
        <v>60</v>
      </c>
      <c r="C255" s="282">
        <f>D254+1</f>
        <v>42278</v>
      </c>
      <c r="D255" s="282">
        <f>EOMONTH(D254,3)</f>
        <v>42369</v>
      </c>
      <c r="E255" s="283">
        <f t="shared" ref="E255:E276" si="109">D255-C255+1</f>
        <v>92</v>
      </c>
      <c r="F255" s="284">
        <f>VLOOKUP(D255,'FERC Interest Rate'!$A:$B,2,TRUE)</f>
        <v>3.2500000000000001E-2</v>
      </c>
      <c r="G255" s="167">
        <f t="shared" ref="G255:G276" si="110">O254</f>
        <v>1402.2092991371362</v>
      </c>
      <c r="H255" s="167">
        <f t="shared" si="104"/>
        <v>11.486591244986405</v>
      </c>
      <c r="I255" s="291">
        <v>0</v>
      </c>
      <c r="J255" s="286">
        <v>0</v>
      </c>
      <c r="K255" s="288">
        <f t="shared" si="105"/>
        <v>0</v>
      </c>
      <c r="L255" s="286">
        <v>0</v>
      </c>
      <c r="M255" s="289">
        <f t="shared" si="106"/>
        <v>0</v>
      </c>
      <c r="N255" s="290">
        <f t="shared" si="107"/>
        <v>1413.6958903821226</v>
      </c>
      <c r="O255" s="167">
        <f t="shared" si="108"/>
        <v>1413.6958903821226</v>
      </c>
    </row>
    <row r="256" spans="1:15" x14ac:dyDescent="0.2">
      <c r="B256" s="283"/>
      <c r="C256" s="282">
        <f t="shared" ref="C256:C276" si="111">D255+1</f>
        <v>42370</v>
      </c>
      <c r="D256" s="282">
        <f t="shared" ref="D256:D276" si="112">EOMONTH(D255,3)</f>
        <v>42460</v>
      </c>
      <c r="E256" s="283">
        <f t="shared" si="109"/>
        <v>91</v>
      </c>
      <c r="F256" s="284">
        <f>VLOOKUP(D256,'FERC Interest Rate'!$A:$B,2,TRUE)</f>
        <v>3.2500000000000001E-2</v>
      </c>
      <c r="G256" s="167">
        <f t="shared" si="110"/>
        <v>1413.6958903821226</v>
      </c>
      <c r="H256" s="167">
        <f t="shared" si="104"/>
        <v>11.423512556844612</v>
      </c>
      <c r="I256" s="291">
        <v>0</v>
      </c>
      <c r="J256" s="286">
        <v>0</v>
      </c>
      <c r="K256" s="288">
        <f t="shared" si="105"/>
        <v>0</v>
      </c>
      <c r="L256" s="286">
        <v>0</v>
      </c>
      <c r="M256" s="289">
        <f t="shared" si="106"/>
        <v>0</v>
      </c>
      <c r="N256" s="290">
        <f t="shared" si="107"/>
        <v>1425.1194029389671</v>
      </c>
      <c r="O256" s="167">
        <f t="shared" si="108"/>
        <v>1425.1194029389671</v>
      </c>
    </row>
    <row r="257" spans="1:15" x14ac:dyDescent="0.2">
      <c r="A257" s="96"/>
      <c r="B257" s="81"/>
      <c r="C257" s="82">
        <f t="shared" si="111"/>
        <v>42461</v>
      </c>
      <c r="D257" s="82">
        <f t="shared" si="112"/>
        <v>42551</v>
      </c>
      <c r="E257" s="81">
        <f t="shared" si="109"/>
        <v>91</v>
      </c>
      <c r="F257" s="83">
        <f>VLOOKUP(D257,'FERC Interest Rate'!$A:$B,2,TRUE)</f>
        <v>3.4599999999999999E-2</v>
      </c>
      <c r="G257" s="84">
        <f t="shared" si="110"/>
        <v>1425.1194029389671</v>
      </c>
      <c r="H257" s="167">
        <f t="shared" si="104"/>
        <v>12.259920634135607</v>
      </c>
      <c r="I257" s="173">
        <v>0</v>
      </c>
      <c r="J257" s="286">
        <v>0</v>
      </c>
      <c r="K257" s="129">
        <f t="shared" si="105"/>
        <v>0</v>
      </c>
      <c r="L257" s="85">
        <v>0</v>
      </c>
      <c r="M257" s="130">
        <f t="shared" si="106"/>
        <v>0</v>
      </c>
      <c r="N257" s="8">
        <f t="shared" si="107"/>
        <v>1437.3793235731027</v>
      </c>
      <c r="O257" s="84">
        <f t="shared" si="108"/>
        <v>1437.3793235731027</v>
      </c>
    </row>
    <row r="258" spans="1:15" x14ac:dyDescent="0.2">
      <c r="A258" s="96"/>
      <c r="B258" s="81"/>
      <c r="C258" s="82">
        <f t="shared" si="111"/>
        <v>42552</v>
      </c>
      <c r="D258" s="82">
        <f t="shared" si="112"/>
        <v>42643</v>
      </c>
      <c r="E258" s="81">
        <f t="shared" si="109"/>
        <v>92</v>
      </c>
      <c r="F258" s="83">
        <f>VLOOKUP(D258,'FERC Interest Rate'!$A:$B,2,TRUE)</f>
        <v>3.5000000000000003E-2</v>
      </c>
      <c r="G258" s="84">
        <f t="shared" si="110"/>
        <v>1437.3793235731027</v>
      </c>
      <c r="H258" s="84">
        <f t="shared" si="104"/>
        <v>12.645796234714183</v>
      </c>
      <c r="I258" s="173">
        <v>0</v>
      </c>
      <c r="J258" s="85">
        <v>0</v>
      </c>
      <c r="K258" s="129">
        <f t="shared" si="105"/>
        <v>0</v>
      </c>
      <c r="L258" s="85">
        <v>0</v>
      </c>
      <c r="M258" s="130">
        <f t="shared" si="106"/>
        <v>0</v>
      </c>
      <c r="N258" s="8">
        <f t="shared" si="107"/>
        <v>1450.025119807817</v>
      </c>
      <c r="O258" s="84">
        <f t="shared" si="108"/>
        <v>1450.025119807817</v>
      </c>
    </row>
    <row r="259" spans="1:15" x14ac:dyDescent="0.2">
      <c r="A259" s="96"/>
      <c r="B259" s="81"/>
      <c r="C259" s="82">
        <f t="shared" si="111"/>
        <v>42644</v>
      </c>
      <c r="D259" s="82">
        <f t="shared" si="112"/>
        <v>42735</v>
      </c>
      <c r="E259" s="81">
        <f t="shared" si="109"/>
        <v>92</v>
      </c>
      <c r="F259" s="83">
        <f>VLOOKUP(D259,'FERC Interest Rate'!$A:$B,2,TRUE)</f>
        <v>3.5000000000000003E-2</v>
      </c>
      <c r="G259" s="84">
        <f t="shared" si="110"/>
        <v>1450.025119807817</v>
      </c>
      <c r="H259" s="84">
        <f t="shared" si="104"/>
        <v>12.757051600495002</v>
      </c>
      <c r="I259" s="173">
        <v>0</v>
      </c>
      <c r="J259" s="85">
        <v>0</v>
      </c>
      <c r="K259" s="129">
        <f t="shared" si="105"/>
        <v>0</v>
      </c>
      <c r="L259" s="85">
        <v>0</v>
      </c>
      <c r="M259" s="130">
        <f t="shared" si="106"/>
        <v>0</v>
      </c>
      <c r="N259" s="8">
        <f t="shared" si="107"/>
        <v>1462.782171408312</v>
      </c>
      <c r="O259" s="84">
        <f t="shared" si="108"/>
        <v>1462.782171408312</v>
      </c>
    </row>
    <row r="260" spans="1:15" x14ac:dyDescent="0.2">
      <c r="A260" s="96" t="s">
        <v>102</v>
      </c>
      <c r="B260" s="81" t="str">
        <f t="shared" ref="B260:B273" si="113">+IF(MONTH(C260)&lt;4,"Q1",IF(MONTH(C260)&lt;7,"Q2",IF(MONTH(C260)&lt;10,"Q3","Q4")))&amp;"/"&amp;YEAR(C260)</f>
        <v>Q1/2017</v>
      </c>
      <c r="C260" s="82">
        <f t="shared" si="111"/>
        <v>42736</v>
      </c>
      <c r="D260" s="82">
        <f t="shared" si="112"/>
        <v>42825</v>
      </c>
      <c r="E260" s="81">
        <f t="shared" si="109"/>
        <v>90</v>
      </c>
      <c r="F260" s="83">
        <f>VLOOKUP(D260,'FERC Interest Rate'!$A:$B,2,TRUE)</f>
        <v>3.5000000000000003E-2</v>
      </c>
      <c r="G260" s="84">
        <f t="shared" si="110"/>
        <v>1462.782171408312</v>
      </c>
      <c r="H260" s="84">
        <f t="shared" si="104"/>
        <v>12.624010520373105</v>
      </c>
      <c r="I260" s="173">
        <f>SUM($H$254:$H$277)/20*4</f>
        <v>15.53545481703685</v>
      </c>
      <c r="J260" s="85">
        <f>G260*F260*(E260/(DATE(YEAR(D260),12,31)-DATE(YEAR(D260),1,1)+1))</f>
        <v>12.624010520373105</v>
      </c>
      <c r="K260" s="129">
        <f t="shared" si="105"/>
        <v>28.159465337409955</v>
      </c>
      <c r="L260" s="85">
        <f>VLOOKUP($B$255,A$1:F$19,5,FALSE)/20*4</f>
        <v>279.54578156870014</v>
      </c>
      <c r="M260" s="130">
        <f t="shared" si="106"/>
        <v>307.70524690611012</v>
      </c>
      <c r="N260" s="8">
        <f t="shared" si="107"/>
        <v>1488.0301924490582</v>
      </c>
      <c r="O260" s="84">
        <f t="shared" si="108"/>
        <v>1180.3249455429479</v>
      </c>
    </row>
    <row r="261" spans="1:15" x14ac:dyDescent="0.2">
      <c r="A261" s="96" t="s">
        <v>58</v>
      </c>
      <c r="B261" s="81" t="str">
        <f t="shared" si="113"/>
        <v>Q2/2017</v>
      </c>
      <c r="C261" s="82">
        <f t="shared" si="111"/>
        <v>42826</v>
      </c>
      <c r="D261" s="82">
        <f t="shared" si="112"/>
        <v>42916</v>
      </c>
      <c r="E261" s="81">
        <f t="shared" si="109"/>
        <v>91</v>
      </c>
      <c r="F261" s="83">
        <f>VLOOKUP(D261,'FERC Interest Rate'!$A:$B,2,TRUE)</f>
        <v>3.7100000000000001E-2</v>
      </c>
      <c r="G261" s="84">
        <f t="shared" si="110"/>
        <v>1180.3249455429479</v>
      </c>
      <c r="H261" s="84">
        <v>0</v>
      </c>
      <c r="I261" s="173">
        <f>SUM($H$254:$H$277)/20</f>
        <v>3.8838637042592126</v>
      </c>
      <c r="J261" s="85">
        <f>G261*F261*(E261/(DATE(YEAR(D261),12,31)-DATE(YEAR(D261),1,1)+1))</f>
        <v>10.917520681226156</v>
      </c>
      <c r="K261" s="129">
        <f t="shared" si="105"/>
        <v>14.801384385485369</v>
      </c>
      <c r="L261" s="85">
        <f t="shared" ref="L261:L276" si="114">VLOOKUP($B$255,A$1:F$19,5,FALSE)/20</f>
        <v>69.886445392175034</v>
      </c>
      <c r="M261" s="130">
        <f t="shared" si="106"/>
        <v>84.687829777660397</v>
      </c>
      <c r="N261" s="8">
        <f t="shared" si="107"/>
        <v>1191.242466224174</v>
      </c>
      <c r="O261" s="84">
        <f t="shared" si="108"/>
        <v>1106.5546364465135</v>
      </c>
    </row>
    <row r="262" spans="1:15" x14ac:dyDescent="0.2">
      <c r="A262" s="96" t="s">
        <v>59</v>
      </c>
      <c r="B262" s="81" t="str">
        <f t="shared" si="113"/>
        <v>Q3/2017</v>
      </c>
      <c r="C262" s="82">
        <f t="shared" si="111"/>
        <v>42917</v>
      </c>
      <c r="D262" s="82">
        <f t="shared" si="112"/>
        <v>43008</v>
      </c>
      <c r="E262" s="81">
        <f t="shared" si="109"/>
        <v>92</v>
      </c>
      <c r="F262" s="83">
        <f>VLOOKUP(D262,'FERC Interest Rate'!$A:$B,2,TRUE)</f>
        <v>3.9600000000000003E-2</v>
      </c>
      <c r="G262" s="84">
        <f t="shared" si="110"/>
        <v>1106.5546364465135</v>
      </c>
      <c r="H262" s="84">
        <v>0</v>
      </c>
      <c r="I262" s="109">
        <f>SUM($H$254:$H$277)/20</f>
        <v>3.8838637042592126</v>
      </c>
      <c r="J262" s="85">
        <f>G262*F262*(E262/(DATE(YEAR(D262),12,31)-DATE(YEAR(D262),1,1)+1))</f>
        <v>11.044931100005313</v>
      </c>
      <c r="K262" s="129">
        <f t="shared" si="105"/>
        <v>14.928794804264525</v>
      </c>
      <c r="L262" s="85">
        <f t="shared" si="114"/>
        <v>69.886445392175034</v>
      </c>
      <c r="M262" s="130">
        <f t="shared" si="106"/>
        <v>84.815240196439561</v>
      </c>
      <c r="N262" s="8">
        <f t="shared" si="107"/>
        <v>1117.5995675465188</v>
      </c>
      <c r="O262" s="84">
        <f t="shared" si="108"/>
        <v>1032.7843273500791</v>
      </c>
    </row>
    <row r="263" spans="1:15" x14ac:dyDescent="0.2">
      <c r="A263" s="96" t="s">
        <v>60</v>
      </c>
      <c r="B263" s="81" t="str">
        <f t="shared" si="113"/>
        <v>Q4/2017</v>
      </c>
      <c r="C263" s="82">
        <f t="shared" si="111"/>
        <v>43009</v>
      </c>
      <c r="D263" s="82">
        <f t="shared" si="112"/>
        <v>43100</v>
      </c>
      <c r="E263" s="81">
        <f t="shared" si="109"/>
        <v>92</v>
      </c>
      <c r="F263" s="83">
        <f>VLOOKUP(D263,'FERC Interest Rate'!$A:$B,2,TRUE)</f>
        <v>4.2099999999999999E-2</v>
      </c>
      <c r="G263" s="84">
        <f t="shared" si="110"/>
        <v>1032.7843273500791</v>
      </c>
      <c r="H263" s="84">
        <v>0</v>
      </c>
      <c r="I263" s="109">
        <f>SUM($H$254:$H$277)/20</f>
        <v>3.8838637042592126</v>
      </c>
      <c r="J263" s="85">
        <f t="shared" ref="J263:J276" si="115">G263*F263*(E263/(DATE(YEAR(D263),12,31)-DATE(YEAR(D263),1,1)+1))</f>
        <v>10.959397963540621</v>
      </c>
      <c r="K263" s="129">
        <f t="shared" si="105"/>
        <v>14.843261667799833</v>
      </c>
      <c r="L263" s="85">
        <f t="shared" si="114"/>
        <v>69.886445392175034</v>
      </c>
      <c r="M263" s="130">
        <f t="shared" si="106"/>
        <v>84.729707059974871</v>
      </c>
      <c r="N263" s="8">
        <f t="shared" si="107"/>
        <v>1043.7437253136197</v>
      </c>
      <c r="O263" s="84">
        <f t="shared" si="108"/>
        <v>959.01401825364496</v>
      </c>
    </row>
    <row r="264" spans="1:15" x14ac:dyDescent="0.2">
      <c r="A264" s="96" t="s">
        <v>61</v>
      </c>
      <c r="B264" s="81" t="str">
        <f t="shared" si="113"/>
        <v>Q1/2018</v>
      </c>
      <c r="C264" s="82">
        <f t="shared" si="111"/>
        <v>43101</v>
      </c>
      <c r="D264" s="82">
        <f t="shared" si="112"/>
        <v>43190</v>
      </c>
      <c r="E264" s="81">
        <f t="shared" si="109"/>
        <v>90</v>
      </c>
      <c r="F264" s="83">
        <f>VLOOKUP(D264,'FERC Interest Rate'!$A:$B,2,TRUE)</f>
        <v>4.2500000000000003E-2</v>
      </c>
      <c r="G264" s="84">
        <f t="shared" si="110"/>
        <v>959.01401825364496</v>
      </c>
      <c r="H264" s="84">
        <v>0</v>
      </c>
      <c r="I264" s="109">
        <f t="shared" ref="I264:I276" si="116">SUM($H$254:$H$277)/20</f>
        <v>3.8838637042592126</v>
      </c>
      <c r="J264" s="85">
        <f t="shared" si="115"/>
        <v>10.04994142416491</v>
      </c>
      <c r="K264" s="129">
        <f t="shared" si="105"/>
        <v>13.933805128424122</v>
      </c>
      <c r="L264" s="85">
        <f t="shared" si="114"/>
        <v>69.886445392175034</v>
      </c>
      <c r="M264" s="130">
        <f t="shared" si="106"/>
        <v>83.82025052059916</v>
      </c>
      <c r="N264" s="8">
        <f t="shared" si="107"/>
        <v>969.06395967780986</v>
      </c>
      <c r="O264" s="84">
        <f t="shared" si="108"/>
        <v>885.24370915721079</v>
      </c>
    </row>
    <row r="265" spans="1:15" x14ac:dyDescent="0.2">
      <c r="A265" s="96" t="s">
        <v>62</v>
      </c>
      <c r="B265" s="81" t="str">
        <f t="shared" si="113"/>
        <v>Q2/2018</v>
      </c>
      <c r="C265" s="82">
        <f t="shared" si="111"/>
        <v>43191</v>
      </c>
      <c r="D265" s="82">
        <f t="shared" si="112"/>
        <v>43281</v>
      </c>
      <c r="E265" s="81">
        <f t="shared" si="109"/>
        <v>91</v>
      </c>
      <c r="F265" s="83">
        <f>VLOOKUP(D265,'FERC Interest Rate'!$A:$B,2,TRUE)</f>
        <v>4.4699999999999997E-2</v>
      </c>
      <c r="G265" s="84">
        <f t="shared" si="110"/>
        <v>885.24370915721079</v>
      </c>
      <c r="H265" s="84">
        <v>0</v>
      </c>
      <c r="I265" s="109">
        <f t="shared" si="116"/>
        <v>3.8838637042592126</v>
      </c>
      <c r="J265" s="85">
        <f t="shared" si="115"/>
        <v>9.8654954403802364</v>
      </c>
      <c r="K265" s="129">
        <f t="shared" si="105"/>
        <v>13.749359144639449</v>
      </c>
      <c r="L265" s="85">
        <f t="shared" si="114"/>
        <v>69.886445392175034</v>
      </c>
      <c r="M265" s="130">
        <f t="shared" si="106"/>
        <v>83.635804536814476</v>
      </c>
      <c r="N265" s="8">
        <f t="shared" si="107"/>
        <v>895.10920459759097</v>
      </c>
      <c r="O265" s="84">
        <f t="shared" si="108"/>
        <v>811.47340006077661</v>
      </c>
    </row>
    <row r="266" spans="1:15" x14ac:dyDescent="0.2">
      <c r="A266" s="96" t="s">
        <v>63</v>
      </c>
      <c r="B266" s="81" t="str">
        <f t="shared" si="113"/>
        <v>Q3/2018</v>
      </c>
      <c r="C266" s="82">
        <f t="shared" si="111"/>
        <v>43282</v>
      </c>
      <c r="D266" s="82">
        <f t="shared" si="112"/>
        <v>43373</v>
      </c>
      <c r="E266" s="81">
        <f t="shared" si="109"/>
        <v>92</v>
      </c>
      <c r="F266" s="83">
        <f>VLOOKUP(D266,'FERC Interest Rate'!$A:$B,2,TRUE)</f>
        <v>5.011111E-2</v>
      </c>
      <c r="G266" s="84">
        <f t="shared" si="110"/>
        <v>811.47340006077661</v>
      </c>
      <c r="H266" s="84">
        <v>0</v>
      </c>
      <c r="I266" s="109">
        <f t="shared" si="116"/>
        <v>3.8838637042592126</v>
      </c>
      <c r="J266" s="85">
        <f t="shared" si="115"/>
        <v>10.249514023977541</v>
      </c>
      <c r="K266" s="129">
        <f t="shared" si="105"/>
        <v>14.133377728236754</v>
      </c>
      <c r="L266" s="85">
        <f t="shared" si="114"/>
        <v>69.886445392175034</v>
      </c>
      <c r="M266" s="130">
        <f t="shared" si="106"/>
        <v>84.019823120411786</v>
      </c>
      <c r="N266" s="8">
        <f t="shared" si="107"/>
        <v>821.72291408475417</v>
      </c>
      <c r="O266" s="84">
        <f t="shared" si="108"/>
        <v>737.70309096434244</v>
      </c>
    </row>
    <row r="267" spans="1:15" x14ac:dyDescent="0.2">
      <c r="A267" s="96" t="s">
        <v>64</v>
      </c>
      <c r="B267" s="81" t="str">
        <f t="shared" si="113"/>
        <v>Q4/2018</v>
      </c>
      <c r="C267" s="82">
        <f t="shared" si="111"/>
        <v>43374</v>
      </c>
      <c r="D267" s="82">
        <f t="shared" si="112"/>
        <v>43465</v>
      </c>
      <c r="E267" s="81">
        <f t="shared" si="109"/>
        <v>92</v>
      </c>
      <c r="F267" s="83">
        <f>VLOOKUP(D267,'FERC Interest Rate'!$A:$B,2,TRUE)</f>
        <v>5.2822580000000001E-2</v>
      </c>
      <c r="G267" s="84">
        <f t="shared" si="110"/>
        <v>737.70309096434244</v>
      </c>
      <c r="H267" s="84">
        <v>0</v>
      </c>
      <c r="I267" s="109">
        <f t="shared" si="116"/>
        <v>3.8838637042592126</v>
      </c>
      <c r="J267" s="85">
        <f t="shared" si="115"/>
        <v>9.8219150946888654</v>
      </c>
      <c r="K267" s="129">
        <f t="shared" si="105"/>
        <v>13.705778798948078</v>
      </c>
      <c r="L267" s="85">
        <f t="shared" si="114"/>
        <v>69.886445392175034</v>
      </c>
      <c r="M267" s="130">
        <f t="shared" si="106"/>
        <v>83.592224191123108</v>
      </c>
      <c r="N267" s="8">
        <f t="shared" si="107"/>
        <v>747.52500605903128</v>
      </c>
      <c r="O267" s="84">
        <f t="shared" si="108"/>
        <v>663.93278186790826</v>
      </c>
    </row>
    <row r="268" spans="1:15" x14ac:dyDescent="0.2">
      <c r="A268" s="96" t="s">
        <v>65</v>
      </c>
      <c r="B268" s="81" t="str">
        <f t="shared" si="113"/>
        <v>Q1/2019</v>
      </c>
      <c r="C268" s="82">
        <f t="shared" si="111"/>
        <v>43466</v>
      </c>
      <c r="D268" s="82">
        <f t="shared" si="112"/>
        <v>43555</v>
      </c>
      <c r="E268" s="81">
        <f t="shared" si="109"/>
        <v>90</v>
      </c>
      <c r="F268" s="83">
        <f>VLOOKUP(D268,'FERC Interest Rate'!$A:$B,2,TRUE)</f>
        <v>5.5296770000000002E-2</v>
      </c>
      <c r="G268" s="84">
        <f t="shared" si="110"/>
        <v>663.93278186790826</v>
      </c>
      <c r="H268" s="84">
        <v>0</v>
      </c>
      <c r="I268" s="109">
        <f t="shared" si="116"/>
        <v>3.8838637042592126</v>
      </c>
      <c r="J268" s="85">
        <f t="shared" si="115"/>
        <v>9.0526039728681926</v>
      </c>
      <c r="K268" s="129">
        <f t="shared" si="105"/>
        <v>12.936467677127405</v>
      </c>
      <c r="L268" s="85">
        <f t="shared" si="114"/>
        <v>69.886445392175034</v>
      </c>
      <c r="M268" s="130">
        <f t="shared" si="106"/>
        <v>82.822913069302444</v>
      </c>
      <c r="N268" s="8">
        <f t="shared" si="107"/>
        <v>672.98538584077642</v>
      </c>
      <c r="O268" s="84">
        <f t="shared" si="108"/>
        <v>590.16247277147409</v>
      </c>
    </row>
    <row r="269" spans="1:15" x14ac:dyDescent="0.2">
      <c r="A269" s="96" t="s">
        <v>66</v>
      </c>
      <c r="B269" s="81" t="str">
        <f t="shared" si="113"/>
        <v>Q2/2019</v>
      </c>
      <c r="C269" s="82">
        <f t="shared" si="111"/>
        <v>43556</v>
      </c>
      <c r="D269" s="82">
        <f t="shared" si="112"/>
        <v>43646</v>
      </c>
      <c r="E269" s="81">
        <f t="shared" si="109"/>
        <v>91</v>
      </c>
      <c r="F269" s="83">
        <f>VLOOKUP(D269,'FERC Interest Rate'!$A:$B,2,TRUE)</f>
        <v>5.7999999999999996E-2</v>
      </c>
      <c r="G269" s="84">
        <f t="shared" si="110"/>
        <v>590.16247277147409</v>
      </c>
      <c r="H269" s="84">
        <v>0</v>
      </c>
      <c r="I269" s="109">
        <f t="shared" si="116"/>
        <v>3.8838637042592126</v>
      </c>
      <c r="J269" s="85">
        <f t="shared" si="115"/>
        <v>8.5339110446242206</v>
      </c>
      <c r="K269" s="129">
        <f t="shared" si="105"/>
        <v>12.417774748883433</v>
      </c>
      <c r="L269" s="85">
        <f t="shared" si="114"/>
        <v>69.886445392175034</v>
      </c>
      <c r="M269" s="130">
        <f t="shared" si="106"/>
        <v>82.304220141058465</v>
      </c>
      <c r="N269" s="8">
        <f t="shared" si="107"/>
        <v>598.69638381609832</v>
      </c>
      <c r="O269" s="84">
        <f t="shared" si="108"/>
        <v>516.39216367503991</v>
      </c>
    </row>
    <row r="270" spans="1:15" x14ac:dyDescent="0.2">
      <c r="A270" s="96" t="s">
        <v>67</v>
      </c>
      <c r="B270" s="81" t="str">
        <f t="shared" si="113"/>
        <v>Q3/2019</v>
      </c>
      <c r="C270" s="82">
        <f t="shared" si="111"/>
        <v>43647</v>
      </c>
      <c r="D270" s="82">
        <f t="shared" si="112"/>
        <v>43738</v>
      </c>
      <c r="E270" s="81">
        <f t="shared" si="109"/>
        <v>92</v>
      </c>
      <c r="F270" s="83">
        <f>VLOOKUP(D270,'FERC Interest Rate'!$A:$B,2,TRUE)</f>
        <v>0.06</v>
      </c>
      <c r="G270" s="84">
        <f t="shared" si="110"/>
        <v>516.39216367503991</v>
      </c>
      <c r="H270" s="84">
        <v>0</v>
      </c>
      <c r="I270" s="109">
        <f t="shared" si="116"/>
        <v>3.8838637042592126</v>
      </c>
      <c r="J270" s="85">
        <f t="shared" si="115"/>
        <v>7.8095472424280015</v>
      </c>
      <c r="K270" s="129">
        <f t="shared" si="105"/>
        <v>11.693410946687214</v>
      </c>
      <c r="L270" s="85">
        <f t="shared" si="114"/>
        <v>69.886445392175034</v>
      </c>
      <c r="M270" s="130">
        <f t="shared" si="106"/>
        <v>81.579856338862243</v>
      </c>
      <c r="N270" s="8">
        <f t="shared" si="107"/>
        <v>524.20171091746795</v>
      </c>
      <c r="O270" s="84">
        <f t="shared" si="108"/>
        <v>442.62185457860568</v>
      </c>
    </row>
    <row r="271" spans="1:15" x14ac:dyDescent="0.2">
      <c r="A271" s="96" t="s">
        <v>68</v>
      </c>
      <c r="B271" s="81" t="str">
        <f t="shared" si="113"/>
        <v>Q4/2019</v>
      </c>
      <c r="C271" s="82">
        <f t="shared" si="111"/>
        <v>43739</v>
      </c>
      <c r="D271" s="82">
        <f t="shared" si="112"/>
        <v>43830</v>
      </c>
      <c r="E271" s="81">
        <f t="shared" si="109"/>
        <v>92</v>
      </c>
      <c r="F271" s="83">
        <f>VLOOKUP(D271,'FERC Interest Rate'!$A:$B,2,TRUE)</f>
        <v>6.0349460000000001E-2</v>
      </c>
      <c r="G271" s="84">
        <f t="shared" si="110"/>
        <v>442.62185457860568</v>
      </c>
      <c r="H271" s="84">
        <v>0</v>
      </c>
      <c r="I271" s="109">
        <f t="shared" si="116"/>
        <v>3.8838637042592126</v>
      </c>
      <c r="J271" s="85">
        <f t="shared" si="115"/>
        <v>6.7328851275002712</v>
      </c>
      <c r="K271" s="129">
        <f t="shared" si="105"/>
        <v>10.616748831759484</v>
      </c>
      <c r="L271" s="85">
        <f t="shared" si="114"/>
        <v>69.886445392175034</v>
      </c>
      <c r="M271" s="130">
        <f t="shared" si="106"/>
        <v>80.503194223934514</v>
      </c>
      <c r="N271" s="8">
        <f t="shared" si="107"/>
        <v>449.35473970610593</v>
      </c>
      <c r="O271" s="84">
        <f t="shared" si="108"/>
        <v>368.85154548217139</v>
      </c>
    </row>
    <row r="272" spans="1:15" x14ac:dyDescent="0.2">
      <c r="A272" s="96" t="s">
        <v>69</v>
      </c>
      <c r="B272" s="81" t="str">
        <f t="shared" si="113"/>
        <v>Q1/2020</v>
      </c>
      <c r="C272" s="82">
        <f t="shared" si="111"/>
        <v>43831</v>
      </c>
      <c r="D272" s="82">
        <f t="shared" si="112"/>
        <v>43921</v>
      </c>
      <c r="E272" s="81">
        <f t="shared" si="109"/>
        <v>91</v>
      </c>
      <c r="F272" s="83">
        <f>VLOOKUP(D272,'FERC Interest Rate'!$A:$B,2,TRUE)</f>
        <v>6.2501040000000008E-2</v>
      </c>
      <c r="G272" s="84">
        <f t="shared" si="110"/>
        <v>368.85154548217139</v>
      </c>
      <c r="H272" s="84">
        <v>0</v>
      </c>
      <c r="I272" s="109">
        <f t="shared" si="116"/>
        <v>3.8838637042592126</v>
      </c>
      <c r="J272" s="85">
        <f t="shared" si="115"/>
        <v>5.731907303388291</v>
      </c>
      <c r="K272" s="129">
        <f t="shared" si="105"/>
        <v>9.6157710076475027</v>
      </c>
      <c r="L272" s="85">
        <f t="shared" si="114"/>
        <v>69.886445392175034</v>
      </c>
      <c r="M272" s="130">
        <f t="shared" si="106"/>
        <v>79.502216399822544</v>
      </c>
      <c r="N272" s="8">
        <f t="shared" si="107"/>
        <v>374.5834527855597</v>
      </c>
      <c r="O272" s="84">
        <f t="shared" si="108"/>
        <v>295.0812363857371</v>
      </c>
    </row>
    <row r="273" spans="1:15" x14ac:dyDescent="0.2">
      <c r="A273" s="96" t="s">
        <v>70</v>
      </c>
      <c r="B273" s="81" t="str">
        <f t="shared" si="113"/>
        <v>Q2/2020</v>
      </c>
      <c r="C273" s="82">
        <f t="shared" si="111"/>
        <v>43922</v>
      </c>
      <c r="D273" s="82">
        <f t="shared" si="112"/>
        <v>44012</v>
      </c>
      <c r="E273" s="81">
        <f t="shared" si="109"/>
        <v>91</v>
      </c>
      <c r="F273" s="83">
        <f>VLOOKUP(D273,'FERC Interest Rate'!$A:$B,2,TRUE)</f>
        <v>6.3055559999999997E-2</v>
      </c>
      <c r="G273" s="84">
        <f t="shared" si="110"/>
        <v>295.0812363857371</v>
      </c>
      <c r="H273" s="84">
        <v>0</v>
      </c>
      <c r="I273" s="109">
        <f t="shared" si="116"/>
        <v>3.8838637042592126</v>
      </c>
      <c r="J273" s="85">
        <f t="shared" si="115"/>
        <v>4.6262094183807312</v>
      </c>
      <c r="K273" s="129">
        <f t="shared" si="105"/>
        <v>8.5100731226399446</v>
      </c>
      <c r="L273" s="85">
        <f t="shared" si="114"/>
        <v>69.886445392175034</v>
      </c>
      <c r="M273" s="130">
        <f t="shared" si="106"/>
        <v>78.396518514814971</v>
      </c>
      <c r="N273" s="8">
        <f t="shared" si="107"/>
        <v>299.70744580411781</v>
      </c>
      <c r="O273" s="84">
        <f t="shared" si="108"/>
        <v>221.31092728930287</v>
      </c>
    </row>
    <row r="274" spans="1:15" x14ac:dyDescent="0.2">
      <c r="A274" s="96" t="s">
        <v>71</v>
      </c>
      <c r="B274" s="81" t="str">
        <f>+IF(MONTH(C274)&lt;4,"Q1",IF(MONTH(C274)&lt;7,"Q2",IF(MONTH(C274)&lt;10,"Q3","Q4")))&amp;"/"&amp;YEAR(C274)</f>
        <v>Q3/2020</v>
      </c>
      <c r="C274" s="82">
        <f t="shared" si="111"/>
        <v>44013</v>
      </c>
      <c r="D274" s="82">
        <f t="shared" si="112"/>
        <v>44104</v>
      </c>
      <c r="E274" s="81">
        <f t="shared" si="109"/>
        <v>92</v>
      </c>
      <c r="F274" s="83">
        <f>VLOOKUP(D274,'FERC Interest Rate'!$A:$B,2,TRUE)</f>
        <v>6.5000000000000002E-2</v>
      </c>
      <c r="G274" s="84">
        <f t="shared" si="110"/>
        <v>221.31092728930287</v>
      </c>
      <c r="H274" s="84">
        <v>0</v>
      </c>
      <c r="I274" s="109">
        <f t="shared" si="116"/>
        <v>3.8838637042592126</v>
      </c>
      <c r="J274" s="85">
        <f t="shared" si="115"/>
        <v>3.61595449505473</v>
      </c>
      <c r="K274" s="129">
        <f t="shared" si="105"/>
        <v>7.4998181993139426</v>
      </c>
      <c r="L274" s="85">
        <f t="shared" si="114"/>
        <v>69.886445392175034</v>
      </c>
      <c r="M274" s="130">
        <f t="shared" si="106"/>
        <v>77.386263591488984</v>
      </c>
      <c r="N274" s="8">
        <f t="shared" si="107"/>
        <v>224.92688178435759</v>
      </c>
      <c r="O274" s="84">
        <f t="shared" si="108"/>
        <v>147.54061819286864</v>
      </c>
    </row>
    <row r="275" spans="1:15" x14ac:dyDescent="0.2">
      <c r="A275" s="96" t="s">
        <v>72</v>
      </c>
      <c r="B275" s="81" t="str">
        <f>+IF(MONTH(C275)&lt;4,"Q1",IF(MONTH(C275)&lt;7,"Q2",IF(MONTH(C275)&lt;10,"Q3","Q4")))&amp;"/"&amp;YEAR(C275)</f>
        <v>Q4/2020</v>
      </c>
      <c r="C275" s="82">
        <f t="shared" si="111"/>
        <v>44105</v>
      </c>
      <c r="D275" s="82">
        <f t="shared" si="112"/>
        <v>44196</v>
      </c>
      <c r="E275" s="81">
        <f t="shared" si="109"/>
        <v>92</v>
      </c>
      <c r="F275" s="83">
        <f>VLOOKUP(D275,'FERC Interest Rate'!$A:$B,2,TRUE)</f>
        <v>6.5000000000000002E-2</v>
      </c>
      <c r="G275" s="84">
        <f t="shared" si="110"/>
        <v>147.54061819286864</v>
      </c>
      <c r="H275" s="84">
        <v>0</v>
      </c>
      <c r="I275" s="109">
        <f t="shared" si="116"/>
        <v>3.8838637042592126</v>
      </c>
      <c r="J275" s="85">
        <f t="shared" si="115"/>
        <v>2.4106363300364877</v>
      </c>
      <c r="K275" s="129">
        <f t="shared" si="105"/>
        <v>6.2945000342956998</v>
      </c>
      <c r="L275" s="85">
        <f t="shared" si="114"/>
        <v>69.886445392175034</v>
      </c>
      <c r="M275" s="130">
        <f t="shared" si="106"/>
        <v>76.180945426470728</v>
      </c>
      <c r="N275" s="8">
        <f t="shared" si="107"/>
        <v>149.95125452290512</v>
      </c>
      <c r="O275" s="84">
        <f t="shared" si="108"/>
        <v>73.770309096434389</v>
      </c>
    </row>
    <row r="276" spans="1:15" x14ac:dyDescent="0.2">
      <c r="A276" s="96" t="s">
        <v>73</v>
      </c>
      <c r="B276" s="81" t="str">
        <f>+IF(MONTH(C276)&lt;4,"Q1",IF(MONTH(C276)&lt;7,"Q2",IF(MONTH(C276)&lt;10,"Q3","Q4")))&amp;"/"&amp;YEAR(C276)</f>
        <v>Q1/2021</v>
      </c>
      <c r="C276" s="82">
        <f t="shared" si="111"/>
        <v>44197</v>
      </c>
      <c r="D276" s="82">
        <f t="shared" si="112"/>
        <v>44286</v>
      </c>
      <c r="E276" s="81">
        <f t="shared" si="109"/>
        <v>90</v>
      </c>
      <c r="F276" s="83">
        <f>VLOOKUP(D276,'FERC Interest Rate'!$A:$B,2,TRUE)</f>
        <v>6.5000000000000002E-2</v>
      </c>
      <c r="G276" s="84">
        <f t="shared" si="110"/>
        <v>73.770309096434389</v>
      </c>
      <c r="H276" s="84">
        <v>0</v>
      </c>
      <c r="I276" s="109">
        <f t="shared" si="116"/>
        <v>3.8838637042592126</v>
      </c>
      <c r="J276" s="85">
        <f t="shared" si="115"/>
        <v>1.1823460499017566</v>
      </c>
      <c r="K276" s="129">
        <f t="shared" si="105"/>
        <v>5.066209754160969</v>
      </c>
      <c r="L276" s="85">
        <f t="shared" si="114"/>
        <v>69.886445392175034</v>
      </c>
      <c r="M276" s="130">
        <f t="shared" si="106"/>
        <v>74.952655146335999</v>
      </c>
      <c r="N276" s="8">
        <f t="shared" si="107"/>
        <v>74.952655146336141</v>
      </c>
      <c r="O276" s="84">
        <f t="shared" si="108"/>
        <v>1.4210854715202004E-13</v>
      </c>
    </row>
    <row r="277" spans="1:15" x14ac:dyDescent="0.2">
      <c r="A277" s="96"/>
      <c r="B277" s="81"/>
      <c r="C277" s="82"/>
      <c r="D277" s="82"/>
      <c r="E277" s="81"/>
      <c r="F277" s="83"/>
      <c r="G277" s="84"/>
      <c r="H277" s="84"/>
      <c r="I277" s="109"/>
      <c r="J277" s="85"/>
      <c r="K277" s="129"/>
      <c r="L277" s="85"/>
      <c r="M277" s="130"/>
      <c r="N277" s="8"/>
      <c r="O277" s="84"/>
    </row>
    <row r="278" spans="1:15" ht="13.5" thickBot="1" x14ac:dyDescent="0.25">
      <c r="A278" s="151"/>
      <c r="B278" s="152"/>
      <c r="C278" s="153"/>
      <c r="D278" s="153"/>
      <c r="E278" s="154"/>
      <c r="F278" s="152"/>
      <c r="G278" s="140">
        <f t="shared" ref="G278:O278" si="117">+SUM(G254:G277)</f>
        <v>20021.702152206017</v>
      </c>
      <c r="H278" s="140">
        <f t="shared" si="117"/>
        <v>77.677274085184251</v>
      </c>
      <c r="I278" s="141">
        <f t="shared" si="117"/>
        <v>77.677274085184251</v>
      </c>
      <c r="J278" s="140">
        <f t="shared" si="117"/>
        <v>135.2287272325394</v>
      </c>
      <c r="K278" s="140">
        <f t="shared" si="117"/>
        <v>212.90600131772371</v>
      </c>
      <c r="L278" s="140">
        <f t="shared" si="117"/>
        <v>1397.7289078435008</v>
      </c>
      <c r="M278" s="142">
        <f t="shared" si="117"/>
        <v>1610.6349091612246</v>
      </c>
      <c r="N278" s="140">
        <f t="shared" si="117"/>
        <v>20234.608153523732</v>
      </c>
      <c r="O278" s="140">
        <f t="shared" si="117"/>
        <v>18623.973244362514</v>
      </c>
    </row>
    <row r="279" spans="1:15" ht="13.5" thickTop="1" x14ac:dyDescent="0.2">
      <c r="B279" s="117"/>
      <c r="C279" s="117"/>
      <c r="D279" s="117"/>
      <c r="E279" s="117"/>
      <c r="F279" s="117"/>
      <c r="G279" s="117"/>
      <c r="H279" s="117"/>
      <c r="I279" s="116"/>
      <c r="J279" s="117"/>
      <c r="K279" s="117"/>
      <c r="L279" s="117"/>
      <c r="M279" s="131"/>
      <c r="O279" s="117"/>
    </row>
    <row r="280" spans="1:15" ht="38.25" x14ac:dyDescent="0.2">
      <c r="A280" s="90" t="s">
        <v>53</v>
      </c>
      <c r="B280" s="90" t="s">
        <v>3</v>
      </c>
      <c r="C280" s="90" t="s">
        <v>4</v>
      </c>
      <c r="D280" s="90" t="s">
        <v>5</v>
      </c>
      <c r="E280" s="90" t="s">
        <v>6</v>
      </c>
      <c r="F280" s="90" t="s">
        <v>7</v>
      </c>
      <c r="G280" s="90" t="s">
        <v>93</v>
      </c>
      <c r="H280" s="90" t="s">
        <v>94</v>
      </c>
      <c r="I280" s="105" t="s">
        <v>95</v>
      </c>
      <c r="J280" s="106" t="s">
        <v>96</v>
      </c>
      <c r="K280" s="106" t="s">
        <v>97</v>
      </c>
      <c r="L280" s="106" t="s">
        <v>98</v>
      </c>
      <c r="M280" s="107" t="s">
        <v>99</v>
      </c>
      <c r="N280" s="90" t="s">
        <v>100</v>
      </c>
      <c r="O280" s="90" t="s">
        <v>101</v>
      </c>
    </row>
    <row r="281" spans="1:15" x14ac:dyDescent="0.2">
      <c r="A281" s="309" t="s">
        <v>15</v>
      </c>
      <c r="B281" s="309"/>
      <c r="C281" s="282">
        <f>VLOOKUP(B282,A$1:F$23,2,FALSE)</f>
        <v>42333</v>
      </c>
      <c r="D281" s="282">
        <f>DATE(YEAR(C281),IF(MONTH(C281)&lt;=3,3,IF(MONTH(C281)&lt;=6,6,IF(MONTH(C281)&lt;=9,9,12))),IF(OR(MONTH(C281)&lt;=3,MONTH(C281)&gt;=10),31,30))</f>
        <v>42369</v>
      </c>
      <c r="E281" s="283">
        <f>D281-C281+1</f>
        <v>37</v>
      </c>
      <c r="F281" s="284">
        <f>VLOOKUP(D281,'FERC Interest Rate'!$A:$B,2,TRUE)</f>
        <v>3.2500000000000001E-2</v>
      </c>
      <c r="G281" s="167">
        <f>VLOOKUP(B282,$A$1:$F$23,5,FALSE)</f>
        <v>657.58847889239132</v>
      </c>
      <c r="H281" s="167">
        <f t="shared" ref="H281:H286" si="118">G281*F281*(E281/(DATE(YEAR(D281),12,31)-DATE(YEAR(D281),1,1)+1))</f>
        <v>2.1664387558030156</v>
      </c>
      <c r="I281" s="291">
        <v>0</v>
      </c>
      <c r="J281" s="286">
        <v>0</v>
      </c>
      <c r="K281" s="288">
        <f t="shared" ref="K281:K302" si="119">+SUM(I281:J281)</f>
        <v>0</v>
      </c>
      <c r="L281" s="286">
        <v>0</v>
      </c>
      <c r="M281" s="289">
        <f t="shared" ref="M281:M302" si="120">+SUM(K281:L281)</f>
        <v>0</v>
      </c>
      <c r="N281" s="290">
        <f t="shared" ref="N281:N302" si="121">+G281+H281+J281</f>
        <v>659.75491764819435</v>
      </c>
      <c r="O281" s="167">
        <f t="shared" ref="O281:O302" si="122">G281+H281-L281-I281</f>
        <v>659.75491764819435</v>
      </c>
    </row>
    <row r="282" spans="1:15" x14ac:dyDescent="0.2">
      <c r="A282" s="275" t="s">
        <v>38</v>
      </c>
      <c r="B282" s="276" t="s">
        <v>61</v>
      </c>
      <c r="C282" s="282">
        <f>D281+1</f>
        <v>42370</v>
      </c>
      <c r="D282" s="282">
        <f>EOMONTH(D281,3)</f>
        <v>42460</v>
      </c>
      <c r="E282" s="283">
        <f t="shared" ref="E282:E302" si="123">D282-C282+1</f>
        <v>91</v>
      </c>
      <c r="F282" s="284">
        <f>VLOOKUP(D282,'FERC Interest Rate'!$A:$B,2,TRUE)</f>
        <v>3.2500000000000001E-2</v>
      </c>
      <c r="G282" s="167">
        <f t="shared" ref="G282:G302" si="124">O281</f>
        <v>659.75491764819435</v>
      </c>
      <c r="H282" s="167">
        <f t="shared" si="118"/>
        <v>5.3312163085916255</v>
      </c>
      <c r="I282" s="291">
        <v>0</v>
      </c>
      <c r="J282" s="286">
        <v>0</v>
      </c>
      <c r="K282" s="288">
        <f t="shared" si="119"/>
        <v>0</v>
      </c>
      <c r="L282" s="286">
        <v>0</v>
      </c>
      <c r="M282" s="289">
        <f t="shared" si="120"/>
        <v>0</v>
      </c>
      <c r="N282" s="290">
        <f t="shared" si="121"/>
        <v>665.08613395678594</v>
      </c>
      <c r="O282" s="167">
        <f t="shared" si="122"/>
        <v>665.08613395678594</v>
      </c>
    </row>
    <row r="283" spans="1:15" x14ac:dyDescent="0.2">
      <c r="A283" s="96"/>
      <c r="B283" s="81"/>
      <c r="C283" s="82">
        <f t="shared" ref="C283:C302" si="125">D282+1</f>
        <v>42461</v>
      </c>
      <c r="D283" s="82">
        <f t="shared" ref="D283:D302" si="126">EOMONTH(D282,3)</f>
        <v>42551</v>
      </c>
      <c r="E283" s="81">
        <f t="shared" si="123"/>
        <v>91</v>
      </c>
      <c r="F283" s="83">
        <f>VLOOKUP(D283,'FERC Interest Rate'!$A:$B,2,TRUE)</f>
        <v>3.4599999999999999E-2</v>
      </c>
      <c r="G283" s="84">
        <f t="shared" si="124"/>
        <v>665.08613395678594</v>
      </c>
      <c r="H283" s="167">
        <f t="shared" si="118"/>
        <v>5.7215579272577495</v>
      </c>
      <c r="I283" s="173">
        <v>0</v>
      </c>
      <c r="J283" s="286">
        <v>0</v>
      </c>
      <c r="K283" s="129">
        <f t="shared" si="119"/>
        <v>0</v>
      </c>
      <c r="L283" s="85">
        <v>0</v>
      </c>
      <c r="M283" s="130">
        <f t="shared" si="120"/>
        <v>0</v>
      </c>
      <c r="N283" s="8">
        <f t="shared" si="121"/>
        <v>670.80769188404372</v>
      </c>
      <c r="O283" s="84">
        <f t="shared" si="122"/>
        <v>670.80769188404372</v>
      </c>
    </row>
    <row r="284" spans="1:15" x14ac:dyDescent="0.2">
      <c r="A284" s="96"/>
      <c r="B284" s="81"/>
      <c r="C284" s="82">
        <f t="shared" si="125"/>
        <v>42552</v>
      </c>
      <c r="D284" s="82">
        <f t="shared" si="126"/>
        <v>42643</v>
      </c>
      <c r="E284" s="81">
        <f t="shared" si="123"/>
        <v>92</v>
      </c>
      <c r="F284" s="83">
        <f>VLOOKUP(D284,'FERC Interest Rate'!$A:$B,2,TRUE)</f>
        <v>3.5000000000000003E-2</v>
      </c>
      <c r="G284" s="84">
        <f t="shared" si="124"/>
        <v>670.80769188404372</v>
      </c>
      <c r="H284" s="84">
        <f t="shared" si="118"/>
        <v>5.9016414422585282</v>
      </c>
      <c r="I284" s="173">
        <v>0</v>
      </c>
      <c r="J284" s="85">
        <v>0</v>
      </c>
      <c r="K284" s="129">
        <f t="shared" si="119"/>
        <v>0</v>
      </c>
      <c r="L284" s="85">
        <v>0</v>
      </c>
      <c r="M284" s="130">
        <f t="shared" si="120"/>
        <v>0</v>
      </c>
      <c r="N284" s="8">
        <f t="shared" si="121"/>
        <v>676.70933332630227</v>
      </c>
      <c r="O284" s="84">
        <f t="shared" si="122"/>
        <v>676.70933332630227</v>
      </c>
    </row>
    <row r="285" spans="1:15" x14ac:dyDescent="0.2">
      <c r="A285" s="96"/>
      <c r="B285" s="81"/>
      <c r="C285" s="82">
        <f t="shared" si="125"/>
        <v>42644</v>
      </c>
      <c r="D285" s="82">
        <f t="shared" si="126"/>
        <v>42735</v>
      </c>
      <c r="E285" s="81">
        <f t="shared" si="123"/>
        <v>92</v>
      </c>
      <c r="F285" s="83">
        <f>VLOOKUP(D285,'FERC Interest Rate'!$A:$B,2,TRUE)</f>
        <v>3.5000000000000003E-2</v>
      </c>
      <c r="G285" s="84">
        <f t="shared" si="124"/>
        <v>676.70933332630227</v>
      </c>
      <c r="H285" s="84">
        <f t="shared" si="118"/>
        <v>5.953562987187687</v>
      </c>
      <c r="I285" s="173">
        <v>0</v>
      </c>
      <c r="J285" s="85">
        <v>0</v>
      </c>
      <c r="K285" s="129">
        <f t="shared" si="119"/>
        <v>0</v>
      </c>
      <c r="L285" s="85">
        <v>0</v>
      </c>
      <c r="M285" s="130">
        <f t="shared" si="120"/>
        <v>0</v>
      </c>
      <c r="N285" s="8">
        <f t="shared" si="121"/>
        <v>682.66289631348991</v>
      </c>
      <c r="O285" s="84">
        <f t="shared" si="122"/>
        <v>682.66289631348991</v>
      </c>
    </row>
    <row r="286" spans="1:15" x14ac:dyDescent="0.2">
      <c r="A286" s="96" t="s">
        <v>102</v>
      </c>
      <c r="B286" s="81" t="str">
        <f t="shared" ref="B286:B299" si="127">+IF(MONTH(C286)&lt;4,"Q1",IF(MONTH(C286)&lt;7,"Q2",IF(MONTH(C286)&lt;10,"Q3","Q4")))&amp;"/"&amp;YEAR(C286)</f>
        <v>Q1/2017</v>
      </c>
      <c r="C286" s="82">
        <f t="shared" si="125"/>
        <v>42736</v>
      </c>
      <c r="D286" s="82">
        <f t="shared" si="126"/>
        <v>42825</v>
      </c>
      <c r="E286" s="81">
        <f t="shared" si="123"/>
        <v>90</v>
      </c>
      <c r="F286" s="83">
        <f>VLOOKUP(D286,'FERC Interest Rate'!$A:$B,2,TRUE)</f>
        <v>3.5000000000000003E-2</v>
      </c>
      <c r="G286" s="84">
        <f t="shared" si="124"/>
        <v>682.66289631348991</v>
      </c>
      <c r="H286" s="84">
        <f t="shared" si="118"/>
        <v>5.8914743106506666</v>
      </c>
      <c r="I286" s="173">
        <f>SUM($H$281:$H$303)/20*4</f>
        <v>6.1931783463498551</v>
      </c>
      <c r="J286" s="85">
        <f t="shared" ref="J286:J302" si="128">G286*F286*(E286/(DATE(YEAR(D286),12,31)-DATE(YEAR(D286),1,1)+1))</f>
        <v>5.8914743106506666</v>
      </c>
      <c r="K286" s="129">
        <f t="shared" si="119"/>
        <v>12.084652657000522</v>
      </c>
      <c r="L286" s="85">
        <f>VLOOKUP($B$282,A$1:F$19,5,FALSE)/20*4</f>
        <v>131.51769577847827</v>
      </c>
      <c r="M286" s="130">
        <f t="shared" si="120"/>
        <v>143.6023484354788</v>
      </c>
      <c r="N286" s="8">
        <f t="shared" si="121"/>
        <v>694.44584493479124</v>
      </c>
      <c r="O286" s="84">
        <f t="shared" si="122"/>
        <v>550.84349649931244</v>
      </c>
    </row>
    <row r="287" spans="1:15" x14ac:dyDescent="0.2">
      <c r="A287" s="96" t="s">
        <v>58</v>
      </c>
      <c r="B287" s="81" t="str">
        <f t="shared" si="127"/>
        <v>Q2/2017</v>
      </c>
      <c r="C287" s="82">
        <f t="shared" si="125"/>
        <v>42826</v>
      </c>
      <c r="D287" s="82">
        <f t="shared" si="126"/>
        <v>42916</v>
      </c>
      <c r="E287" s="81">
        <f t="shared" si="123"/>
        <v>91</v>
      </c>
      <c r="F287" s="83">
        <f>VLOOKUP(D287,'FERC Interest Rate'!$A:$B,2,TRUE)</f>
        <v>3.7100000000000001E-2</v>
      </c>
      <c r="G287" s="84">
        <f t="shared" si="124"/>
        <v>550.84349649931244</v>
      </c>
      <c r="H287" s="84">
        <v>0</v>
      </c>
      <c r="I287" s="173">
        <f t="shared" ref="I287:I290" si="129">SUM($H$281:$H$303)/20</f>
        <v>1.5482945865874638</v>
      </c>
      <c r="J287" s="85">
        <f t="shared" si="128"/>
        <v>5.0950759685789828</v>
      </c>
      <c r="K287" s="129">
        <f t="shared" si="119"/>
        <v>6.643370555166447</v>
      </c>
      <c r="L287" s="85">
        <f t="shared" ref="L287:L302" si="130">VLOOKUP($B$282,A$1:F$19,5,FALSE)/20</f>
        <v>32.879423944619568</v>
      </c>
      <c r="M287" s="130">
        <f t="shared" si="120"/>
        <v>39.522794499786016</v>
      </c>
      <c r="N287" s="8">
        <f t="shared" si="121"/>
        <v>555.93857246789139</v>
      </c>
      <c r="O287" s="84">
        <f t="shared" si="122"/>
        <v>516.41577796810543</v>
      </c>
    </row>
    <row r="288" spans="1:15" x14ac:dyDescent="0.2">
      <c r="A288" s="96" t="s">
        <v>59</v>
      </c>
      <c r="B288" s="81" t="str">
        <f t="shared" si="127"/>
        <v>Q3/2017</v>
      </c>
      <c r="C288" s="82">
        <f t="shared" si="125"/>
        <v>42917</v>
      </c>
      <c r="D288" s="82">
        <f t="shared" si="126"/>
        <v>43008</v>
      </c>
      <c r="E288" s="81">
        <f t="shared" si="123"/>
        <v>92</v>
      </c>
      <c r="F288" s="83">
        <f>VLOOKUP(D288,'FERC Interest Rate'!$A:$B,2,TRUE)</f>
        <v>3.9600000000000003E-2</v>
      </c>
      <c r="G288" s="84">
        <f t="shared" si="124"/>
        <v>516.41577796810543</v>
      </c>
      <c r="H288" s="84">
        <v>0</v>
      </c>
      <c r="I288" s="173">
        <f t="shared" si="129"/>
        <v>1.5482945865874638</v>
      </c>
      <c r="J288" s="85">
        <f t="shared" si="128"/>
        <v>5.1545368829956217</v>
      </c>
      <c r="K288" s="129">
        <f t="shared" si="119"/>
        <v>6.7028314695830851</v>
      </c>
      <c r="L288" s="85">
        <f t="shared" si="130"/>
        <v>32.879423944619568</v>
      </c>
      <c r="M288" s="130">
        <f t="shared" si="120"/>
        <v>39.582255414202649</v>
      </c>
      <c r="N288" s="8">
        <f t="shared" si="121"/>
        <v>521.5703148511011</v>
      </c>
      <c r="O288" s="84">
        <f t="shared" si="122"/>
        <v>481.98805943689837</v>
      </c>
    </row>
    <row r="289" spans="1:15" x14ac:dyDescent="0.2">
      <c r="A289" s="96" t="s">
        <v>60</v>
      </c>
      <c r="B289" s="81" t="str">
        <f t="shared" si="127"/>
        <v>Q4/2017</v>
      </c>
      <c r="C289" s="82">
        <f t="shared" si="125"/>
        <v>43009</v>
      </c>
      <c r="D289" s="82">
        <f t="shared" si="126"/>
        <v>43100</v>
      </c>
      <c r="E289" s="81">
        <f t="shared" si="123"/>
        <v>92</v>
      </c>
      <c r="F289" s="83">
        <f>VLOOKUP(D289,'FERC Interest Rate'!$A:$B,2,TRUE)</f>
        <v>4.2099999999999999E-2</v>
      </c>
      <c r="G289" s="84">
        <f t="shared" si="124"/>
        <v>481.98805943689837</v>
      </c>
      <c r="H289" s="84">
        <v>0</v>
      </c>
      <c r="I289" s="109">
        <f t="shared" si="129"/>
        <v>1.5482945865874638</v>
      </c>
      <c r="J289" s="85">
        <f t="shared" si="128"/>
        <v>5.1146195940027255</v>
      </c>
      <c r="K289" s="129">
        <f t="shared" si="119"/>
        <v>6.6629141805901888</v>
      </c>
      <c r="L289" s="85">
        <f t="shared" si="130"/>
        <v>32.879423944619568</v>
      </c>
      <c r="M289" s="130">
        <f t="shared" si="120"/>
        <v>39.542338125209753</v>
      </c>
      <c r="N289" s="8">
        <f t="shared" si="121"/>
        <v>487.10267903090107</v>
      </c>
      <c r="O289" s="84">
        <f t="shared" si="122"/>
        <v>447.56034090569131</v>
      </c>
    </row>
    <row r="290" spans="1:15" x14ac:dyDescent="0.2">
      <c r="A290" s="96" t="s">
        <v>61</v>
      </c>
      <c r="B290" s="81" t="str">
        <f t="shared" si="127"/>
        <v>Q1/2018</v>
      </c>
      <c r="C290" s="82">
        <f t="shared" si="125"/>
        <v>43101</v>
      </c>
      <c r="D290" s="82">
        <f t="shared" si="126"/>
        <v>43190</v>
      </c>
      <c r="E290" s="81">
        <f t="shared" si="123"/>
        <v>90</v>
      </c>
      <c r="F290" s="83">
        <f>VLOOKUP(D290,'FERC Interest Rate'!$A:$B,2,TRUE)</f>
        <v>4.2500000000000003E-2</v>
      </c>
      <c r="G290" s="84">
        <f t="shared" si="124"/>
        <v>447.56034090569131</v>
      </c>
      <c r="H290" s="84">
        <v>0</v>
      </c>
      <c r="I290" s="109">
        <f t="shared" si="129"/>
        <v>1.5482945865874638</v>
      </c>
      <c r="J290" s="85">
        <f t="shared" si="128"/>
        <v>4.6901871341486832</v>
      </c>
      <c r="K290" s="129">
        <f t="shared" si="119"/>
        <v>6.2384817207361465</v>
      </c>
      <c r="L290" s="85">
        <f t="shared" si="130"/>
        <v>32.879423944619568</v>
      </c>
      <c r="M290" s="130">
        <f t="shared" si="120"/>
        <v>39.117905665355714</v>
      </c>
      <c r="N290" s="8">
        <f t="shared" si="121"/>
        <v>452.25052803983999</v>
      </c>
      <c r="O290" s="84">
        <f t="shared" si="122"/>
        <v>413.13262237448424</v>
      </c>
    </row>
    <row r="291" spans="1:15" x14ac:dyDescent="0.2">
      <c r="A291" s="96" t="s">
        <v>62</v>
      </c>
      <c r="B291" s="81" t="str">
        <f t="shared" si="127"/>
        <v>Q2/2018</v>
      </c>
      <c r="C291" s="82">
        <f t="shared" si="125"/>
        <v>43191</v>
      </c>
      <c r="D291" s="82">
        <f t="shared" si="126"/>
        <v>43281</v>
      </c>
      <c r="E291" s="81">
        <f t="shared" si="123"/>
        <v>91</v>
      </c>
      <c r="F291" s="83">
        <f>VLOOKUP(D291,'FERC Interest Rate'!$A:$B,2,TRUE)</f>
        <v>4.4699999999999997E-2</v>
      </c>
      <c r="G291" s="84">
        <f t="shared" si="124"/>
        <v>413.13262237448424</v>
      </c>
      <c r="H291" s="84">
        <v>0</v>
      </c>
      <c r="I291" s="109">
        <f t="shared" ref="I291:I302" si="131">SUM($H$281:$H$303)/20</f>
        <v>1.5482945865874638</v>
      </c>
      <c r="J291" s="85">
        <f>G291*F291*(E291/(DATE(YEAR(D291),12,31)-DATE(YEAR(D291),1,1)+1))</f>
        <v>4.6041084055690122</v>
      </c>
      <c r="K291" s="129">
        <f t="shared" si="119"/>
        <v>6.1524029921564765</v>
      </c>
      <c r="L291" s="85">
        <f t="shared" si="130"/>
        <v>32.879423944619568</v>
      </c>
      <c r="M291" s="130">
        <f t="shared" si="120"/>
        <v>39.031826936776042</v>
      </c>
      <c r="N291" s="8">
        <f t="shared" si="121"/>
        <v>417.73673078005328</v>
      </c>
      <c r="O291" s="84">
        <f t="shared" si="122"/>
        <v>378.70490384327718</v>
      </c>
    </row>
    <row r="292" spans="1:15" x14ac:dyDescent="0.2">
      <c r="A292" s="96" t="s">
        <v>63</v>
      </c>
      <c r="B292" s="81" t="str">
        <f t="shared" si="127"/>
        <v>Q3/2018</v>
      </c>
      <c r="C292" s="82">
        <f t="shared" si="125"/>
        <v>43282</v>
      </c>
      <c r="D292" s="82">
        <f t="shared" si="126"/>
        <v>43373</v>
      </c>
      <c r="E292" s="81">
        <f t="shared" si="123"/>
        <v>92</v>
      </c>
      <c r="F292" s="83">
        <f>VLOOKUP(D292,'FERC Interest Rate'!$A:$B,2,TRUE)</f>
        <v>5.011111E-2</v>
      </c>
      <c r="G292" s="84">
        <f t="shared" si="124"/>
        <v>378.70490384327718</v>
      </c>
      <c r="H292" s="84">
        <v>0</v>
      </c>
      <c r="I292" s="109">
        <f t="shared" si="131"/>
        <v>1.5482945865874638</v>
      </c>
      <c r="J292" s="85">
        <f t="shared" si="128"/>
        <v>4.7833252730157518</v>
      </c>
      <c r="K292" s="129">
        <f t="shared" si="119"/>
        <v>6.3316198596032152</v>
      </c>
      <c r="L292" s="85">
        <f t="shared" si="130"/>
        <v>32.879423944619568</v>
      </c>
      <c r="M292" s="130">
        <f t="shared" si="120"/>
        <v>39.211043804222783</v>
      </c>
      <c r="N292" s="8">
        <f t="shared" si="121"/>
        <v>383.48822911629293</v>
      </c>
      <c r="O292" s="84">
        <f t="shared" si="122"/>
        <v>344.27718531207012</v>
      </c>
    </row>
    <row r="293" spans="1:15" x14ac:dyDescent="0.2">
      <c r="A293" s="96" t="s">
        <v>64</v>
      </c>
      <c r="B293" s="81" t="str">
        <f t="shared" si="127"/>
        <v>Q4/2018</v>
      </c>
      <c r="C293" s="82">
        <f t="shared" si="125"/>
        <v>43374</v>
      </c>
      <c r="D293" s="82">
        <f t="shared" si="126"/>
        <v>43465</v>
      </c>
      <c r="E293" s="81">
        <f t="shared" si="123"/>
        <v>92</v>
      </c>
      <c r="F293" s="83">
        <f>VLOOKUP(D293,'FERC Interest Rate'!$A:$B,2,TRUE)</f>
        <v>5.2822580000000001E-2</v>
      </c>
      <c r="G293" s="84">
        <f t="shared" si="124"/>
        <v>344.27718531207012</v>
      </c>
      <c r="H293" s="84">
        <v>0</v>
      </c>
      <c r="I293" s="109">
        <f t="shared" si="131"/>
        <v>1.5482945865874638</v>
      </c>
      <c r="J293" s="85">
        <f t="shared" si="128"/>
        <v>4.5837699808920327</v>
      </c>
      <c r="K293" s="129">
        <f t="shared" si="119"/>
        <v>6.132064567479496</v>
      </c>
      <c r="L293" s="85">
        <f t="shared" si="130"/>
        <v>32.879423944619568</v>
      </c>
      <c r="M293" s="130">
        <f t="shared" si="120"/>
        <v>39.011488512099064</v>
      </c>
      <c r="N293" s="8">
        <f t="shared" si="121"/>
        <v>348.86095529296216</v>
      </c>
      <c r="O293" s="84">
        <f t="shared" si="122"/>
        <v>309.84946678086305</v>
      </c>
    </row>
    <row r="294" spans="1:15" x14ac:dyDescent="0.2">
      <c r="A294" s="96" t="s">
        <v>65</v>
      </c>
      <c r="B294" s="81" t="str">
        <f t="shared" si="127"/>
        <v>Q1/2019</v>
      </c>
      <c r="C294" s="82">
        <f t="shared" si="125"/>
        <v>43466</v>
      </c>
      <c r="D294" s="82">
        <f t="shared" si="126"/>
        <v>43555</v>
      </c>
      <c r="E294" s="81">
        <f t="shared" si="123"/>
        <v>90</v>
      </c>
      <c r="F294" s="83">
        <f>VLOOKUP(D294,'FERC Interest Rate'!$A:$B,2,TRUE)</f>
        <v>5.5296770000000002E-2</v>
      </c>
      <c r="G294" s="84">
        <f t="shared" si="124"/>
        <v>309.84946678086305</v>
      </c>
      <c r="H294" s="84">
        <v>0</v>
      </c>
      <c r="I294" s="109">
        <f t="shared" si="131"/>
        <v>1.5482945865874638</v>
      </c>
      <c r="J294" s="85">
        <f t="shared" si="128"/>
        <v>4.224741706653047</v>
      </c>
      <c r="K294" s="129">
        <f t="shared" si="119"/>
        <v>5.7730362932405104</v>
      </c>
      <c r="L294" s="85">
        <f t="shared" si="130"/>
        <v>32.879423944619568</v>
      </c>
      <c r="M294" s="130">
        <f t="shared" si="120"/>
        <v>38.652460237860076</v>
      </c>
      <c r="N294" s="8">
        <f t="shared" si="121"/>
        <v>314.0742084875161</v>
      </c>
      <c r="O294" s="84">
        <f t="shared" si="122"/>
        <v>275.42174824965599</v>
      </c>
    </row>
    <row r="295" spans="1:15" x14ac:dyDescent="0.2">
      <c r="A295" s="96" t="s">
        <v>66</v>
      </c>
      <c r="B295" s="81" t="str">
        <f t="shared" si="127"/>
        <v>Q2/2019</v>
      </c>
      <c r="C295" s="82">
        <f t="shared" si="125"/>
        <v>43556</v>
      </c>
      <c r="D295" s="82">
        <f t="shared" si="126"/>
        <v>43646</v>
      </c>
      <c r="E295" s="81">
        <f t="shared" si="123"/>
        <v>91</v>
      </c>
      <c r="F295" s="83">
        <f>VLOOKUP(D295,'FERC Interest Rate'!$A:$B,2,TRUE)</f>
        <v>5.7999999999999996E-2</v>
      </c>
      <c r="G295" s="84">
        <f t="shared" si="124"/>
        <v>275.42174824965599</v>
      </c>
      <c r="H295" s="84">
        <v>0</v>
      </c>
      <c r="I295" s="109">
        <f t="shared" si="131"/>
        <v>1.5482945865874638</v>
      </c>
      <c r="J295" s="85">
        <f t="shared" si="128"/>
        <v>3.9826739377032445</v>
      </c>
      <c r="K295" s="129">
        <f t="shared" si="119"/>
        <v>5.5309685242907083</v>
      </c>
      <c r="L295" s="85">
        <f t="shared" si="130"/>
        <v>32.879423944619568</v>
      </c>
      <c r="M295" s="130">
        <f t="shared" si="120"/>
        <v>38.410392468910274</v>
      </c>
      <c r="N295" s="8">
        <f t="shared" si="121"/>
        <v>279.40442218735922</v>
      </c>
      <c r="O295" s="84">
        <f t="shared" si="122"/>
        <v>240.99402971844896</v>
      </c>
    </row>
    <row r="296" spans="1:15" x14ac:dyDescent="0.2">
      <c r="A296" s="96" t="s">
        <v>67</v>
      </c>
      <c r="B296" s="81" t="str">
        <f t="shared" si="127"/>
        <v>Q3/2019</v>
      </c>
      <c r="C296" s="82">
        <f t="shared" si="125"/>
        <v>43647</v>
      </c>
      <c r="D296" s="82">
        <f t="shared" si="126"/>
        <v>43738</v>
      </c>
      <c r="E296" s="81">
        <f t="shared" si="123"/>
        <v>92</v>
      </c>
      <c r="F296" s="83">
        <f>VLOOKUP(D296,'FERC Interest Rate'!$A:$B,2,TRUE)</f>
        <v>0.06</v>
      </c>
      <c r="G296" s="84">
        <f t="shared" si="124"/>
        <v>240.99402971844896</v>
      </c>
      <c r="H296" s="84">
        <v>0</v>
      </c>
      <c r="I296" s="109">
        <f t="shared" si="131"/>
        <v>1.5482945865874638</v>
      </c>
      <c r="J296" s="85">
        <f t="shared" si="128"/>
        <v>3.6446220384817489</v>
      </c>
      <c r="K296" s="129">
        <f t="shared" si="119"/>
        <v>5.1929166250692127</v>
      </c>
      <c r="L296" s="85">
        <f t="shared" si="130"/>
        <v>32.879423944619568</v>
      </c>
      <c r="M296" s="130">
        <f t="shared" si="120"/>
        <v>38.072340569688777</v>
      </c>
      <c r="N296" s="8">
        <f t="shared" si="121"/>
        <v>244.6386517569307</v>
      </c>
      <c r="O296" s="84">
        <f t="shared" si="122"/>
        <v>206.56631118724192</v>
      </c>
    </row>
    <row r="297" spans="1:15" x14ac:dyDescent="0.2">
      <c r="A297" s="96" t="s">
        <v>68</v>
      </c>
      <c r="B297" s="81" t="str">
        <f t="shared" si="127"/>
        <v>Q4/2019</v>
      </c>
      <c r="C297" s="82">
        <f t="shared" si="125"/>
        <v>43739</v>
      </c>
      <c r="D297" s="82">
        <f t="shared" si="126"/>
        <v>43830</v>
      </c>
      <c r="E297" s="81">
        <f t="shared" si="123"/>
        <v>92</v>
      </c>
      <c r="F297" s="83">
        <f>VLOOKUP(D297,'FERC Interest Rate'!$A:$B,2,TRUE)</f>
        <v>6.0349460000000001E-2</v>
      </c>
      <c r="G297" s="84">
        <f t="shared" si="124"/>
        <v>206.56631118724192</v>
      </c>
      <c r="H297" s="84">
        <v>0</v>
      </c>
      <c r="I297" s="109">
        <f t="shared" si="131"/>
        <v>1.5482945865874638</v>
      </c>
      <c r="J297" s="85">
        <f t="shared" si="128"/>
        <v>3.1421567418067529</v>
      </c>
      <c r="K297" s="129">
        <f t="shared" si="119"/>
        <v>4.6904513283942162</v>
      </c>
      <c r="L297" s="85">
        <f t="shared" si="130"/>
        <v>32.879423944619568</v>
      </c>
      <c r="M297" s="130">
        <f t="shared" si="120"/>
        <v>37.569875273013785</v>
      </c>
      <c r="N297" s="8">
        <f t="shared" si="121"/>
        <v>209.70846792904868</v>
      </c>
      <c r="O297" s="84">
        <f t="shared" si="122"/>
        <v>172.13859265603489</v>
      </c>
    </row>
    <row r="298" spans="1:15" x14ac:dyDescent="0.2">
      <c r="A298" s="96" t="s">
        <v>69</v>
      </c>
      <c r="B298" s="81" t="str">
        <f t="shared" si="127"/>
        <v>Q1/2020</v>
      </c>
      <c r="C298" s="82">
        <f t="shared" si="125"/>
        <v>43831</v>
      </c>
      <c r="D298" s="82">
        <f t="shared" si="126"/>
        <v>43921</v>
      </c>
      <c r="E298" s="81">
        <f t="shared" si="123"/>
        <v>91</v>
      </c>
      <c r="F298" s="83">
        <f>VLOOKUP(D298,'FERC Interest Rate'!$A:$B,2,TRUE)</f>
        <v>6.2501040000000008E-2</v>
      </c>
      <c r="G298" s="84">
        <f t="shared" si="124"/>
        <v>172.13859265603489</v>
      </c>
      <c r="H298" s="84">
        <v>0</v>
      </c>
      <c r="I298" s="109">
        <f t="shared" si="131"/>
        <v>1.5482945865874638</v>
      </c>
      <c r="J298" s="85">
        <f t="shared" si="128"/>
        <v>2.6750123959770695</v>
      </c>
      <c r="K298" s="129">
        <f t="shared" si="119"/>
        <v>4.2233069825645337</v>
      </c>
      <c r="L298" s="85">
        <f t="shared" si="130"/>
        <v>32.879423944619568</v>
      </c>
      <c r="M298" s="130">
        <f t="shared" si="120"/>
        <v>37.102730927184098</v>
      </c>
      <c r="N298" s="8">
        <f t="shared" si="121"/>
        <v>174.81360505201195</v>
      </c>
      <c r="O298" s="84">
        <f t="shared" si="122"/>
        <v>137.71087412482785</v>
      </c>
    </row>
    <row r="299" spans="1:15" x14ac:dyDescent="0.2">
      <c r="A299" s="96" t="s">
        <v>70</v>
      </c>
      <c r="B299" s="81" t="str">
        <f t="shared" si="127"/>
        <v>Q2/2020</v>
      </c>
      <c r="C299" s="82">
        <f t="shared" si="125"/>
        <v>43922</v>
      </c>
      <c r="D299" s="82">
        <f t="shared" si="126"/>
        <v>44012</v>
      </c>
      <c r="E299" s="81">
        <f t="shared" si="123"/>
        <v>91</v>
      </c>
      <c r="F299" s="83">
        <f>VLOOKUP(D299,'FERC Interest Rate'!$A:$B,2,TRUE)</f>
        <v>6.3055559999999997E-2</v>
      </c>
      <c r="G299" s="84">
        <f t="shared" si="124"/>
        <v>137.71087412482785</v>
      </c>
      <c r="H299" s="84">
        <v>0</v>
      </c>
      <c r="I299" s="109">
        <f t="shared" si="131"/>
        <v>1.5482945865874638</v>
      </c>
      <c r="J299" s="85">
        <f t="shared" si="128"/>
        <v>2.1589964536305413</v>
      </c>
      <c r="K299" s="129">
        <f t="shared" si="119"/>
        <v>3.707291040218005</v>
      </c>
      <c r="L299" s="85">
        <f t="shared" si="130"/>
        <v>32.879423944619568</v>
      </c>
      <c r="M299" s="130">
        <f t="shared" si="120"/>
        <v>36.58671498483757</v>
      </c>
      <c r="N299" s="8">
        <f t="shared" si="121"/>
        <v>139.8698705784584</v>
      </c>
      <c r="O299" s="84">
        <f t="shared" si="122"/>
        <v>103.28315559362083</v>
      </c>
    </row>
    <row r="300" spans="1:15" x14ac:dyDescent="0.2">
      <c r="A300" s="96" t="s">
        <v>71</v>
      </c>
      <c r="B300" s="81" t="str">
        <f>+IF(MONTH(C300)&lt;4,"Q1",IF(MONTH(C300)&lt;7,"Q2",IF(MONTH(C300)&lt;10,"Q3","Q4")))&amp;"/"&amp;YEAR(C300)</f>
        <v>Q3/2020</v>
      </c>
      <c r="C300" s="82">
        <f t="shared" si="125"/>
        <v>44013</v>
      </c>
      <c r="D300" s="82">
        <f t="shared" si="126"/>
        <v>44104</v>
      </c>
      <c r="E300" s="81">
        <f t="shared" si="123"/>
        <v>92</v>
      </c>
      <c r="F300" s="83">
        <f>VLOOKUP(D300,'FERC Interest Rate'!$A:$B,2,TRUE)</f>
        <v>6.5000000000000002E-2</v>
      </c>
      <c r="G300" s="84">
        <f t="shared" si="124"/>
        <v>103.28315559362083</v>
      </c>
      <c r="H300" s="84">
        <v>0</v>
      </c>
      <c r="I300" s="109">
        <f t="shared" si="131"/>
        <v>1.5482945865874638</v>
      </c>
      <c r="J300" s="85">
        <f t="shared" si="128"/>
        <v>1.6875225968575207</v>
      </c>
      <c r="K300" s="129">
        <f t="shared" si="119"/>
        <v>3.2358171834449845</v>
      </c>
      <c r="L300" s="85">
        <f t="shared" si="130"/>
        <v>32.879423944619568</v>
      </c>
      <c r="M300" s="130">
        <f t="shared" si="120"/>
        <v>36.115241128064554</v>
      </c>
      <c r="N300" s="8">
        <f t="shared" si="121"/>
        <v>104.97067819047835</v>
      </c>
      <c r="O300" s="84">
        <f t="shared" si="122"/>
        <v>68.855437062413799</v>
      </c>
    </row>
    <row r="301" spans="1:15" x14ac:dyDescent="0.2">
      <c r="A301" s="96" t="s">
        <v>72</v>
      </c>
      <c r="B301" s="81" t="str">
        <f>+IF(MONTH(C301)&lt;4,"Q1",IF(MONTH(C301)&lt;7,"Q2",IF(MONTH(C301)&lt;10,"Q3","Q4")))&amp;"/"&amp;YEAR(C301)</f>
        <v>Q4/2020</v>
      </c>
      <c r="C301" s="82">
        <f t="shared" si="125"/>
        <v>44105</v>
      </c>
      <c r="D301" s="82">
        <f t="shared" si="126"/>
        <v>44196</v>
      </c>
      <c r="E301" s="81">
        <f t="shared" si="123"/>
        <v>92</v>
      </c>
      <c r="F301" s="83">
        <f>VLOOKUP(D301,'FERC Interest Rate'!$A:$B,2,TRUE)</f>
        <v>6.5000000000000002E-2</v>
      </c>
      <c r="G301" s="84">
        <f t="shared" si="124"/>
        <v>68.855437062413799</v>
      </c>
      <c r="H301" s="84">
        <v>0</v>
      </c>
      <c r="I301" s="109">
        <f t="shared" si="131"/>
        <v>1.5482945865874638</v>
      </c>
      <c r="J301" s="85">
        <f t="shared" si="128"/>
        <v>1.125015064571679</v>
      </c>
      <c r="K301" s="129">
        <f t="shared" si="119"/>
        <v>2.6733096511591428</v>
      </c>
      <c r="L301" s="85">
        <f t="shared" si="130"/>
        <v>32.879423944619568</v>
      </c>
      <c r="M301" s="130">
        <f t="shared" si="120"/>
        <v>35.552733595778712</v>
      </c>
      <c r="N301" s="8">
        <f t="shared" si="121"/>
        <v>69.980452126985483</v>
      </c>
      <c r="O301" s="84">
        <f t="shared" si="122"/>
        <v>34.427718531206764</v>
      </c>
    </row>
    <row r="302" spans="1:15" x14ac:dyDescent="0.2">
      <c r="A302" s="96" t="s">
        <v>73</v>
      </c>
      <c r="B302" s="81" t="str">
        <f>+IF(MONTH(C302)&lt;4,"Q1",IF(MONTH(C302)&lt;7,"Q2",IF(MONTH(C302)&lt;10,"Q3","Q4")))&amp;"/"&amp;YEAR(C302)</f>
        <v>Q1/2021</v>
      </c>
      <c r="C302" s="82">
        <f t="shared" si="125"/>
        <v>44197</v>
      </c>
      <c r="D302" s="82">
        <f t="shared" si="126"/>
        <v>44286</v>
      </c>
      <c r="E302" s="81">
        <f t="shared" si="123"/>
        <v>90</v>
      </c>
      <c r="F302" s="83">
        <f>VLOOKUP(D302,'FERC Interest Rate'!$A:$B,2,TRUE)</f>
        <v>6.5000000000000002E-2</v>
      </c>
      <c r="G302" s="84">
        <f t="shared" si="124"/>
        <v>34.427718531206764</v>
      </c>
      <c r="H302" s="84">
        <v>0</v>
      </c>
      <c r="I302" s="109">
        <f t="shared" si="131"/>
        <v>1.5482945865874638</v>
      </c>
      <c r="J302" s="85">
        <f t="shared" si="128"/>
        <v>0.55178672166454679</v>
      </c>
      <c r="K302" s="129">
        <f t="shared" si="119"/>
        <v>2.1000813082520104</v>
      </c>
      <c r="L302" s="85">
        <f t="shared" si="130"/>
        <v>32.879423944619568</v>
      </c>
      <c r="M302" s="130">
        <f t="shared" si="120"/>
        <v>34.979505252871576</v>
      </c>
      <c r="N302" s="8">
        <f t="shared" si="121"/>
        <v>34.979505252871313</v>
      </c>
      <c r="O302" s="84">
        <f t="shared" si="122"/>
        <v>-2.6689761511988763E-13</v>
      </c>
    </row>
    <row r="303" spans="1:15" x14ac:dyDescent="0.2">
      <c r="A303" s="96"/>
      <c r="B303" s="81"/>
      <c r="C303" s="82"/>
      <c r="D303" s="82"/>
      <c r="E303" s="81"/>
      <c r="F303" s="83"/>
      <c r="G303" s="84"/>
      <c r="H303" s="84"/>
      <c r="I303" s="109"/>
      <c r="J303" s="85"/>
      <c r="K303" s="129"/>
      <c r="L303" s="85"/>
      <c r="M303" s="130"/>
      <c r="N303" s="8"/>
      <c r="O303" s="84"/>
    </row>
    <row r="304" spans="1:15" ht="13.5" thickBot="1" x14ac:dyDescent="0.25">
      <c r="A304" s="151"/>
      <c r="B304" s="152"/>
      <c r="C304" s="153"/>
      <c r="D304" s="153"/>
      <c r="E304" s="154"/>
      <c r="F304" s="152"/>
      <c r="G304" s="140">
        <f t="shared" ref="G304:O304" si="132">+SUM(G281:G303)</f>
        <v>8694.7791722653619</v>
      </c>
      <c r="H304" s="140">
        <f t="shared" si="132"/>
        <v>30.965891731749274</v>
      </c>
      <c r="I304" s="141">
        <f t="shared" si="132"/>
        <v>30.96589173174927</v>
      </c>
      <c r="J304" s="140">
        <f t="shared" si="132"/>
        <v>63.109625207199635</v>
      </c>
      <c r="K304" s="140">
        <f t="shared" si="132"/>
        <v>94.075516938948908</v>
      </c>
      <c r="L304" s="140">
        <f t="shared" si="132"/>
        <v>657.58847889239155</v>
      </c>
      <c r="M304" s="142">
        <f t="shared" si="132"/>
        <v>751.66399583134012</v>
      </c>
      <c r="N304" s="140">
        <f t="shared" si="132"/>
        <v>8788.8546892043123</v>
      </c>
      <c r="O304" s="140">
        <f t="shared" si="132"/>
        <v>8037.1906933729706</v>
      </c>
    </row>
    <row r="305" spans="9:13" ht="14.25" thickTop="1" thickBot="1" x14ac:dyDescent="0.25">
      <c r="I305" s="121"/>
      <c r="J305" s="122"/>
      <c r="K305" s="122"/>
      <c r="L305" s="122"/>
      <c r="M305" s="123"/>
    </row>
  </sheetData>
  <mergeCells count="10">
    <mergeCell ref="A23:B23"/>
    <mergeCell ref="A46:F46"/>
    <mergeCell ref="A254:B254"/>
    <mergeCell ref="A281:B281"/>
    <mergeCell ref="A73:B73"/>
    <mergeCell ref="A105:B105"/>
    <mergeCell ref="A136:B136"/>
    <mergeCell ref="A167:B167"/>
    <mergeCell ref="A197:B197"/>
    <mergeCell ref="A226:B226"/>
  </mergeCells>
  <pageMargins left="0.7" right="0.7" top="0.75" bottom="0.75" header="0.3" footer="0.3"/>
  <pageSetup scale="55" fitToHeight="0" orientation="landscape" r:id="rId1"/>
  <headerFooter alignWithMargins="0">
    <oddHeader>&amp;RTO2019 Annual Update
Attachment 4
WP Schedule 22
Page &amp;P of &amp;N</oddHeader>
    <oddFooter>&amp;R&amp;A</oddFooter>
  </headerFooter>
  <rowBreaks count="5" manualBreakCount="5">
    <brk id="44" max="14" man="1"/>
    <brk id="102" max="14" man="1"/>
    <brk id="164" max="14" man="1"/>
    <brk id="223" max="14" man="1"/>
    <brk id="279" max="14"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04"/>
  <sheetViews>
    <sheetView zoomScale="80" zoomScaleNormal="80" workbookViewId="0"/>
  </sheetViews>
  <sheetFormatPr defaultColWidth="9.140625" defaultRowHeight="12.75" x14ac:dyDescent="0.2"/>
  <cols>
    <col min="1" max="1" width="10.28515625" style="6" customWidth="1"/>
    <col min="2" max="2" width="13.5703125" style="6" customWidth="1"/>
    <col min="3" max="3" width="14.7109375" style="6" customWidth="1"/>
    <col min="4" max="4" width="13.5703125" style="6" customWidth="1"/>
    <col min="5" max="5" width="12.42578125" style="6" customWidth="1"/>
    <col min="6" max="6" width="15.140625" style="6" bestFit="1" customWidth="1"/>
    <col min="7" max="9" width="16.140625" style="6" customWidth="1"/>
    <col min="10" max="10" width="17.28515625" style="6" bestFit="1" customWidth="1"/>
    <col min="11" max="15" width="16.140625" style="6" customWidth="1"/>
    <col min="16" max="16" width="1.42578125" style="6" customWidth="1"/>
    <col min="17" max="18" width="9.140625" style="6"/>
    <col min="19" max="22" width="12.5703125" style="6" customWidth="1"/>
    <col min="23" max="16384" width="9.140625" style="6"/>
  </cols>
  <sheetData>
    <row r="1" spans="1:12" ht="38.25" x14ac:dyDescent="0.2">
      <c r="A1" s="101" t="s">
        <v>8</v>
      </c>
      <c r="B1" s="102" t="s">
        <v>88</v>
      </c>
      <c r="C1" s="101" t="s">
        <v>2</v>
      </c>
      <c r="D1" s="101" t="s">
        <v>1</v>
      </c>
      <c r="E1" s="102" t="s">
        <v>74</v>
      </c>
      <c r="F1" s="102" t="s">
        <v>48</v>
      </c>
    </row>
    <row r="2" spans="1:12" ht="12.75" customHeight="1" x14ac:dyDescent="0.2">
      <c r="A2" s="96" t="s">
        <v>54</v>
      </c>
      <c r="B2" s="3">
        <v>41831</v>
      </c>
      <c r="C2" s="4">
        <v>38561</v>
      </c>
      <c r="D2" s="4">
        <v>0</v>
      </c>
      <c r="E2" s="55">
        <v>820.99610606341548</v>
      </c>
      <c r="F2" s="7">
        <f>SUM(C2:E2)</f>
        <v>39381.996106063416</v>
      </c>
    </row>
    <row r="3" spans="1:12" ht="12.75" customHeight="1" x14ac:dyDescent="0.2">
      <c r="A3" s="96" t="s">
        <v>55</v>
      </c>
      <c r="B3" s="3">
        <v>41831</v>
      </c>
      <c r="C3" s="4">
        <v>78491</v>
      </c>
      <c r="D3" s="4">
        <v>0</v>
      </c>
      <c r="E3" s="55">
        <v>1709.5604178255765</v>
      </c>
      <c r="F3" s="7">
        <f t="shared" ref="F3:F15" si="0">SUM(C3:E3)</f>
        <v>80200.560417825574</v>
      </c>
    </row>
    <row r="4" spans="1:12" x14ac:dyDescent="0.2">
      <c r="A4" s="96" t="s">
        <v>56</v>
      </c>
      <c r="B4" s="3">
        <v>41873</v>
      </c>
      <c r="C4" s="4">
        <v>137548</v>
      </c>
      <c r="D4" s="4">
        <v>0</v>
      </c>
      <c r="E4" s="55">
        <v>3018.2349959824464</v>
      </c>
      <c r="F4" s="7">
        <f t="shared" si="0"/>
        <v>140566.23499598244</v>
      </c>
    </row>
    <row r="5" spans="1:12" x14ac:dyDescent="0.2">
      <c r="A5" s="96" t="s">
        <v>57</v>
      </c>
      <c r="B5" s="3">
        <v>41978</v>
      </c>
      <c r="C5" s="4">
        <v>190908</v>
      </c>
      <c r="D5" s="4">
        <v>0</v>
      </c>
      <c r="E5" s="55">
        <v>4130.7073366709928</v>
      </c>
      <c r="F5" s="7">
        <f t="shared" si="0"/>
        <v>195038.70733667098</v>
      </c>
    </row>
    <row r="6" spans="1:12" ht="12.75" customHeight="1" x14ac:dyDescent="0.2">
      <c r="A6" s="96" t="s">
        <v>58</v>
      </c>
      <c r="B6" s="3">
        <v>42058</v>
      </c>
      <c r="C6" s="4">
        <v>191013</v>
      </c>
      <c r="D6" s="4">
        <v>0</v>
      </c>
      <c r="E6" s="55">
        <v>3923.479325050992</v>
      </c>
      <c r="F6" s="7">
        <f t="shared" si="0"/>
        <v>194936.47932505098</v>
      </c>
    </row>
    <row r="7" spans="1:12" x14ac:dyDescent="0.2">
      <c r="A7" s="96" t="s">
        <v>59</v>
      </c>
      <c r="B7" s="3">
        <v>42143</v>
      </c>
      <c r="C7" s="4">
        <v>145282</v>
      </c>
      <c r="D7" s="4">
        <v>0</v>
      </c>
      <c r="E7" s="55">
        <v>2637.7044316706842</v>
      </c>
      <c r="F7" s="7">
        <f t="shared" si="0"/>
        <v>147919.70443167069</v>
      </c>
    </row>
    <row r="8" spans="1:12" x14ac:dyDescent="0.2">
      <c r="A8" s="96" t="s">
        <v>60</v>
      </c>
      <c r="B8" s="3">
        <v>42242</v>
      </c>
      <c r="C8" s="4">
        <v>97056</v>
      </c>
      <c r="D8" s="4">
        <v>0</v>
      </c>
      <c r="E8" s="55">
        <v>1397.7289078435008</v>
      </c>
      <c r="F8" s="7">
        <f t="shared" si="0"/>
        <v>98453.728907843499</v>
      </c>
    </row>
    <row r="9" spans="1:12" x14ac:dyDescent="0.2">
      <c r="A9" s="96" t="s">
        <v>61</v>
      </c>
      <c r="B9" s="3">
        <v>42333</v>
      </c>
      <c r="C9" s="4">
        <v>64128</v>
      </c>
      <c r="D9" s="4">
        <v>0</v>
      </c>
      <c r="E9" s="55">
        <v>657.58847889239132</v>
      </c>
      <c r="F9" s="7">
        <f t="shared" si="0"/>
        <v>64785.588478892394</v>
      </c>
    </row>
    <row r="10" spans="1:12" x14ac:dyDescent="0.2">
      <c r="A10" s="96" t="s">
        <v>62</v>
      </c>
      <c r="B10" s="3">
        <v>42430</v>
      </c>
      <c r="C10" s="4">
        <v>29664</v>
      </c>
      <c r="D10" s="4">
        <v>0</v>
      </c>
      <c r="E10" s="4">
        <v>0</v>
      </c>
      <c r="F10" s="7">
        <f t="shared" si="0"/>
        <v>29664</v>
      </c>
    </row>
    <row r="11" spans="1:12" x14ac:dyDescent="0.2">
      <c r="A11" s="96" t="s">
        <v>63</v>
      </c>
      <c r="B11" s="3">
        <v>42569</v>
      </c>
      <c r="C11" s="4">
        <v>20944</v>
      </c>
      <c r="D11" s="4">
        <v>0</v>
      </c>
      <c r="E11" s="4">
        <v>0</v>
      </c>
      <c r="F11" s="7">
        <f t="shared" si="0"/>
        <v>20944</v>
      </c>
    </row>
    <row r="12" spans="1:12" x14ac:dyDescent="0.2">
      <c r="A12" s="96" t="s">
        <v>64</v>
      </c>
      <c r="B12" s="3">
        <v>42664</v>
      </c>
      <c r="C12" s="4">
        <v>13570</v>
      </c>
      <c r="D12" s="4">
        <v>0</v>
      </c>
      <c r="E12" s="4">
        <v>0</v>
      </c>
      <c r="F12" s="7">
        <f t="shared" si="0"/>
        <v>13570</v>
      </c>
    </row>
    <row r="13" spans="1:12" x14ac:dyDescent="0.2">
      <c r="A13" s="96" t="s">
        <v>65</v>
      </c>
      <c r="B13" s="3">
        <v>42739</v>
      </c>
      <c r="C13" s="4">
        <v>8438</v>
      </c>
      <c r="D13" s="4">
        <v>0</v>
      </c>
      <c r="E13" s="4">
        <v>0</v>
      </c>
      <c r="F13" s="7">
        <f t="shared" si="0"/>
        <v>8438</v>
      </c>
    </row>
    <row r="14" spans="1:12" x14ac:dyDescent="0.2">
      <c r="A14" s="96" t="s">
        <v>66</v>
      </c>
      <c r="B14" s="3">
        <v>42856</v>
      </c>
      <c r="C14" s="4">
        <v>5037</v>
      </c>
      <c r="D14" s="4">
        <v>0</v>
      </c>
      <c r="E14" s="4">
        <v>0</v>
      </c>
      <c r="F14" s="7">
        <f t="shared" si="0"/>
        <v>5037</v>
      </c>
    </row>
    <row r="15" spans="1:12" ht="13.5" thickBot="1" x14ac:dyDescent="0.25">
      <c r="A15" s="96" t="s">
        <v>67</v>
      </c>
      <c r="B15" s="3">
        <v>42896</v>
      </c>
      <c r="C15" s="4">
        <v>1156</v>
      </c>
      <c r="D15" s="4">
        <v>0</v>
      </c>
      <c r="E15" s="4">
        <v>0</v>
      </c>
      <c r="F15" s="7">
        <f t="shared" si="0"/>
        <v>1156</v>
      </c>
    </row>
    <row r="16" spans="1:12" x14ac:dyDescent="0.2">
      <c r="B16" s="44" t="s">
        <v>0</v>
      </c>
      <c r="C16" s="124">
        <f>SUM(C2:C15)</f>
        <v>1021796</v>
      </c>
      <c r="D16" s="124">
        <f>SUM(D2:D15)</f>
        <v>0</v>
      </c>
      <c r="E16" s="124">
        <f>SUM(E2:E15)</f>
        <v>18296</v>
      </c>
      <c r="F16" s="124">
        <f>SUM(F2:F15)</f>
        <v>1040091.9999999999</v>
      </c>
      <c r="J16" s="159"/>
      <c r="K16" s="158" t="s">
        <v>14</v>
      </c>
      <c r="L16" s="250" t="s">
        <v>13</v>
      </c>
    </row>
    <row r="17" spans="1:15" x14ac:dyDescent="0.2">
      <c r="A17" s="17" t="s">
        <v>19</v>
      </c>
      <c r="B17" s="18" t="s">
        <v>22</v>
      </c>
      <c r="C17" s="8">
        <v>0</v>
      </c>
      <c r="D17" s="8">
        <v>0</v>
      </c>
      <c r="E17" s="8">
        <v>0</v>
      </c>
      <c r="F17" s="8">
        <f>SUM(C17:E17)</f>
        <v>0</v>
      </c>
      <c r="J17" s="156" t="s">
        <v>11</v>
      </c>
      <c r="K17" s="103">
        <v>42473</v>
      </c>
      <c r="L17" s="251">
        <f>K17</f>
        <v>42473</v>
      </c>
    </row>
    <row r="18" spans="1:15" ht="13.5" thickBot="1" x14ac:dyDescent="0.25">
      <c r="A18" s="17" t="s">
        <v>20</v>
      </c>
      <c r="B18" s="18" t="s">
        <v>22</v>
      </c>
      <c r="C18" s="8">
        <v>0</v>
      </c>
      <c r="D18" s="8">
        <v>0</v>
      </c>
      <c r="E18" s="8">
        <v>0</v>
      </c>
      <c r="F18" s="8">
        <f>SUM(C18:E18)</f>
        <v>0</v>
      </c>
      <c r="J18" s="157" t="s">
        <v>17</v>
      </c>
      <c r="K18" s="104">
        <v>42473</v>
      </c>
      <c r="L18" s="252">
        <v>42490</v>
      </c>
    </row>
    <row r="19" spans="1:15" ht="13.5" thickBot="1" x14ac:dyDescent="0.25">
      <c r="B19" s="44" t="s">
        <v>52</v>
      </c>
      <c r="C19" s="79">
        <f>+SUM(C16:C18)</f>
        <v>1021796</v>
      </c>
      <c r="D19" s="79">
        <f>+SUM(D16:D18)</f>
        <v>0</v>
      </c>
      <c r="E19" s="79">
        <f>+SUM(E16:E18)</f>
        <v>18296</v>
      </c>
      <c r="F19" s="79">
        <f>+SUM(F16:F18)</f>
        <v>1040091.9999999999</v>
      </c>
    </row>
    <row r="20" spans="1:15" ht="14.25" thickTop="1" thickBot="1" x14ac:dyDescent="0.25">
      <c r="B20" s="44"/>
      <c r="C20" s="13"/>
      <c r="D20" s="13"/>
      <c r="E20" s="13"/>
      <c r="F20" s="13"/>
    </row>
    <row r="21" spans="1:15" x14ac:dyDescent="0.2">
      <c r="B21" s="43"/>
      <c r="C21" s="5"/>
      <c r="D21" s="17"/>
      <c r="I21" s="143"/>
      <c r="J21" s="128"/>
      <c r="K21" s="128"/>
      <c r="L21" s="128"/>
      <c r="M21" s="108"/>
    </row>
    <row r="22" spans="1:15" ht="36.75" x14ac:dyDescent="0.2">
      <c r="A22" s="90" t="s">
        <v>53</v>
      </c>
      <c r="B22" s="90" t="s">
        <v>3</v>
      </c>
      <c r="C22" s="90" t="s">
        <v>4</v>
      </c>
      <c r="D22" s="90" t="s">
        <v>5</v>
      </c>
      <c r="E22" s="90" t="s">
        <v>6</v>
      </c>
      <c r="F22" s="90" t="s">
        <v>7</v>
      </c>
      <c r="G22" s="90" t="s">
        <v>80</v>
      </c>
      <c r="H22" s="90" t="s">
        <v>81</v>
      </c>
      <c r="I22" s="105" t="s">
        <v>82</v>
      </c>
      <c r="J22" s="106" t="s">
        <v>83</v>
      </c>
      <c r="K22" s="106" t="s">
        <v>84</v>
      </c>
      <c r="L22" s="106" t="s">
        <v>85</v>
      </c>
      <c r="M22" s="107" t="s">
        <v>75</v>
      </c>
      <c r="N22" s="90" t="s">
        <v>86</v>
      </c>
      <c r="O22" s="90" t="s">
        <v>87</v>
      </c>
    </row>
    <row r="23" spans="1:15" x14ac:dyDescent="0.2">
      <c r="A23" s="309" t="s">
        <v>10</v>
      </c>
      <c r="B23" s="309"/>
      <c r="C23" s="82">
        <f>$L$17</f>
        <v>42473</v>
      </c>
      <c r="D23" s="82">
        <f t="shared" ref="D23:D42" si="1">DATE(YEAR(C23),IF(MONTH(C23)&lt;=3,3,IF(MONTH(C23)&lt;=6,6,IF(MONTH(C23)&lt;=9,9,12))),IF(OR(MONTH(C23)&lt;=3,MONTH(C23)&gt;=10),31,30))</f>
        <v>42551</v>
      </c>
      <c r="E23" s="81">
        <f t="shared" ref="E23:E42" si="2">D23-C23+1</f>
        <v>79</v>
      </c>
      <c r="F23" s="83">
        <f>VLOOKUP(D23,'FERC Interest Rate'!$A:$B,2,TRUE)</f>
        <v>3.4599999999999999E-2</v>
      </c>
      <c r="G23" s="84">
        <f>+SUM(C2:C10)</f>
        <v>972651</v>
      </c>
      <c r="H23" s="84">
        <f>G23*F23*(E23/(DATE(YEAR(D23),12,31)-DATE(YEAR(D23),1,1)+1))</f>
        <v>7264.0553098360651</v>
      </c>
      <c r="I23" s="109">
        <v>0</v>
      </c>
      <c r="J23" s="85">
        <v>0</v>
      </c>
      <c r="K23" s="129">
        <f t="shared" ref="K23:K42" si="3">+SUM(I23:J23)</f>
        <v>0</v>
      </c>
      <c r="L23" s="85">
        <v>0</v>
      </c>
      <c r="M23" s="130">
        <f t="shared" ref="M23:M42" si="4">+SUM(K23:L23)</f>
        <v>0</v>
      </c>
      <c r="N23" s="8">
        <f t="shared" ref="N23:N42" si="5">+G23+H23+J23</f>
        <v>979915.05530983605</v>
      </c>
      <c r="O23" s="84">
        <f t="shared" ref="O23:O42" si="6">G23+H23-L23-I23</f>
        <v>979915.05530983605</v>
      </c>
    </row>
    <row r="24" spans="1:15" x14ac:dyDescent="0.2">
      <c r="A24" s="274" t="s">
        <v>111</v>
      </c>
      <c r="B24" s="81" t="str">
        <f t="shared" ref="B24:B42" si="7">+IF(MONTH(C24)&lt;4,"Q1",IF(MONTH(C24)&lt;7,"Q2",IF(MONTH(C24)&lt;10,"Q3","Q4")))&amp;"/"&amp;YEAR(C24)</f>
        <v>Q3/2016</v>
      </c>
      <c r="C24" s="82">
        <f>D23+1</f>
        <v>42552</v>
      </c>
      <c r="D24" s="82">
        <f t="shared" si="1"/>
        <v>42643</v>
      </c>
      <c r="E24" s="81">
        <f t="shared" si="2"/>
        <v>92</v>
      </c>
      <c r="F24" s="83">
        <f>VLOOKUP(D24,'FERC Interest Rate'!$A:$B,2,TRUE)</f>
        <v>3.5000000000000003E-2</v>
      </c>
      <c r="G24" s="84">
        <f>O23</f>
        <v>979915.05530983605</v>
      </c>
      <c r="H24" s="84">
        <f>G24*F24*(E24/(DATE(YEAR(D24),12,31)-DATE(YEAR(D24),1,1)+1))</f>
        <v>8621.1105958952812</v>
      </c>
      <c r="I24" s="109">
        <f>(SUM($H$23:$H$42)/20)*2</f>
        <v>1588.5165905731346</v>
      </c>
      <c r="J24" s="85">
        <f t="shared" ref="J24:J27" si="8">G24*F24*(E24/(DATE(YEAR(D24),12,31)-DATE(YEAR(D24),1,1)+1))</f>
        <v>8621.1105958952812</v>
      </c>
      <c r="K24" s="129">
        <f t="shared" si="3"/>
        <v>10209.627186468417</v>
      </c>
      <c r="L24" s="85">
        <f>(2*$G$23/20)</f>
        <v>97265.1</v>
      </c>
      <c r="M24" s="130">
        <f t="shared" si="4"/>
        <v>107474.72718646843</v>
      </c>
      <c r="N24" s="8">
        <f t="shared" si="5"/>
        <v>997157.27650162671</v>
      </c>
      <c r="O24" s="84">
        <f t="shared" si="6"/>
        <v>889682.54931515828</v>
      </c>
    </row>
    <row r="25" spans="1:15" x14ac:dyDescent="0.2">
      <c r="A25" s="17" t="s">
        <v>56</v>
      </c>
      <c r="B25" s="81" t="str">
        <f t="shared" si="7"/>
        <v>Q4/2016</v>
      </c>
      <c r="C25" s="82">
        <f t="shared" ref="C25:C42" si="9">D24+1</f>
        <v>42644</v>
      </c>
      <c r="D25" s="82">
        <f t="shared" si="1"/>
        <v>42735</v>
      </c>
      <c r="E25" s="81">
        <f t="shared" si="2"/>
        <v>92</v>
      </c>
      <c r="F25" s="83">
        <f>VLOOKUP(D25,'FERC Interest Rate'!$A:$B,2,TRUE)</f>
        <v>3.5000000000000003E-2</v>
      </c>
      <c r="G25" s="84">
        <f>O24+C11+C12</f>
        <v>924196.54931515828</v>
      </c>
      <c r="H25" s="84">
        <v>0</v>
      </c>
      <c r="I25" s="109">
        <f t="shared" ref="I25:I27" si="10">(SUM($H$23:$H$42)/20)</f>
        <v>794.25829528656732</v>
      </c>
      <c r="J25" s="85">
        <f t="shared" si="8"/>
        <v>8130.9095322262565</v>
      </c>
      <c r="K25" s="129">
        <f t="shared" si="3"/>
        <v>8925.1678275128234</v>
      </c>
      <c r="L25" s="85">
        <f>($G$23/20)+($C$11/18)+($C$12/18)</f>
        <v>50549.994444444448</v>
      </c>
      <c r="M25" s="130">
        <f t="shared" si="4"/>
        <v>59475.16227195727</v>
      </c>
      <c r="N25" s="8">
        <f t="shared" si="5"/>
        <v>932327.45884738455</v>
      </c>
      <c r="O25" s="84">
        <f t="shared" si="6"/>
        <v>872852.29657542729</v>
      </c>
    </row>
    <row r="26" spans="1:15" x14ac:dyDescent="0.2">
      <c r="A26" s="17" t="s">
        <v>57</v>
      </c>
      <c r="B26" s="81" t="str">
        <f t="shared" si="7"/>
        <v>Q1/2017</v>
      </c>
      <c r="C26" s="82">
        <f t="shared" si="9"/>
        <v>42736</v>
      </c>
      <c r="D26" s="82">
        <f t="shared" si="1"/>
        <v>42825</v>
      </c>
      <c r="E26" s="81">
        <f t="shared" si="2"/>
        <v>90</v>
      </c>
      <c r="F26" s="83">
        <f>VLOOKUP(D26,'FERC Interest Rate'!$A:$B,2,TRUE)</f>
        <v>3.5000000000000003E-2</v>
      </c>
      <c r="G26" s="84">
        <f>O25+C13</f>
        <v>881290.29657542729</v>
      </c>
      <c r="H26" s="84">
        <v>0</v>
      </c>
      <c r="I26" s="109">
        <f t="shared" si="10"/>
        <v>794.25829528656732</v>
      </c>
      <c r="J26" s="85">
        <f t="shared" si="8"/>
        <v>7605.6559841440985</v>
      </c>
      <c r="K26" s="129">
        <f t="shared" si="3"/>
        <v>8399.9142794306663</v>
      </c>
      <c r="L26" s="85">
        <f>($G$23/20)+($C$11/18)+($C$12/18)+($C$13/17)</f>
        <v>51046.347385620917</v>
      </c>
      <c r="M26" s="130">
        <f t="shared" si="4"/>
        <v>59446.261665051585</v>
      </c>
      <c r="N26" s="8">
        <f t="shared" si="5"/>
        <v>888895.95255957136</v>
      </c>
      <c r="O26" s="84">
        <f t="shared" si="6"/>
        <v>829449.69089451979</v>
      </c>
    </row>
    <row r="27" spans="1:15" x14ac:dyDescent="0.2">
      <c r="A27" s="17" t="s">
        <v>58</v>
      </c>
      <c r="B27" s="81" t="str">
        <f t="shared" si="7"/>
        <v>Q2/2017</v>
      </c>
      <c r="C27" s="82">
        <f t="shared" si="9"/>
        <v>42826</v>
      </c>
      <c r="D27" s="82">
        <f t="shared" si="1"/>
        <v>42916</v>
      </c>
      <c r="E27" s="81">
        <f t="shared" si="2"/>
        <v>91</v>
      </c>
      <c r="F27" s="83">
        <f>VLOOKUP(D27,'FERC Interest Rate'!$A:$B,2,TRUE)</f>
        <v>3.7100000000000001E-2</v>
      </c>
      <c r="G27" s="84">
        <f>O26+C14+C15</f>
        <v>835642.69089451979</v>
      </c>
      <c r="H27" s="84">
        <v>0</v>
      </c>
      <c r="I27" s="109">
        <f t="shared" si="10"/>
        <v>794.25829528656732</v>
      </c>
      <c r="J27" s="85">
        <f t="shared" si="8"/>
        <v>7729.351475969831</v>
      </c>
      <c r="K27" s="129">
        <f t="shared" si="3"/>
        <v>8523.6097712563987</v>
      </c>
      <c r="L27" s="85">
        <f>($G$23/20)+($C$11/18)+($C$12/18)+($C$13/17)+($C$14/16)</f>
        <v>51361.159885620917</v>
      </c>
      <c r="M27" s="130">
        <f t="shared" si="4"/>
        <v>59884.769656877317</v>
      </c>
      <c r="N27" s="8">
        <f t="shared" si="5"/>
        <v>843372.04237048968</v>
      </c>
      <c r="O27" s="84">
        <f t="shared" si="6"/>
        <v>783487.2727136123</v>
      </c>
    </row>
    <row r="28" spans="1:15" x14ac:dyDescent="0.2">
      <c r="A28" s="17" t="s">
        <v>59</v>
      </c>
      <c r="B28" s="81" t="str">
        <f t="shared" si="7"/>
        <v>Q3/2017</v>
      </c>
      <c r="C28" s="82">
        <f t="shared" si="9"/>
        <v>42917</v>
      </c>
      <c r="D28" s="82">
        <f t="shared" si="1"/>
        <v>43008</v>
      </c>
      <c r="E28" s="81">
        <f t="shared" si="2"/>
        <v>92</v>
      </c>
      <c r="F28" s="83">
        <f>VLOOKUP(D28,'FERC Interest Rate'!$A:$B,2,TRUE)</f>
        <v>3.9600000000000003E-2</v>
      </c>
      <c r="G28" s="84">
        <f t="shared" ref="G28:G42" si="11">O27</f>
        <v>783487.2727136123</v>
      </c>
      <c r="H28" s="84">
        <v>0</v>
      </c>
      <c r="I28" s="109">
        <f t="shared" ref="I28:I42" si="12">(SUM($H$23:$H$42)/20)</f>
        <v>794.25829528656732</v>
      </c>
      <c r="J28" s="85">
        <f t="shared" ref="J28:J42" si="13">G28*F28*(E28/(DATE(YEAR(D28),12,31)-DATE(YEAR(D28),1,1)+1))</f>
        <v>7820.2762519184453</v>
      </c>
      <c r="K28" s="129">
        <f t="shared" si="3"/>
        <v>8614.5345472050121</v>
      </c>
      <c r="L28" s="85">
        <f t="shared" ref="L28:L42" si="14">($G$23/20)+($C$11/18)+($C$12/18)+($C$13/17)+($C$14/16)+($C$15/15)</f>
        <v>51438.226552287582</v>
      </c>
      <c r="M28" s="130">
        <f t="shared" si="4"/>
        <v>60052.761099492593</v>
      </c>
      <c r="N28" s="8">
        <f t="shared" si="5"/>
        <v>791307.5489655307</v>
      </c>
      <c r="O28" s="84">
        <f t="shared" si="6"/>
        <v>731254.78786603815</v>
      </c>
    </row>
    <row r="29" spans="1:15" x14ac:dyDescent="0.2">
      <c r="A29" s="17" t="s">
        <v>60</v>
      </c>
      <c r="B29" s="81" t="str">
        <f t="shared" si="7"/>
        <v>Q4/2017</v>
      </c>
      <c r="C29" s="82">
        <f t="shared" si="9"/>
        <v>43009</v>
      </c>
      <c r="D29" s="82">
        <f t="shared" si="1"/>
        <v>43100</v>
      </c>
      <c r="E29" s="81">
        <f t="shared" si="2"/>
        <v>92</v>
      </c>
      <c r="F29" s="83">
        <f>VLOOKUP(D29,'FERC Interest Rate'!$A:$B,2,TRUE)</f>
        <v>4.2099999999999999E-2</v>
      </c>
      <c r="G29" s="84">
        <f t="shared" si="11"/>
        <v>731254.78786603815</v>
      </c>
      <c r="H29" s="84">
        <v>0</v>
      </c>
      <c r="I29" s="109">
        <f t="shared" si="12"/>
        <v>794.25829528656732</v>
      </c>
      <c r="J29" s="85">
        <f t="shared" si="13"/>
        <v>7759.7151900349018</v>
      </c>
      <c r="K29" s="129">
        <f t="shared" si="3"/>
        <v>8553.9734853214686</v>
      </c>
      <c r="L29" s="85">
        <f t="shared" si="14"/>
        <v>51438.226552287582</v>
      </c>
      <c r="M29" s="130">
        <f t="shared" si="4"/>
        <v>59992.200037609051</v>
      </c>
      <c r="N29" s="8">
        <f t="shared" si="5"/>
        <v>739014.5030560731</v>
      </c>
      <c r="O29" s="84">
        <f t="shared" si="6"/>
        <v>679022.30301846401</v>
      </c>
    </row>
    <row r="30" spans="1:15" x14ac:dyDescent="0.2">
      <c r="A30" s="17" t="s">
        <v>61</v>
      </c>
      <c r="B30" s="81" t="str">
        <f t="shared" si="7"/>
        <v>Q1/2018</v>
      </c>
      <c r="C30" s="82">
        <f t="shared" si="9"/>
        <v>43101</v>
      </c>
      <c r="D30" s="82">
        <f t="shared" si="1"/>
        <v>43190</v>
      </c>
      <c r="E30" s="81">
        <f t="shared" si="2"/>
        <v>90</v>
      </c>
      <c r="F30" s="83">
        <f>VLOOKUP(D30,'FERC Interest Rate'!$A:$B,2,TRUE)</f>
        <v>4.2500000000000003E-2</v>
      </c>
      <c r="G30" s="84">
        <f t="shared" si="11"/>
        <v>679022.30301846401</v>
      </c>
      <c r="H30" s="84">
        <v>0</v>
      </c>
      <c r="I30" s="109">
        <f t="shared" si="12"/>
        <v>794.25829528656732</v>
      </c>
      <c r="J30" s="85">
        <f t="shared" si="13"/>
        <v>7115.7816686181504</v>
      </c>
      <c r="K30" s="129">
        <f t="shared" si="3"/>
        <v>7910.0399639047173</v>
      </c>
      <c r="L30" s="85">
        <f t="shared" si="14"/>
        <v>51438.226552287582</v>
      </c>
      <c r="M30" s="130">
        <f t="shared" si="4"/>
        <v>59348.2665161923</v>
      </c>
      <c r="N30" s="8">
        <f t="shared" si="5"/>
        <v>686138.08468708221</v>
      </c>
      <c r="O30" s="84">
        <f t="shared" si="6"/>
        <v>626789.81817088986</v>
      </c>
    </row>
    <row r="31" spans="1:15" x14ac:dyDescent="0.2">
      <c r="A31" s="17" t="s">
        <v>62</v>
      </c>
      <c r="B31" s="81" t="str">
        <f t="shared" si="7"/>
        <v>Q2/2018</v>
      </c>
      <c r="C31" s="82">
        <f t="shared" si="9"/>
        <v>43191</v>
      </c>
      <c r="D31" s="82">
        <f t="shared" si="1"/>
        <v>43281</v>
      </c>
      <c r="E31" s="81">
        <f t="shared" si="2"/>
        <v>91</v>
      </c>
      <c r="F31" s="83">
        <f>VLOOKUP(D31,'FERC Interest Rate'!$A:$B,2,TRUE)</f>
        <v>4.4699999999999997E-2</v>
      </c>
      <c r="G31" s="84">
        <f t="shared" si="11"/>
        <v>626789.81817088986</v>
      </c>
      <c r="H31" s="84">
        <v>0</v>
      </c>
      <c r="I31" s="109">
        <f t="shared" si="12"/>
        <v>794.25829528656732</v>
      </c>
      <c r="J31" s="85">
        <f t="shared" si="13"/>
        <v>6985.1861462293937</v>
      </c>
      <c r="K31" s="129">
        <f t="shared" si="3"/>
        <v>7779.4444415159614</v>
      </c>
      <c r="L31" s="85">
        <f t="shared" si="14"/>
        <v>51438.226552287582</v>
      </c>
      <c r="M31" s="130">
        <f t="shared" si="4"/>
        <v>59217.670993803542</v>
      </c>
      <c r="N31" s="8">
        <f t="shared" si="5"/>
        <v>633775.00431711925</v>
      </c>
      <c r="O31" s="84">
        <f t="shared" si="6"/>
        <v>574557.33332331572</v>
      </c>
    </row>
    <row r="32" spans="1:15" x14ac:dyDescent="0.2">
      <c r="A32" s="17" t="s">
        <v>63</v>
      </c>
      <c r="B32" s="81" t="str">
        <f t="shared" si="7"/>
        <v>Q3/2018</v>
      </c>
      <c r="C32" s="82">
        <f t="shared" si="9"/>
        <v>43282</v>
      </c>
      <c r="D32" s="82">
        <f t="shared" si="1"/>
        <v>43373</v>
      </c>
      <c r="E32" s="81">
        <f t="shared" si="2"/>
        <v>92</v>
      </c>
      <c r="F32" s="83">
        <f>VLOOKUP(D32,'FERC Interest Rate'!$A:$B,2,TRUE)</f>
        <v>5.011111E-2</v>
      </c>
      <c r="G32" s="84">
        <f t="shared" si="11"/>
        <v>574557.33332331572</v>
      </c>
      <c r="H32" s="84">
        <v>0</v>
      </c>
      <c r="I32" s="109">
        <f t="shared" si="12"/>
        <v>794.25829528656732</v>
      </c>
      <c r="J32" s="85">
        <f t="shared" si="13"/>
        <v>7257.0874720420916</v>
      </c>
      <c r="K32" s="129">
        <f t="shared" si="3"/>
        <v>8051.3457673286593</v>
      </c>
      <c r="L32" s="85">
        <f t="shared" si="14"/>
        <v>51438.226552287582</v>
      </c>
      <c r="M32" s="130">
        <f t="shared" si="4"/>
        <v>59489.572319616243</v>
      </c>
      <c r="N32" s="8">
        <f t="shared" si="5"/>
        <v>581814.42079535779</v>
      </c>
      <c r="O32" s="84">
        <f t="shared" si="6"/>
        <v>522324.84847574157</v>
      </c>
    </row>
    <row r="33" spans="1:22" x14ac:dyDescent="0.2">
      <c r="A33" s="17" t="s">
        <v>64</v>
      </c>
      <c r="B33" s="81" t="str">
        <f t="shared" si="7"/>
        <v>Q4/2018</v>
      </c>
      <c r="C33" s="82">
        <f t="shared" si="9"/>
        <v>43374</v>
      </c>
      <c r="D33" s="82">
        <f t="shared" si="1"/>
        <v>43465</v>
      </c>
      <c r="E33" s="81">
        <f t="shared" si="2"/>
        <v>92</v>
      </c>
      <c r="F33" s="83">
        <f>VLOOKUP(D33,'FERC Interest Rate'!$A:$B,2,TRUE)</f>
        <v>5.2822580000000001E-2</v>
      </c>
      <c r="G33" s="84">
        <f t="shared" si="11"/>
        <v>522324.84847574157</v>
      </c>
      <c r="H33" s="84">
        <v>0</v>
      </c>
      <c r="I33" s="109">
        <f t="shared" si="12"/>
        <v>794.25829528656732</v>
      </c>
      <c r="J33" s="85">
        <f t="shared" si="13"/>
        <v>6954.3294265835402</v>
      </c>
      <c r="K33" s="129">
        <f t="shared" si="3"/>
        <v>7748.587721870108</v>
      </c>
      <c r="L33" s="85">
        <f t="shared" si="14"/>
        <v>51438.226552287582</v>
      </c>
      <c r="M33" s="130">
        <f t="shared" si="4"/>
        <v>59186.814274157688</v>
      </c>
      <c r="N33" s="8">
        <f t="shared" si="5"/>
        <v>529279.17790232506</v>
      </c>
      <c r="O33" s="84">
        <f t="shared" si="6"/>
        <v>470092.36362816743</v>
      </c>
    </row>
    <row r="34" spans="1:22" x14ac:dyDescent="0.2">
      <c r="A34" s="17" t="s">
        <v>65</v>
      </c>
      <c r="B34" s="81" t="str">
        <f t="shared" si="7"/>
        <v>Q1/2019</v>
      </c>
      <c r="C34" s="82">
        <f t="shared" si="9"/>
        <v>43466</v>
      </c>
      <c r="D34" s="82">
        <f t="shared" si="1"/>
        <v>43555</v>
      </c>
      <c r="E34" s="81">
        <f t="shared" si="2"/>
        <v>90</v>
      </c>
      <c r="F34" s="83">
        <f>VLOOKUP(D34,'FERC Interest Rate'!$A:$B,2,TRUE)</f>
        <v>5.5296770000000002E-2</v>
      </c>
      <c r="G34" s="84">
        <f t="shared" si="11"/>
        <v>470092.36362816743</v>
      </c>
      <c r="H34" s="84">
        <v>0</v>
      </c>
      <c r="I34" s="109">
        <f t="shared" si="12"/>
        <v>794.25829528656732</v>
      </c>
      <c r="J34" s="85">
        <f t="shared" si="13"/>
        <v>6409.6247614446102</v>
      </c>
      <c r="K34" s="129">
        <f t="shared" si="3"/>
        <v>7203.8830567311779</v>
      </c>
      <c r="L34" s="85">
        <f t="shared" si="14"/>
        <v>51438.226552287582</v>
      </c>
      <c r="M34" s="130">
        <f t="shared" si="4"/>
        <v>58642.109609018764</v>
      </c>
      <c r="N34" s="8">
        <f t="shared" si="5"/>
        <v>476501.98838961206</v>
      </c>
      <c r="O34" s="84">
        <f t="shared" si="6"/>
        <v>417859.87878059328</v>
      </c>
    </row>
    <row r="35" spans="1:22" x14ac:dyDescent="0.2">
      <c r="A35" s="17" t="s">
        <v>66</v>
      </c>
      <c r="B35" s="81" t="str">
        <f t="shared" si="7"/>
        <v>Q2/2019</v>
      </c>
      <c r="C35" s="82">
        <f t="shared" si="9"/>
        <v>43556</v>
      </c>
      <c r="D35" s="82">
        <f t="shared" si="1"/>
        <v>43646</v>
      </c>
      <c r="E35" s="81">
        <f t="shared" si="2"/>
        <v>91</v>
      </c>
      <c r="F35" s="83">
        <f>VLOOKUP(D35,'FERC Interest Rate'!$A:$B,2,TRUE)</f>
        <v>5.7999999999999996E-2</v>
      </c>
      <c r="G35" s="84">
        <f t="shared" si="11"/>
        <v>417859.87878059328</v>
      </c>
      <c r="H35" s="84">
        <v>0</v>
      </c>
      <c r="I35" s="109">
        <f t="shared" si="12"/>
        <v>794.25829528656732</v>
      </c>
      <c r="J35" s="85">
        <f t="shared" si="13"/>
        <v>6042.3683293259483</v>
      </c>
      <c r="K35" s="129">
        <f t="shared" si="3"/>
        <v>6836.626624612516</v>
      </c>
      <c r="L35" s="85">
        <f t="shared" si="14"/>
        <v>51438.226552287582</v>
      </c>
      <c r="M35" s="130">
        <f t="shared" si="4"/>
        <v>58274.853176900098</v>
      </c>
      <c r="N35" s="8">
        <f t="shared" si="5"/>
        <v>423902.2471099192</v>
      </c>
      <c r="O35" s="84">
        <f t="shared" si="6"/>
        <v>365627.39393301914</v>
      </c>
    </row>
    <row r="36" spans="1:22" x14ac:dyDescent="0.2">
      <c r="A36" s="17" t="s">
        <v>67</v>
      </c>
      <c r="B36" s="81" t="str">
        <f t="shared" si="7"/>
        <v>Q3/2019</v>
      </c>
      <c r="C36" s="82">
        <f t="shared" si="9"/>
        <v>43647</v>
      </c>
      <c r="D36" s="82">
        <f t="shared" si="1"/>
        <v>43738</v>
      </c>
      <c r="E36" s="81">
        <f t="shared" si="2"/>
        <v>92</v>
      </c>
      <c r="F36" s="83">
        <f>VLOOKUP(D36,'FERC Interest Rate'!$A:$B,2,TRUE)</f>
        <v>0.06</v>
      </c>
      <c r="G36" s="84">
        <f t="shared" si="11"/>
        <v>365627.39393301914</v>
      </c>
      <c r="H36" s="84">
        <v>0</v>
      </c>
      <c r="I36" s="109">
        <f t="shared" si="12"/>
        <v>794.25829528656732</v>
      </c>
      <c r="J36" s="85">
        <f t="shared" si="13"/>
        <v>5529.4882589322351</v>
      </c>
      <c r="K36" s="129">
        <f t="shared" si="3"/>
        <v>6323.746554218802</v>
      </c>
      <c r="L36" s="85">
        <f t="shared" si="14"/>
        <v>51438.226552287582</v>
      </c>
      <c r="M36" s="130">
        <f t="shared" si="4"/>
        <v>57761.973106506382</v>
      </c>
      <c r="N36" s="8">
        <f t="shared" si="5"/>
        <v>371156.88219195139</v>
      </c>
      <c r="O36" s="84">
        <f t="shared" si="6"/>
        <v>313394.90908544499</v>
      </c>
    </row>
    <row r="37" spans="1:22" x14ac:dyDescent="0.2">
      <c r="A37" s="17" t="s">
        <v>68</v>
      </c>
      <c r="B37" s="81" t="str">
        <f t="shared" si="7"/>
        <v>Q4/2019</v>
      </c>
      <c r="C37" s="82">
        <f t="shared" si="9"/>
        <v>43739</v>
      </c>
      <c r="D37" s="82">
        <f t="shared" si="1"/>
        <v>43830</v>
      </c>
      <c r="E37" s="81">
        <f t="shared" si="2"/>
        <v>92</v>
      </c>
      <c r="F37" s="83">
        <f>VLOOKUP(D37,'FERC Interest Rate'!$A:$B,2,TRUE)</f>
        <v>6.0349460000000001E-2</v>
      </c>
      <c r="G37" s="84">
        <f t="shared" si="11"/>
        <v>313394.90908544499</v>
      </c>
      <c r="H37" s="84">
        <v>0</v>
      </c>
      <c r="I37" s="109">
        <f t="shared" si="12"/>
        <v>794.25829528656732</v>
      </c>
      <c r="J37" s="85">
        <f t="shared" si="13"/>
        <v>4767.1661500414366</v>
      </c>
      <c r="K37" s="129">
        <f t="shared" si="3"/>
        <v>5561.4244453280044</v>
      </c>
      <c r="L37" s="85">
        <f t="shared" si="14"/>
        <v>51438.226552287582</v>
      </c>
      <c r="M37" s="130">
        <f t="shared" si="4"/>
        <v>56999.650997615587</v>
      </c>
      <c r="N37" s="8">
        <f t="shared" si="5"/>
        <v>318162.07523548644</v>
      </c>
      <c r="O37" s="84">
        <f t="shared" si="6"/>
        <v>261162.42423787084</v>
      </c>
    </row>
    <row r="38" spans="1:22" x14ac:dyDescent="0.2">
      <c r="A38" s="17" t="s">
        <v>69</v>
      </c>
      <c r="B38" s="81" t="str">
        <f t="shared" si="7"/>
        <v>Q1/2020</v>
      </c>
      <c r="C38" s="82">
        <f t="shared" si="9"/>
        <v>43831</v>
      </c>
      <c r="D38" s="82">
        <f t="shared" si="1"/>
        <v>43921</v>
      </c>
      <c r="E38" s="81">
        <f t="shared" si="2"/>
        <v>91</v>
      </c>
      <c r="F38" s="83">
        <f>VLOOKUP(D38,'FERC Interest Rate'!$A:$B,2,TRUE)</f>
        <v>6.2501040000000008E-2</v>
      </c>
      <c r="G38" s="84">
        <f t="shared" si="11"/>
        <v>261162.42423787084</v>
      </c>
      <c r="H38" s="84">
        <v>0</v>
      </c>
      <c r="I38" s="109">
        <f t="shared" si="12"/>
        <v>794.25829528656732</v>
      </c>
      <c r="J38" s="85">
        <f t="shared" si="13"/>
        <v>4058.4317056413129</v>
      </c>
      <c r="K38" s="129">
        <f t="shared" si="3"/>
        <v>4852.6900009278797</v>
      </c>
      <c r="L38" s="85">
        <f t="shared" si="14"/>
        <v>51438.226552287582</v>
      </c>
      <c r="M38" s="130">
        <f t="shared" si="4"/>
        <v>56290.916553215458</v>
      </c>
      <c r="N38" s="8">
        <f t="shared" si="5"/>
        <v>265220.85594351217</v>
      </c>
      <c r="O38" s="84">
        <f t="shared" si="6"/>
        <v>208929.9393902967</v>
      </c>
    </row>
    <row r="39" spans="1:22" x14ac:dyDescent="0.2">
      <c r="A39" s="17" t="s">
        <v>70</v>
      </c>
      <c r="B39" s="81" t="str">
        <f t="shared" si="7"/>
        <v>Q2/2020</v>
      </c>
      <c r="C39" s="82">
        <f t="shared" si="9"/>
        <v>43922</v>
      </c>
      <c r="D39" s="82">
        <f t="shared" si="1"/>
        <v>44012</v>
      </c>
      <c r="E39" s="81">
        <f t="shared" si="2"/>
        <v>91</v>
      </c>
      <c r="F39" s="83">
        <f>VLOOKUP(D39,'FERC Interest Rate'!$A:$B,2,TRUE)</f>
        <v>6.3055559999999997E-2</v>
      </c>
      <c r="G39" s="84">
        <f t="shared" si="11"/>
        <v>208929.9393902967</v>
      </c>
      <c r="H39" s="84">
        <v>0</v>
      </c>
      <c r="I39" s="109">
        <f t="shared" si="12"/>
        <v>794.25829528656732</v>
      </c>
      <c r="J39" s="85">
        <f t="shared" si="13"/>
        <v>3275.5510490189363</v>
      </c>
      <c r="K39" s="129">
        <f t="shared" si="3"/>
        <v>4069.8093443055036</v>
      </c>
      <c r="L39" s="85">
        <f t="shared" si="14"/>
        <v>51438.226552287582</v>
      </c>
      <c r="M39" s="130">
        <f t="shared" si="4"/>
        <v>55508.035896593086</v>
      </c>
      <c r="N39" s="8">
        <f t="shared" si="5"/>
        <v>212205.49043931565</v>
      </c>
      <c r="O39" s="84">
        <f t="shared" si="6"/>
        <v>156697.45454272255</v>
      </c>
    </row>
    <row r="40" spans="1:22" x14ac:dyDescent="0.2">
      <c r="A40" s="17" t="s">
        <v>71</v>
      </c>
      <c r="B40" s="81" t="str">
        <f t="shared" si="7"/>
        <v>Q3/2020</v>
      </c>
      <c r="C40" s="82">
        <f t="shared" si="9"/>
        <v>44013</v>
      </c>
      <c r="D40" s="82">
        <f t="shared" si="1"/>
        <v>44104</v>
      </c>
      <c r="E40" s="81">
        <f t="shared" si="2"/>
        <v>92</v>
      </c>
      <c r="F40" s="83">
        <f>VLOOKUP(D40,'FERC Interest Rate'!$A:$B,2,TRUE)</f>
        <v>6.5000000000000002E-2</v>
      </c>
      <c r="G40" s="84">
        <f t="shared" si="11"/>
        <v>156697.45454272255</v>
      </c>
      <c r="H40" s="84">
        <v>0</v>
      </c>
      <c r="I40" s="109">
        <f t="shared" si="12"/>
        <v>794.25829528656732</v>
      </c>
      <c r="J40" s="85">
        <f t="shared" si="13"/>
        <v>2560.2480277745381</v>
      </c>
      <c r="K40" s="129">
        <f t="shared" si="3"/>
        <v>3354.5063230611054</v>
      </c>
      <c r="L40" s="85">
        <f t="shared" si="14"/>
        <v>51438.226552287582</v>
      </c>
      <c r="M40" s="130">
        <f t="shared" si="4"/>
        <v>54792.732875348687</v>
      </c>
      <c r="N40" s="8">
        <f t="shared" si="5"/>
        <v>159257.70257049709</v>
      </c>
      <c r="O40" s="84">
        <f t="shared" si="6"/>
        <v>104464.96969514841</v>
      </c>
    </row>
    <row r="41" spans="1:22" x14ac:dyDescent="0.2">
      <c r="A41" s="17" t="s">
        <v>72</v>
      </c>
      <c r="B41" s="81" t="str">
        <f t="shared" si="7"/>
        <v>Q4/2020</v>
      </c>
      <c r="C41" s="82">
        <f t="shared" si="9"/>
        <v>44105</v>
      </c>
      <c r="D41" s="82">
        <f t="shared" si="1"/>
        <v>44196</v>
      </c>
      <c r="E41" s="81">
        <f t="shared" si="2"/>
        <v>92</v>
      </c>
      <c r="F41" s="83">
        <f>VLOOKUP(D41,'FERC Interest Rate'!$A:$B,2,TRUE)</f>
        <v>6.5000000000000002E-2</v>
      </c>
      <c r="G41" s="84">
        <f t="shared" si="11"/>
        <v>104464.96969514841</v>
      </c>
      <c r="H41" s="84">
        <v>0</v>
      </c>
      <c r="I41" s="109">
        <f t="shared" si="12"/>
        <v>794.25829528656732</v>
      </c>
      <c r="J41" s="85">
        <f t="shared" si="13"/>
        <v>1706.8320185163593</v>
      </c>
      <c r="K41" s="129">
        <f t="shared" si="3"/>
        <v>2501.0903138029266</v>
      </c>
      <c r="L41" s="85">
        <f t="shared" si="14"/>
        <v>51438.226552287582</v>
      </c>
      <c r="M41" s="130">
        <f t="shared" si="4"/>
        <v>53939.316866090507</v>
      </c>
      <c r="N41" s="8">
        <f t="shared" si="5"/>
        <v>106171.80171366477</v>
      </c>
      <c r="O41" s="84">
        <f t="shared" si="6"/>
        <v>52232.484847574255</v>
      </c>
    </row>
    <row r="42" spans="1:22" x14ac:dyDescent="0.2">
      <c r="A42" s="17" t="s">
        <v>73</v>
      </c>
      <c r="B42" s="81" t="str">
        <f t="shared" si="7"/>
        <v>Q1/2021</v>
      </c>
      <c r="C42" s="82">
        <f t="shared" si="9"/>
        <v>44197</v>
      </c>
      <c r="D42" s="82">
        <f t="shared" si="1"/>
        <v>44286</v>
      </c>
      <c r="E42" s="81">
        <f t="shared" si="2"/>
        <v>90</v>
      </c>
      <c r="F42" s="83">
        <f>VLOOKUP(D42,'FERC Interest Rate'!$A:$B,2,TRUE)</f>
        <v>6.5000000000000002E-2</v>
      </c>
      <c r="G42" s="84">
        <f t="shared" si="11"/>
        <v>52232.484847574255</v>
      </c>
      <c r="H42" s="84">
        <v>0</v>
      </c>
      <c r="I42" s="109">
        <f t="shared" si="12"/>
        <v>794.25829528656732</v>
      </c>
      <c r="J42" s="85">
        <f t="shared" si="13"/>
        <v>837.15078454331331</v>
      </c>
      <c r="K42" s="129">
        <f t="shared" si="3"/>
        <v>1631.4090798298807</v>
      </c>
      <c r="L42" s="85">
        <f t="shared" si="14"/>
        <v>51438.226552287582</v>
      </c>
      <c r="M42" s="130">
        <f t="shared" si="4"/>
        <v>53069.635632117461</v>
      </c>
      <c r="N42" s="8">
        <f t="shared" si="5"/>
        <v>53069.63563211757</v>
      </c>
      <c r="O42" s="84">
        <f t="shared" si="6"/>
        <v>1.0504663805477321E-10</v>
      </c>
    </row>
    <row r="43" spans="1:22" x14ac:dyDescent="0.2">
      <c r="B43" s="11"/>
      <c r="C43" s="125"/>
      <c r="D43" s="125"/>
      <c r="E43" s="10"/>
      <c r="F43" s="11"/>
      <c r="G43" s="85"/>
      <c r="H43" s="12"/>
      <c r="I43" s="115"/>
      <c r="J43" s="85"/>
      <c r="K43" s="117"/>
      <c r="L43" s="70"/>
      <c r="M43" s="131"/>
      <c r="O43" s="85"/>
    </row>
    <row r="44" spans="1:22" ht="13.5" thickBot="1" x14ac:dyDescent="0.25">
      <c r="A44" s="151"/>
      <c r="B44" s="152"/>
      <c r="C44" s="155"/>
      <c r="D44" s="155"/>
      <c r="E44" s="154"/>
      <c r="F44" s="152"/>
      <c r="G44" s="140">
        <f t="shared" ref="G44:O44" si="15">+SUM(G23:G43)</f>
        <v>10861593.773803841</v>
      </c>
      <c r="H44" s="140">
        <f t="shared" si="15"/>
        <v>15885.165905731346</v>
      </c>
      <c r="I44" s="141">
        <f t="shared" si="15"/>
        <v>15885.165905731341</v>
      </c>
      <c r="J44" s="140">
        <f t="shared" si="15"/>
        <v>111166.26482890066</v>
      </c>
      <c r="K44" s="140">
        <f t="shared" si="15"/>
        <v>127051.43073463203</v>
      </c>
      <c r="L44" s="140">
        <f t="shared" si="15"/>
        <v>1021796</v>
      </c>
      <c r="M44" s="142">
        <f t="shared" si="15"/>
        <v>1148847.4307346321</v>
      </c>
      <c r="N44" s="140">
        <f t="shared" si="15"/>
        <v>10988645.204538472</v>
      </c>
      <c r="O44" s="140">
        <f t="shared" si="15"/>
        <v>9839797.7738038413</v>
      </c>
    </row>
    <row r="45" spans="1:22" ht="14.25" thickTop="1" thickBot="1" x14ac:dyDescent="0.25">
      <c r="B45" s="117"/>
      <c r="C45" s="117"/>
      <c r="D45" s="117"/>
      <c r="E45" s="117"/>
      <c r="F45" s="117"/>
      <c r="G45" s="117"/>
      <c r="H45" s="117"/>
      <c r="I45" s="116"/>
      <c r="J45" s="117"/>
      <c r="K45" s="117"/>
      <c r="L45" s="117"/>
      <c r="M45" s="131"/>
      <c r="O45" s="117"/>
    </row>
    <row r="46" spans="1:22" x14ac:dyDescent="0.2">
      <c r="A46" s="310" t="s">
        <v>16</v>
      </c>
      <c r="B46" s="310"/>
      <c r="C46" s="310"/>
      <c r="D46" s="310"/>
      <c r="E46" s="310"/>
      <c r="F46" s="310"/>
      <c r="G46" s="117"/>
      <c r="H46" s="117"/>
      <c r="I46" s="128"/>
      <c r="J46" s="128"/>
      <c r="K46" s="128"/>
      <c r="L46" s="128"/>
      <c r="M46" s="128"/>
      <c r="O46" s="117"/>
      <c r="S46" s="8"/>
      <c r="T46" s="8"/>
      <c r="U46" s="8"/>
      <c r="V46" s="8"/>
    </row>
    <row r="47" spans="1:22" ht="63.75" x14ac:dyDescent="0.2">
      <c r="A47" s="106" t="s">
        <v>4</v>
      </c>
      <c r="B47" s="106" t="s">
        <v>5</v>
      </c>
      <c r="C47" s="106" t="s">
        <v>95</v>
      </c>
      <c r="D47" s="106" t="s">
        <v>96</v>
      </c>
      <c r="E47" s="106" t="s">
        <v>97</v>
      </c>
      <c r="F47" s="106" t="s">
        <v>98</v>
      </c>
      <c r="G47" s="117"/>
      <c r="H47" s="117"/>
      <c r="I47" s="117"/>
      <c r="J47" s="117"/>
      <c r="K47" s="117"/>
      <c r="L47" s="117"/>
      <c r="M47" s="117"/>
      <c r="O47" s="117"/>
      <c r="S47" s="8"/>
      <c r="T47" s="8"/>
      <c r="U47" s="8"/>
      <c r="V47" s="8"/>
    </row>
    <row r="48" spans="1:22" x14ac:dyDescent="0.2">
      <c r="A48" s="82">
        <f>$L$17</f>
        <v>42473</v>
      </c>
      <c r="B48" s="82">
        <f>DATE(YEAR(A48),IF(MONTH(A48)&lt;=3,3,IF(MONTH(A48)&lt;=6,6,IF(MONTH(A48)&lt;=9,9,12))),IF(OR(MONTH(A48)&lt;=3,MONTH(A48)&gt;=10),31,30))</f>
        <v>42551</v>
      </c>
      <c r="C48" s="85">
        <f t="shared" ref="C48:C67" si="16">+I79+I111+I142+I172+I201+I229+I256+I282</f>
        <v>0</v>
      </c>
      <c r="D48" s="85">
        <f t="shared" ref="D48:D67" si="17">+J79+J111+J142+J172+J201+J229+J256+J282</f>
        <v>0</v>
      </c>
      <c r="E48" s="84">
        <f t="shared" ref="E48:E67" si="18">D48+C48</f>
        <v>0</v>
      </c>
      <c r="F48" s="85">
        <f t="shared" ref="F48:F67" si="19">+L79+L111+L142+L172+L201+L229+L256+L282</f>
        <v>0</v>
      </c>
      <c r="G48" s="117"/>
      <c r="H48" s="117"/>
      <c r="I48" s="117"/>
      <c r="J48" s="117"/>
      <c r="K48" s="117"/>
      <c r="L48" s="117"/>
      <c r="M48" s="117"/>
      <c r="O48" s="117"/>
      <c r="S48" s="8"/>
      <c r="T48" s="8"/>
      <c r="U48" s="8"/>
      <c r="V48" s="8"/>
    </row>
    <row r="49" spans="1:22" x14ac:dyDescent="0.2">
      <c r="A49" s="82">
        <f>B48+1</f>
        <v>42552</v>
      </c>
      <c r="B49" s="82">
        <f>EOMONTH(B48,3)</f>
        <v>42643</v>
      </c>
      <c r="C49" s="85">
        <f t="shared" si="16"/>
        <v>0</v>
      </c>
      <c r="D49" s="85">
        <f t="shared" si="17"/>
        <v>0</v>
      </c>
      <c r="E49" s="84">
        <f t="shared" si="18"/>
        <v>0</v>
      </c>
      <c r="F49" s="85">
        <f t="shared" si="19"/>
        <v>0</v>
      </c>
      <c r="G49" s="117"/>
      <c r="H49" s="117"/>
      <c r="I49" s="117"/>
      <c r="J49" s="117"/>
      <c r="K49" s="117"/>
      <c r="L49" s="117"/>
      <c r="M49" s="117"/>
      <c r="O49" s="117"/>
      <c r="S49" s="8"/>
      <c r="T49" s="8"/>
      <c r="U49" s="8"/>
      <c r="V49" s="8"/>
    </row>
    <row r="50" spans="1:22" x14ac:dyDescent="0.2">
      <c r="A50" s="82">
        <f t="shared" ref="A50:A67" si="20">B49+1</f>
        <v>42644</v>
      </c>
      <c r="B50" s="82">
        <f t="shared" ref="B50:B67" si="21">EOMONTH(B49,3)</f>
        <v>42735</v>
      </c>
      <c r="C50" s="85">
        <f t="shared" si="16"/>
        <v>0</v>
      </c>
      <c r="D50" s="85">
        <f t="shared" si="17"/>
        <v>0</v>
      </c>
      <c r="E50" s="84">
        <f t="shared" si="18"/>
        <v>0</v>
      </c>
      <c r="F50" s="85">
        <f t="shared" si="19"/>
        <v>0</v>
      </c>
      <c r="G50" s="117"/>
      <c r="H50" s="117"/>
      <c r="I50" s="117"/>
      <c r="J50" s="117"/>
      <c r="K50" s="117"/>
      <c r="L50" s="117"/>
      <c r="M50" s="117"/>
      <c r="O50" s="117"/>
      <c r="S50" s="8"/>
      <c r="T50" s="8"/>
      <c r="U50" s="8"/>
      <c r="V50" s="8"/>
    </row>
    <row r="51" spans="1:22" x14ac:dyDescent="0.2">
      <c r="A51" s="82">
        <f t="shared" si="20"/>
        <v>42736</v>
      </c>
      <c r="B51" s="82">
        <f t="shared" si="21"/>
        <v>42825</v>
      </c>
      <c r="C51" s="85">
        <f t="shared" si="16"/>
        <v>282.45856293147017</v>
      </c>
      <c r="D51" s="85">
        <f t="shared" si="17"/>
        <v>168.62996704107198</v>
      </c>
      <c r="E51" s="84">
        <f t="shared" si="18"/>
        <v>451.08852997254212</v>
      </c>
      <c r="F51" s="85">
        <f t="shared" si="19"/>
        <v>3659.2</v>
      </c>
      <c r="G51" s="117"/>
      <c r="H51" s="117"/>
      <c r="I51" s="117"/>
      <c r="J51" s="117"/>
      <c r="K51" s="117"/>
      <c r="L51" s="117"/>
      <c r="M51" s="117"/>
      <c r="O51" s="117"/>
      <c r="S51" s="8"/>
      <c r="T51" s="8"/>
      <c r="U51" s="8"/>
      <c r="V51" s="8"/>
    </row>
    <row r="52" spans="1:22" x14ac:dyDescent="0.2">
      <c r="A52" s="82">
        <f t="shared" si="20"/>
        <v>42826</v>
      </c>
      <c r="B52" s="82">
        <f t="shared" si="21"/>
        <v>42916</v>
      </c>
      <c r="C52" s="85">
        <f t="shared" si="16"/>
        <v>70.614640732867542</v>
      </c>
      <c r="D52" s="85">
        <f t="shared" si="17"/>
        <v>145.8348873897308</v>
      </c>
      <c r="E52" s="84">
        <f t="shared" si="18"/>
        <v>216.44952812259834</v>
      </c>
      <c r="F52" s="85">
        <f t="shared" si="19"/>
        <v>914.8</v>
      </c>
      <c r="G52" s="117"/>
      <c r="H52" s="117"/>
      <c r="I52" s="117"/>
      <c r="J52" s="117"/>
      <c r="K52" s="117"/>
      <c r="L52" s="117"/>
      <c r="M52" s="117"/>
      <c r="O52" s="117"/>
      <c r="S52" s="8"/>
      <c r="T52" s="8"/>
      <c r="U52" s="8"/>
      <c r="V52" s="8"/>
    </row>
    <row r="53" spans="1:22" x14ac:dyDescent="0.2">
      <c r="A53" s="82">
        <f t="shared" si="20"/>
        <v>42917</v>
      </c>
      <c r="B53" s="82">
        <f t="shared" si="21"/>
        <v>43008</v>
      </c>
      <c r="C53" s="85">
        <f t="shared" si="16"/>
        <v>70.614640732867542</v>
      </c>
      <c r="D53" s="85">
        <f t="shared" si="17"/>
        <v>147.53681996375272</v>
      </c>
      <c r="E53" s="84">
        <f t="shared" si="18"/>
        <v>218.15146069662026</v>
      </c>
      <c r="F53" s="85">
        <f t="shared" si="19"/>
        <v>914.8</v>
      </c>
      <c r="G53" s="117"/>
      <c r="H53" s="117"/>
      <c r="I53" s="117"/>
      <c r="J53" s="117"/>
      <c r="K53" s="117"/>
      <c r="L53" s="117"/>
      <c r="M53" s="117"/>
      <c r="O53" s="117"/>
      <c r="S53" s="8"/>
      <c r="T53" s="8"/>
      <c r="U53" s="8"/>
      <c r="V53" s="8"/>
    </row>
    <row r="54" spans="1:22" x14ac:dyDescent="0.2">
      <c r="A54" s="82">
        <f t="shared" si="20"/>
        <v>43009</v>
      </c>
      <c r="B54" s="82">
        <f t="shared" si="21"/>
        <v>43100</v>
      </c>
      <c r="C54" s="85">
        <f t="shared" si="16"/>
        <v>70.614640732867542</v>
      </c>
      <c r="D54" s="85">
        <f t="shared" si="17"/>
        <v>146.39427893373039</v>
      </c>
      <c r="E54" s="84">
        <f t="shared" si="18"/>
        <v>217.00891966659793</v>
      </c>
      <c r="F54" s="85">
        <f t="shared" si="19"/>
        <v>914.8</v>
      </c>
      <c r="G54" s="117"/>
      <c r="H54" s="117"/>
      <c r="I54" s="117"/>
      <c r="J54" s="117"/>
      <c r="K54" s="117"/>
      <c r="L54" s="117"/>
      <c r="M54" s="117"/>
      <c r="O54" s="117"/>
      <c r="S54" s="8"/>
      <c r="T54" s="8"/>
      <c r="U54" s="8"/>
      <c r="V54" s="8"/>
    </row>
    <row r="55" spans="1:22" x14ac:dyDescent="0.2">
      <c r="A55" s="82">
        <f t="shared" si="20"/>
        <v>43101</v>
      </c>
      <c r="B55" s="82">
        <f t="shared" si="21"/>
        <v>43190</v>
      </c>
      <c r="C55" s="85">
        <f t="shared" si="16"/>
        <v>70.614640732867542</v>
      </c>
      <c r="D55" s="85">
        <f t="shared" si="17"/>
        <v>134.24587126148447</v>
      </c>
      <c r="E55" s="84">
        <f t="shared" si="18"/>
        <v>204.86051199435201</v>
      </c>
      <c r="F55" s="85">
        <f t="shared" si="19"/>
        <v>914.8</v>
      </c>
      <c r="G55" s="117"/>
      <c r="H55" s="117"/>
      <c r="I55" s="117"/>
      <c r="J55" s="117"/>
      <c r="K55" s="117"/>
      <c r="L55" s="117"/>
      <c r="M55" s="117"/>
      <c r="O55" s="117"/>
      <c r="S55" s="8"/>
      <c r="T55" s="8"/>
      <c r="U55" s="8"/>
      <c r="V55" s="8"/>
    </row>
    <row r="56" spans="1:22" x14ac:dyDescent="0.2">
      <c r="A56" s="82">
        <f t="shared" si="20"/>
        <v>43191</v>
      </c>
      <c r="B56" s="82">
        <f t="shared" si="21"/>
        <v>43281</v>
      </c>
      <c r="C56" s="85">
        <f t="shared" si="16"/>
        <v>70.614640732867542</v>
      </c>
      <c r="D56" s="85">
        <f t="shared" si="17"/>
        <v>131.78206468303839</v>
      </c>
      <c r="E56" s="84">
        <f t="shared" si="18"/>
        <v>202.39670541590593</v>
      </c>
      <c r="F56" s="85">
        <f t="shared" si="19"/>
        <v>914.8</v>
      </c>
      <c r="G56" s="117"/>
      <c r="H56" s="117"/>
      <c r="I56" s="117"/>
      <c r="J56" s="117"/>
      <c r="K56" s="117"/>
      <c r="L56" s="117"/>
      <c r="M56" s="117"/>
      <c r="O56" s="117"/>
      <c r="S56" s="8"/>
      <c r="T56" s="8"/>
      <c r="U56" s="8"/>
      <c r="V56" s="8"/>
    </row>
    <row r="57" spans="1:22" x14ac:dyDescent="0.2">
      <c r="A57" s="82">
        <f t="shared" si="20"/>
        <v>43282</v>
      </c>
      <c r="B57" s="82">
        <f t="shared" si="21"/>
        <v>43373</v>
      </c>
      <c r="C57" s="85">
        <f t="shared" si="16"/>
        <v>70.614640732867542</v>
      </c>
      <c r="D57" s="85">
        <f t="shared" si="17"/>
        <v>136.91173730099644</v>
      </c>
      <c r="E57" s="84">
        <f t="shared" si="18"/>
        <v>207.52637803386398</v>
      </c>
      <c r="F57" s="85">
        <f t="shared" si="19"/>
        <v>914.8</v>
      </c>
      <c r="G57" s="117"/>
      <c r="H57" s="117"/>
      <c r="I57" s="117"/>
      <c r="J57" s="117"/>
      <c r="K57" s="117"/>
      <c r="L57" s="117"/>
      <c r="M57" s="117"/>
      <c r="O57" s="117"/>
      <c r="S57" s="8"/>
      <c r="T57" s="8"/>
      <c r="U57" s="8"/>
      <c r="V57" s="8"/>
    </row>
    <row r="58" spans="1:22" x14ac:dyDescent="0.2">
      <c r="A58" s="82">
        <f t="shared" si="20"/>
        <v>43374</v>
      </c>
      <c r="B58" s="82">
        <f t="shared" si="21"/>
        <v>43465</v>
      </c>
      <c r="C58" s="85">
        <f t="shared" si="16"/>
        <v>70.614640732867542</v>
      </c>
      <c r="D58" s="85">
        <f t="shared" si="17"/>
        <v>131.19992382964517</v>
      </c>
      <c r="E58" s="84">
        <f t="shared" si="18"/>
        <v>201.81456456251271</v>
      </c>
      <c r="F58" s="85">
        <f t="shared" si="19"/>
        <v>914.8</v>
      </c>
      <c r="G58" s="117"/>
      <c r="H58" s="117"/>
      <c r="I58" s="117"/>
      <c r="J58" s="117"/>
      <c r="K58" s="117"/>
      <c r="L58" s="117"/>
      <c r="M58" s="117"/>
      <c r="O58" s="117"/>
      <c r="S58" s="8"/>
      <c r="T58" s="8"/>
      <c r="U58" s="8"/>
      <c r="V58" s="8"/>
    </row>
    <row r="59" spans="1:22" x14ac:dyDescent="0.2">
      <c r="A59" s="82">
        <f t="shared" si="20"/>
        <v>43466</v>
      </c>
      <c r="B59" s="82">
        <f t="shared" si="21"/>
        <v>43555</v>
      </c>
      <c r="C59" s="85">
        <f t="shared" si="16"/>
        <v>70.614640732867542</v>
      </c>
      <c r="D59" s="85">
        <f t="shared" si="17"/>
        <v>120.92356126581581</v>
      </c>
      <c r="E59" s="84">
        <f t="shared" si="18"/>
        <v>191.53820199868335</v>
      </c>
      <c r="F59" s="85">
        <f t="shared" si="19"/>
        <v>914.8</v>
      </c>
      <c r="G59" s="117"/>
      <c r="H59" s="117"/>
      <c r="I59" s="117"/>
      <c r="J59" s="117"/>
      <c r="K59" s="117"/>
      <c r="L59" s="117"/>
      <c r="M59" s="117"/>
      <c r="O59" s="117"/>
      <c r="S59" s="8"/>
      <c r="T59" s="8"/>
      <c r="U59" s="8"/>
      <c r="V59" s="8"/>
    </row>
    <row r="60" spans="1:22" x14ac:dyDescent="0.2">
      <c r="A60" s="82">
        <f t="shared" si="20"/>
        <v>43556</v>
      </c>
      <c r="B60" s="82">
        <f t="shared" si="21"/>
        <v>43646</v>
      </c>
      <c r="C60" s="85">
        <f t="shared" si="16"/>
        <v>70.614640732867542</v>
      </c>
      <c r="D60" s="85">
        <f t="shared" si="17"/>
        <v>113.99492545288923</v>
      </c>
      <c r="E60" s="84">
        <f t="shared" si="18"/>
        <v>184.60956618575676</v>
      </c>
      <c r="F60" s="85">
        <f t="shared" si="19"/>
        <v>914.8</v>
      </c>
      <c r="G60" s="117"/>
      <c r="H60" s="117"/>
      <c r="I60" s="117"/>
      <c r="J60" s="117"/>
      <c r="K60" s="117"/>
      <c r="L60" s="117"/>
      <c r="M60" s="117"/>
      <c r="O60" s="117"/>
      <c r="S60" s="8"/>
      <c r="T60" s="8"/>
      <c r="U60" s="8"/>
      <c r="V60" s="8"/>
    </row>
    <row r="61" spans="1:22" x14ac:dyDescent="0.2">
      <c r="A61" s="82">
        <f t="shared" si="20"/>
        <v>43647</v>
      </c>
      <c r="B61" s="82">
        <f t="shared" si="21"/>
        <v>43738</v>
      </c>
      <c r="C61" s="85">
        <f t="shared" si="16"/>
        <v>70.614640732867542</v>
      </c>
      <c r="D61" s="85">
        <f t="shared" si="17"/>
        <v>104.31896361073419</v>
      </c>
      <c r="E61" s="84">
        <f t="shared" si="18"/>
        <v>174.93360434360173</v>
      </c>
      <c r="F61" s="85">
        <f t="shared" si="19"/>
        <v>914.8</v>
      </c>
      <c r="G61" s="117"/>
      <c r="H61" s="117"/>
      <c r="I61" s="117"/>
      <c r="J61" s="117"/>
      <c r="K61" s="117"/>
      <c r="L61" s="117"/>
      <c r="M61" s="117"/>
      <c r="O61" s="117"/>
      <c r="S61" s="8"/>
      <c r="T61" s="8"/>
      <c r="U61" s="8"/>
      <c r="V61" s="8"/>
    </row>
    <row r="62" spans="1:22" x14ac:dyDescent="0.2">
      <c r="A62" s="82">
        <f t="shared" si="20"/>
        <v>43739</v>
      </c>
      <c r="B62" s="82">
        <f t="shared" si="21"/>
        <v>43830</v>
      </c>
      <c r="C62" s="85">
        <f t="shared" si="16"/>
        <v>70.614640732867542</v>
      </c>
      <c r="D62" s="85">
        <f t="shared" si="17"/>
        <v>89.937044595249404</v>
      </c>
      <c r="E62" s="84">
        <f t="shared" si="18"/>
        <v>160.55168532811695</v>
      </c>
      <c r="F62" s="85">
        <f t="shared" si="19"/>
        <v>914.8</v>
      </c>
      <c r="G62" s="117"/>
      <c r="H62" s="117"/>
      <c r="I62" s="117"/>
      <c r="J62" s="117"/>
      <c r="K62" s="117"/>
      <c r="L62" s="117"/>
      <c r="M62" s="117"/>
      <c r="O62" s="117"/>
      <c r="S62" s="8"/>
      <c r="T62" s="8"/>
      <c r="U62" s="8"/>
      <c r="V62" s="8"/>
    </row>
    <row r="63" spans="1:22" x14ac:dyDescent="0.2">
      <c r="A63" s="82">
        <f t="shared" si="20"/>
        <v>43831</v>
      </c>
      <c r="B63" s="82">
        <f t="shared" si="21"/>
        <v>43921</v>
      </c>
      <c r="C63" s="85">
        <f t="shared" si="16"/>
        <v>70.614640732867542</v>
      </c>
      <c r="D63" s="85">
        <f t="shared" si="17"/>
        <v>76.566106950953269</v>
      </c>
      <c r="E63" s="84">
        <f t="shared" si="18"/>
        <v>147.18074768382081</v>
      </c>
      <c r="F63" s="85">
        <f t="shared" si="19"/>
        <v>914.8</v>
      </c>
      <c r="G63" s="117"/>
      <c r="H63" s="117"/>
      <c r="I63" s="117"/>
      <c r="J63" s="117"/>
      <c r="K63" s="117"/>
      <c r="L63" s="117"/>
      <c r="M63" s="117"/>
      <c r="O63" s="117"/>
      <c r="S63" s="8"/>
      <c r="T63" s="8"/>
      <c r="U63" s="8"/>
      <c r="V63" s="8"/>
    </row>
    <row r="64" spans="1:22" x14ac:dyDescent="0.2">
      <c r="A64" s="82">
        <f t="shared" si="20"/>
        <v>43922</v>
      </c>
      <c r="B64" s="82">
        <f t="shared" si="21"/>
        <v>44012</v>
      </c>
      <c r="C64" s="85">
        <f t="shared" si="16"/>
        <v>70.614640732867542</v>
      </c>
      <c r="D64" s="85">
        <f t="shared" si="17"/>
        <v>61.796331719436971</v>
      </c>
      <c r="E64" s="84">
        <f t="shared" si="18"/>
        <v>132.41097245230452</v>
      </c>
      <c r="F64" s="85">
        <f t="shared" si="19"/>
        <v>914.8</v>
      </c>
      <c r="G64" s="117"/>
      <c r="H64" s="117"/>
      <c r="I64" s="117"/>
      <c r="J64" s="117"/>
      <c r="K64" s="117"/>
      <c r="L64" s="117"/>
      <c r="M64" s="117"/>
      <c r="O64" s="117"/>
      <c r="S64" s="8"/>
      <c r="T64" s="8"/>
      <c r="U64" s="8"/>
      <c r="V64" s="8"/>
    </row>
    <row r="65" spans="1:22" x14ac:dyDescent="0.2">
      <c r="A65" s="82">
        <f t="shared" si="20"/>
        <v>44013</v>
      </c>
      <c r="B65" s="82">
        <f t="shared" si="21"/>
        <v>44104</v>
      </c>
      <c r="C65" s="85">
        <f t="shared" si="16"/>
        <v>70.614640732867542</v>
      </c>
      <c r="D65" s="85">
        <f t="shared" si="17"/>
        <v>48.301471734283105</v>
      </c>
      <c r="E65" s="84">
        <f t="shared" si="18"/>
        <v>118.91611246715064</v>
      </c>
      <c r="F65" s="85">
        <f t="shared" si="19"/>
        <v>914.8</v>
      </c>
      <c r="G65" s="117"/>
      <c r="H65" s="117"/>
      <c r="I65" s="117"/>
      <c r="J65" s="117"/>
      <c r="K65" s="117"/>
      <c r="L65" s="117"/>
      <c r="M65" s="117"/>
      <c r="O65" s="117"/>
      <c r="S65" s="8"/>
      <c r="T65" s="8"/>
      <c r="U65" s="8"/>
      <c r="V65" s="8"/>
    </row>
    <row r="66" spans="1:22" x14ac:dyDescent="0.2">
      <c r="A66" s="82">
        <f t="shared" si="20"/>
        <v>44105</v>
      </c>
      <c r="B66" s="82">
        <f t="shared" si="21"/>
        <v>44196</v>
      </c>
      <c r="C66" s="85">
        <f t="shared" si="16"/>
        <v>70.614640732867542</v>
      </c>
      <c r="D66" s="85">
        <f t="shared" si="17"/>
        <v>32.200981156188718</v>
      </c>
      <c r="E66" s="84">
        <f t="shared" si="18"/>
        <v>102.81562188905626</v>
      </c>
      <c r="F66" s="85">
        <f t="shared" si="19"/>
        <v>914.8</v>
      </c>
      <c r="G66" s="117"/>
      <c r="H66" s="117"/>
      <c r="I66" s="117"/>
      <c r="J66" s="117"/>
      <c r="K66" s="117"/>
      <c r="L66" s="117"/>
      <c r="M66" s="117"/>
      <c r="O66" s="117"/>
      <c r="S66" s="8"/>
      <c r="T66" s="8"/>
      <c r="U66" s="8"/>
      <c r="V66" s="8"/>
    </row>
    <row r="67" spans="1:22" x14ac:dyDescent="0.2">
      <c r="A67" s="82">
        <f t="shared" si="20"/>
        <v>44197</v>
      </c>
      <c r="B67" s="82">
        <f t="shared" si="21"/>
        <v>44286</v>
      </c>
      <c r="C67" s="85">
        <f t="shared" si="16"/>
        <v>70.614640732867542</v>
      </c>
      <c r="D67" s="85">
        <f t="shared" si="17"/>
        <v>15.793631913115753</v>
      </c>
      <c r="E67" s="84">
        <f t="shared" si="18"/>
        <v>86.408272645983288</v>
      </c>
      <c r="F67" s="85">
        <f t="shared" si="19"/>
        <v>914.8</v>
      </c>
      <c r="G67" s="117"/>
      <c r="H67" s="117"/>
      <c r="I67" s="117"/>
      <c r="J67" s="117"/>
      <c r="K67" s="117"/>
      <c r="L67" s="117"/>
      <c r="M67" s="117"/>
      <c r="O67" s="117"/>
      <c r="S67" s="8"/>
      <c r="T67" s="8"/>
      <c r="U67" s="8"/>
      <c r="V67" s="8"/>
    </row>
    <row r="68" spans="1:22" x14ac:dyDescent="0.2">
      <c r="A68" s="125"/>
      <c r="B68" s="125"/>
      <c r="C68" s="12"/>
      <c r="D68" s="85"/>
      <c r="E68" s="85"/>
      <c r="G68" s="117"/>
      <c r="H68" s="117"/>
      <c r="I68" s="117"/>
      <c r="J68" s="117"/>
      <c r="K68" s="117"/>
      <c r="L68" s="117"/>
      <c r="M68" s="117"/>
      <c r="O68" s="117"/>
      <c r="S68" s="8"/>
      <c r="T68" s="8"/>
      <c r="U68" s="8"/>
      <c r="V68" s="8"/>
    </row>
    <row r="69" spans="1:22" ht="13.5" thickBot="1" x14ac:dyDescent="0.25">
      <c r="A69" s="140"/>
      <c r="B69" s="140"/>
      <c r="C69" s="140">
        <f>+SUM(C48:C68)</f>
        <v>1412.2928146573504</v>
      </c>
      <c r="D69" s="140">
        <f>+SUM(D48:D68)</f>
        <v>1806.3685688021169</v>
      </c>
      <c r="E69" s="140">
        <f>+SUM(E48:E68)</f>
        <v>3218.6613834594673</v>
      </c>
      <c r="F69" s="140">
        <f>+SUM(F48:F68)</f>
        <v>18295.999999999993</v>
      </c>
      <c r="G69" s="117"/>
      <c r="H69" s="117"/>
      <c r="I69" s="122"/>
      <c r="J69" s="122"/>
      <c r="K69" s="122"/>
      <c r="L69" s="122"/>
      <c r="M69" s="122"/>
      <c r="O69" s="117"/>
      <c r="S69" s="8"/>
      <c r="T69" s="8"/>
      <c r="U69" s="8"/>
      <c r="V69" s="8"/>
    </row>
    <row r="70" spans="1:22" ht="13.5" thickTop="1" x14ac:dyDescent="0.2">
      <c r="B70" s="117"/>
      <c r="C70" s="117"/>
      <c r="D70" s="117"/>
      <c r="E70" s="117"/>
      <c r="F70" s="117"/>
      <c r="G70" s="117"/>
      <c r="H70" s="117"/>
      <c r="I70" s="116"/>
      <c r="J70" s="117"/>
      <c r="K70" s="117"/>
      <c r="L70" s="117"/>
      <c r="M70" s="131"/>
      <c r="O70" s="117"/>
      <c r="S70" s="8"/>
      <c r="T70" s="8"/>
      <c r="U70" s="8"/>
      <c r="V70" s="8"/>
    </row>
    <row r="71" spans="1:22" ht="38.25" x14ac:dyDescent="0.2">
      <c r="A71" s="90" t="s">
        <v>53</v>
      </c>
      <c r="B71" s="90" t="s">
        <v>3</v>
      </c>
      <c r="C71" s="90" t="s">
        <v>4</v>
      </c>
      <c r="D71" s="90" t="s">
        <v>5</v>
      </c>
      <c r="E71" s="90" t="s">
        <v>6</v>
      </c>
      <c r="F71" s="90" t="s">
        <v>7</v>
      </c>
      <c r="G71" s="90" t="s">
        <v>93</v>
      </c>
      <c r="H71" s="90" t="s">
        <v>94</v>
      </c>
      <c r="I71" s="105" t="s">
        <v>95</v>
      </c>
      <c r="J71" s="106" t="s">
        <v>96</v>
      </c>
      <c r="K71" s="106" t="s">
        <v>97</v>
      </c>
      <c r="L71" s="106" t="s">
        <v>98</v>
      </c>
      <c r="M71" s="107" t="s">
        <v>99</v>
      </c>
      <c r="N71" s="90" t="s">
        <v>100</v>
      </c>
      <c r="O71" s="90" t="s">
        <v>101</v>
      </c>
      <c r="S71" s="8"/>
      <c r="T71" s="8"/>
      <c r="U71" s="8"/>
      <c r="V71" s="8"/>
    </row>
    <row r="72" spans="1:22" x14ac:dyDescent="0.2">
      <c r="A72" s="309" t="s">
        <v>15</v>
      </c>
      <c r="B72" s="309"/>
      <c r="C72" s="282">
        <f>VLOOKUP(B73,A$1:F$19,2,FALSE)</f>
        <v>41831</v>
      </c>
      <c r="D72" s="282">
        <f>DATE(YEAR(C72),IF(MONTH(C72)&lt;=3,3,IF(MONTH(C72)&lt;=6,6,IF(MONTH(C72)&lt;=9,9,12))),IF(OR(MONTH(C72)&lt;=3,MONTH(C72)&gt;=10),31,30))</f>
        <v>41912</v>
      </c>
      <c r="E72" s="283">
        <f>D72-C72+1</f>
        <v>82</v>
      </c>
      <c r="F72" s="284">
        <f>VLOOKUP(D72,'FERC Interest Rate'!$A:$B,2,TRUE)</f>
        <v>3.2500000000000001E-2</v>
      </c>
      <c r="G72" s="167">
        <f>VLOOKUP(B73,$A$1:$F$19,5,FALSE)</f>
        <v>820.99610606341548</v>
      </c>
      <c r="H72" s="167">
        <f t="shared" ref="H72:H82" si="22">G72*F72*(E72/(DATE(YEAR(D72),12,31)-DATE(YEAR(D72),1,1)+1))</f>
        <v>5.9943962264630199</v>
      </c>
      <c r="I72" s="291">
        <v>0</v>
      </c>
      <c r="J72" s="286">
        <v>0</v>
      </c>
      <c r="K72" s="286">
        <f t="shared" ref="K72:K98" si="23">+SUM(I72:J72)</f>
        <v>0</v>
      </c>
      <c r="L72" s="286">
        <v>0</v>
      </c>
      <c r="M72" s="287">
        <f t="shared" ref="M72:M98" si="24">+SUM(K72:L72)</f>
        <v>0</v>
      </c>
      <c r="N72" s="286">
        <f t="shared" ref="N72:N98" si="25">+G72+H72+J72</f>
        <v>826.99050228987846</v>
      </c>
      <c r="O72" s="167">
        <f t="shared" ref="O72:O98" si="26">G72+H72-L72-I72</f>
        <v>826.99050228987846</v>
      </c>
    </row>
    <row r="73" spans="1:22" x14ac:dyDescent="0.2">
      <c r="A73" s="275" t="s">
        <v>38</v>
      </c>
      <c r="B73" s="276" t="s">
        <v>54</v>
      </c>
      <c r="C73" s="282">
        <f>D72+1</f>
        <v>41913</v>
      </c>
      <c r="D73" s="282">
        <f>EOMONTH(D72,3)</f>
        <v>42004</v>
      </c>
      <c r="E73" s="283">
        <f t="shared" ref="E73:E98" si="27">D73-C73+1</f>
        <v>92</v>
      </c>
      <c r="F73" s="284">
        <f>VLOOKUP(D73,'FERC Interest Rate'!$A:$B,2,TRUE)</f>
        <v>3.2500000000000001E-2</v>
      </c>
      <c r="G73" s="167">
        <f t="shared" ref="G73:G98" si="28">O72</f>
        <v>826.99050228987846</v>
      </c>
      <c r="H73" s="167">
        <f t="shared" si="22"/>
        <v>6.7745249365664026</v>
      </c>
      <c r="I73" s="291">
        <v>0</v>
      </c>
      <c r="J73" s="286">
        <v>0</v>
      </c>
      <c r="K73" s="286">
        <f t="shared" si="23"/>
        <v>0</v>
      </c>
      <c r="L73" s="286">
        <v>0</v>
      </c>
      <c r="M73" s="287">
        <f t="shared" si="24"/>
        <v>0</v>
      </c>
      <c r="N73" s="286">
        <f t="shared" si="25"/>
        <v>833.76502722644489</v>
      </c>
      <c r="O73" s="167">
        <f t="shared" si="26"/>
        <v>833.76502722644489</v>
      </c>
    </row>
    <row r="74" spans="1:22" x14ac:dyDescent="0.2">
      <c r="A74" s="292"/>
      <c r="B74" s="283"/>
      <c r="C74" s="282">
        <f t="shared" ref="C74:C98" si="29">D73+1</f>
        <v>42005</v>
      </c>
      <c r="D74" s="282">
        <f t="shared" ref="D74:D98" si="30">EOMONTH(D73,3)</f>
        <v>42094</v>
      </c>
      <c r="E74" s="283">
        <f t="shared" si="27"/>
        <v>90</v>
      </c>
      <c r="F74" s="284">
        <f>VLOOKUP(D74,'FERC Interest Rate'!$A:$B,2,TRUE)</f>
        <v>3.2500000000000001E-2</v>
      </c>
      <c r="G74" s="167">
        <f t="shared" si="28"/>
        <v>833.76502722644489</v>
      </c>
      <c r="H74" s="167">
        <f t="shared" si="22"/>
        <v>6.6815416565406887</v>
      </c>
      <c r="I74" s="291">
        <v>0</v>
      </c>
      <c r="J74" s="286">
        <v>0</v>
      </c>
      <c r="K74" s="286">
        <f t="shared" si="23"/>
        <v>0</v>
      </c>
      <c r="L74" s="286">
        <v>0</v>
      </c>
      <c r="M74" s="287">
        <f t="shared" si="24"/>
        <v>0</v>
      </c>
      <c r="N74" s="286">
        <f t="shared" si="25"/>
        <v>840.44656888298562</v>
      </c>
      <c r="O74" s="167">
        <f t="shared" si="26"/>
        <v>840.44656888298562</v>
      </c>
    </row>
    <row r="75" spans="1:22" x14ac:dyDescent="0.2">
      <c r="A75" s="292"/>
      <c r="B75" s="283"/>
      <c r="C75" s="282">
        <f t="shared" si="29"/>
        <v>42095</v>
      </c>
      <c r="D75" s="282">
        <f t="shared" si="30"/>
        <v>42185</v>
      </c>
      <c r="E75" s="283">
        <f t="shared" si="27"/>
        <v>91</v>
      </c>
      <c r="F75" s="284">
        <f>VLOOKUP(D75,'FERC Interest Rate'!$A:$B,2,TRUE)</f>
        <v>3.2500000000000001E-2</v>
      </c>
      <c r="G75" s="167">
        <f t="shared" si="28"/>
        <v>840.44656888298562</v>
      </c>
      <c r="H75" s="167">
        <f t="shared" si="22"/>
        <v>6.8099198012915894</v>
      </c>
      <c r="I75" s="291">
        <v>0</v>
      </c>
      <c r="J75" s="286">
        <v>0</v>
      </c>
      <c r="K75" s="286">
        <f t="shared" si="23"/>
        <v>0</v>
      </c>
      <c r="L75" s="286">
        <v>0</v>
      </c>
      <c r="M75" s="287">
        <f t="shared" si="24"/>
        <v>0</v>
      </c>
      <c r="N75" s="286">
        <f t="shared" si="25"/>
        <v>847.2564886842772</v>
      </c>
      <c r="O75" s="167">
        <f t="shared" si="26"/>
        <v>847.2564886842772</v>
      </c>
    </row>
    <row r="76" spans="1:22" x14ac:dyDescent="0.2">
      <c r="A76" s="292"/>
      <c r="B76" s="283"/>
      <c r="C76" s="282">
        <f t="shared" si="29"/>
        <v>42186</v>
      </c>
      <c r="D76" s="282">
        <f t="shared" si="30"/>
        <v>42277</v>
      </c>
      <c r="E76" s="283">
        <f t="shared" si="27"/>
        <v>92</v>
      </c>
      <c r="F76" s="284">
        <f>VLOOKUP(D76,'FERC Interest Rate'!$A:$B,2,TRUE)</f>
        <v>3.2500000000000001E-2</v>
      </c>
      <c r="G76" s="167">
        <f t="shared" si="28"/>
        <v>847.2564886842772</v>
      </c>
      <c r="H76" s="167">
        <f t="shared" si="22"/>
        <v>6.9405394552492847</v>
      </c>
      <c r="I76" s="291">
        <v>0</v>
      </c>
      <c r="J76" s="286">
        <v>0</v>
      </c>
      <c r="K76" s="286">
        <f t="shared" si="23"/>
        <v>0</v>
      </c>
      <c r="L76" s="286">
        <v>0</v>
      </c>
      <c r="M76" s="287">
        <f t="shared" si="24"/>
        <v>0</v>
      </c>
      <c r="N76" s="286">
        <f t="shared" si="25"/>
        <v>854.19702813952654</v>
      </c>
      <c r="O76" s="167">
        <f t="shared" si="26"/>
        <v>854.19702813952654</v>
      </c>
    </row>
    <row r="77" spans="1:22" x14ac:dyDescent="0.2">
      <c r="A77" s="292"/>
      <c r="B77" s="283"/>
      <c r="C77" s="282">
        <f t="shared" si="29"/>
        <v>42278</v>
      </c>
      <c r="D77" s="282">
        <f t="shared" si="30"/>
        <v>42369</v>
      </c>
      <c r="E77" s="283">
        <f t="shared" si="27"/>
        <v>92</v>
      </c>
      <c r="F77" s="284">
        <f>VLOOKUP(D77,'FERC Interest Rate'!$A:$B,2,TRUE)</f>
        <v>3.2500000000000001E-2</v>
      </c>
      <c r="G77" s="167">
        <f t="shared" si="28"/>
        <v>854.19702813952654</v>
      </c>
      <c r="H77" s="167">
        <f t="shared" si="22"/>
        <v>6.9973948332525602</v>
      </c>
      <c r="I77" s="291">
        <v>0</v>
      </c>
      <c r="J77" s="286">
        <v>0</v>
      </c>
      <c r="K77" s="286">
        <f t="shared" si="23"/>
        <v>0</v>
      </c>
      <c r="L77" s="286">
        <v>0</v>
      </c>
      <c r="M77" s="287">
        <f t="shared" si="24"/>
        <v>0</v>
      </c>
      <c r="N77" s="286">
        <f t="shared" si="25"/>
        <v>861.19442297277908</v>
      </c>
      <c r="O77" s="167">
        <f t="shared" si="26"/>
        <v>861.19442297277908</v>
      </c>
    </row>
    <row r="78" spans="1:22" x14ac:dyDescent="0.2">
      <c r="A78" s="292"/>
      <c r="B78" s="283"/>
      <c r="C78" s="282">
        <f t="shared" si="29"/>
        <v>42370</v>
      </c>
      <c r="D78" s="282">
        <f t="shared" si="30"/>
        <v>42460</v>
      </c>
      <c r="E78" s="283">
        <f t="shared" si="27"/>
        <v>91</v>
      </c>
      <c r="F78" s="284">
        <f>VLOOKUP(D78,'FERC Interest Rate'!$A:$B,2,TRUE)</f>
        <v>3.2500000000000001E-2</v>
      </c>
      <c r="G78" s="167">
        <f t="shared" si="28"/>
        <v>861.19442297277908</v>
      </c>
      <c r="H78" s="167">
        <f t="shared" si="22"/>
        <v>6.9589685954699299</v>
      </c>
      <c r="I78" s="291">
        <v>0</v>
      </c>
      <c r="J78" s="286">
        <v>0</v>
      </c>
      <c r="K78" s="286">
        <f t="shared" si="23"/>
        <v>0</v>
      </c>
      <c r="L78" s="286">
        <v>0</v>
      </c>
      <c r="M78" s="287">
        <f t="shared" si="24"/>
        <v>0</v>
      </c>
      <c r="N78" s="286">
        <f t="shared" si="25"/>
        <v>868.15339156824905</v>
      </c>
      <c r="O78" s="167">
        <f t="shared" si="26"/>
        <v>868.15339156824905</v>
      </c>
    </row>
    <row r="79" spans="1:22" x14ac:dyDescent="0.2">
      <c r="A79" s="96"/>
      <c r="B79" s="81"/>
      <c r="C79" s="82">
        <f t="shared" si="29"/>
        <v>42461</v>
      </c>
      <c r="D79" s="82">
        <f t="shared" si="30"/>
        <v>42551</v>
      </c>
      <c r="E79" s="81">
        <f t="shared" si="27"/>
        <v>91</v>
      </c>
      <c r="F79" s="83">
        <f>VLOOKUP(D79,'FERC Interest Rate'!$A:$B,2,TRUE)</f>
        <v>3.4599999999999999E-2</v>
      </c>
      <c r="G79" s="84">
        <f t="shared" si="28"/>
        <v>868.15339156824905</v>
      </c>
      <c r="H79" s="167">
        <f t="shared" si="22"/>
        <v>7.4684911712890409</v>
      </c>
      <c r="I79" s="173">
        <v>0</v>
      </c>
      <c r="J79" s="286">
        <v>0</v>
      </c>
      <c r="K79" s="85">
        <f t="shared" si="23"/>
        <v>0</v>
      </c>
      <c r="L79" s="85">
        <v>0</v>
      </c>
      <c r="M79" s="110">
        <f t="shared" si="24"/>
        <v>0</v>
      </c>
      <c r="N79" s="85">
        <f t="shared" si="25"/>
        <v>875.62188273953814</v>
      </c>
      <c r="O79" s="84">
        <f t="shared" si="26"/>
        <v>875.62188273953814</v>
      </c>
    </row>
    <row r="80" spans="1:22" x14ac:dyDescent="0.2">
      <c r="A80" s="274"/>
      <c r="B80" s="81"/>
      <c r="C80" s="82">
        <f t="shared" si="29"/>
        <v>42552</v>
      </c>
      <c r="D80" s="82">
        <f t="shared" si="30"/>
        <v>42643</v>
      </c>
      <c r="E80" s="81">
        <f t="shared" si="27"/>
        <v>92</v>
      </c>
      <c r="F80" s="83">
        <f>VLOOKUP(D80,'FERC Interest Rate'!$A:$B,2,TRUE)</f>
        <v>3.5000000000000003E-2</v>
      </c>
      <c r="G80" s="84">
        <f t="shared" si="28"/>
        <v>875.62188273953814</v>
      </c>
      <c r="H80" s="84">
        <f t="shared" si="22"/>
        <v>7.7035586404953911</v>
      </c>
      <c r="I80" s="109">
        <v>0</v>
      </c>
      <c r="J80" s="85">
        <v>0</v>
      </c>
      <c r="K80" s="85">
        <f t="shared" si="23"/>
        <v>0</v>
      </c>
      <c r="L80" s="85">
        <v>0</v>
      </c>
      <c r="M80" s="110">
        <f t="shared" si="24"/>
        <v>0</v>
      </c>
      <c r="N80" s="85">
        <f t="shared" si="25"/>
        <v>883.32544138003357</v>
      </c>
      <c r="O80" s="84">
        <f t="shared" si="26"/>
        <v>883.32544138003357</v>
      </c>
    </row>
    <row r="81" spans="1:15" x14ac:dyDescent="0.2">
      <c r="A81" s="96"/>
      <c r="B81" s="81"/>
      <c r="C81" s="82">
        <f t="shared" si="29"/>
        <v>42644</v>
      </c>
      <c r="D81" s="82">
        <f t="shared" si="30"/>
        <v>42735</v>
      </c>
      <c r="E81" s="81">
        <f t="shared" si="27"/>
        <v>92</v>
      </c>
      <c r="F81" s="83">
        <f>VLOOKUP(D81,'FERC Interest Rate'!$A:$B,2,TRUE)</f>
        <v>3.5000000000000003E-2</v>
      </c>
      <c r="G81" s="84">
        <f t="shared" si="28"/>
        <v>883.32544138003357</v>
      </c>
      <c r="H81" s="84">
        <f t="shared" si="22"/>
        <v>7.7713331181522092</v>
      </c>
      <c r="I81" s="109">
        <v>0</v>
      </c>
      <c r="J81" s="85">
        <v>0</v>
      </c>
      <c r="K81" s="85">
        <f t="shared" si="23"/>
        <v>0</v>
      </c>
      <c r="L81" s="85">
        <v>0</v>
      </c>
      <c r="M81" s="110">
        <f t="shared" si="24"/>
        <v>0</v>
      </c>
      <c r="N81" s="85">
        <f t="shared" si="25"/>
        <v>891.09677449818582</v>
      </c>
      <c r="O81" s="84">
        <f t="shared" si="26"/>
        <v>891.09677449818582</v>
      </c>
    </row>
    <row r="82" spans="1:15" x14ac:dyDescent="0.2">
      <c r="A82" s="96" t="s">
        <v>102</v>
      </c>
      <c r="B82" s="81" t="str">
        <f t="shared" ref="B82:B98" si="31">+IF(MONTH(C82)&lt;4,"Q1",IF(MONTH(C82)&lt;7,"Q2",IF(MONTH(C82)&lt;10,"Q3","Q4")))&amp;"/"&amp;YEAR(C82)</f>
        <v>Q1/2017</v>
      </c>
      <c r="C82" s="82">
        <f t="shared" si="29"/>
        <v>42736</v>
      </c>
      <c r="D82" s="82">
        <f t="shared" si="30"/>
        <v>42825</v>
      </c>
      <c r="E82" s="81">
        <f t="shared" si="27"/>
        <v>90</v>
      </c>
      <c r="F82" s="83">
        <f>VLOOKUP(D82,'FERC Interest Rate'!$A:$B,2,TRUE)</f>
        <v>3.5000000000000003E-2</v>
      </c>
      <c r="G82" s="84">
        <f t="shared" si="28"/>
        <v>891.09677449818582</v>
      </c>
      <c r="H82" s="84">
        <f t="shared" si="22"/>
        <v>7.690287231970645</v>
      </c>
      <c r="I82" s="109">
        <f>(SUM($H$72:$H$99)/20)*4</f>
        <v>15.558191133348151</v>
      </c>
      <c r="J82" s="85">
        <f t="shared" ref="J82:J98" si="32">G82*F82*(E82/(DATE(YEAR(D82),12,31)-DATE(YEAR(D82),1,1)+1))</f>
        <v>7.690287231970645</v>
      </c>
      <c r="K82" s="85">
        <f t="shared" si="23"/>
        <v>23.248478365318796</v>
      </c>
      <c r="L82" s="85">
        <f>VLOOKUP($B$73,A$1:F$19,5,FALSE)/20*4</f>
        <v>164.19922121268309</v>
      </c>
      <c r="M82" s="110">
        <f t="shared" si="24"/>
        <v>187.44769957800187</v>
      </c>
      <c r="N82" s="85">
        <f t="shared" si="25"/>
        <v>906.47734896212705</v>
      </c>
      <c r="O82" s="84">
        <f t="shared" si="26"/>
        <v>719.02964938412515</v>
      </c>
    </row>
    <row r="83" spans="1:15" x14ac:dyDescent="0.2">
      <c r="A83" s="96" t="s">
        <v>58</v>
      </c>
      <c r="B83" s="81" t="str">
        <f t="shared" si="31"/>
        <v>Q2/2017</v>
      </c>
      <c r="C83" s="82">
        <f t="shared" si="29"/>
        <v>42826</v>
      </c>
      <c r="D83" s="82">
        <f t="shared" si="30"/>
        <v>42916</v>
      </c>
      <c r="E83" s="81">
        <f t="shared" si="27"/>
        <v>91</v>
      </c>
      <c r="F83" s="83">
        <f>VLOOKUP(D83,'FERC Interest Rate'!$A:$B,2,TRUE)</f>
        <v>3.7100000000000001E-2</v>
      </c>
      <c r="G83" s="84">
        <f t="shared" si="28"/>
        <v>719.02964938412515</v>
      </c>
      <c r="H83" s="84">
        <v>0</v>
      </c>
      <c r="I83" s="109">
        <f t="shared" ref="I83:I98" si="33">(SUM($H$72:$H$99)/20)</f>
        <v>3.8895477833370378</v>
      </c>
      <c r="J83" s="85">
        <f t="shared" si="32"/>
        <v>6.6507287651664253</v>
      </c>
      <c r="K83" s="129">
        <f t="shared" si="23"/>
        <v>10.540276548503464</v>
      </c>
      <c r="L83" s="85">
        <f t="shared" ref="L83:L98" si="34">VLOOKUP($B$73,A$1:F$19,5,FALSE)/20</f>
        <v>41.049805303170771</v>
      </c>
      <c r="M83" s="130">
        <f t="shared" si="24"/>
        <v>51.590081851674235</v>
      </c>
      <c r="N83" s="8">
        <f t="shared" si="25"/>
        <v>725.68037814929153</v>
      </c>
      <c r="O83" s="84">
        <f t="shared" si="26"/>
        <v>674.09029629761733</v>
      </c>
    </row>
    <row r="84" spans="1:15" x14ac:dyDescent="0.2">
      <c r="A84" s="96" t="s">
        <v>59</v>
      </c>
      <c r="B84" s="81" t="str">
        <f t="shared" si="31"/>
        <v>Q3/2017</v>
      </c>
      <c r="C84" s="82">
        <f t="shared" si="29"/>
        <v>42917</v>
      </c>
      <c r="D84" s="82">
        <f t="shared" si="30"/>
        <v>43008</v>
      </c>
      <c r="E84" s="81">
        <f t="shared" si="27"/>
        <v>92</v>
      </c>
      <c r="F84" s="83">
        <f>VLOOKUP(D84,'FERC Interest Rate'!$A:$B,2,TRUE)</f>
        <v>3.9600000000000003E-2</v>
      </c>
      <c r="G84" s="84">
        <f t="shared" si="28"/>
        <v>674.09029629761733</v>
      </c>
      <c r="H84" s="84">
        <v>0</v>
      </c>
      <c r="I84" s="109">
        <f t="shared" si="33"/>
        <v>3.8895477833370378</v>
      </c>
      <c r="J84" s="85">
        <f t="shared" si="32"/>
        <v>6.7283445684150136</v>
      </c>
      <c r="K84" s="129">
        <f t="shared" si="23"/>
        <v>10.617892351752051</v>
      </c>
      <c r="L84" s="85">
        <f t="shared" si="34"/>
        <v>41.049805303170771</v>
      </c>
      <c r="M84" s="130">
        <f t="shared" si="24"/>
        <v>51.667697654922819</v>
      </c>
      <c r="N84" s="8">
        <f t="shared" si="25"/>
        <v>680.8186408660323</v>
      </c>
      <c r="O84" s="84">
        <f t="shared" si="26"/>
        <v>629.15094321110951</v>
      </c>
    </row>
    <row r="85" spans="1:15" x14ac:dyDescent="0.2">
      <c r="A85" s="96" t="s">
        <v>60</v>
      </c>
      <c r="B85" s="81" t="str">
        <f t="shared" si="31"/>
        <v>Q4/2017</v>
      </c>
      <c r="C85" s="82">
        <f t="shared" si="29"/>
        <v>43009</v>
      </c>
      <c r="D85" s="82">
        <f t="shared" si="30"/>
        <v>43100</v>
      </c>
      <c r="E85" s="81">
        <f t="shared" si="27"/>
        <v>92</v>
      </c>
      <c r="F85" s="83">
        <f>VLOOKUP(D85,'FERC Interest Rate'!$A:$B,2,TRUE)</f>
        <v>4.2099999999999999E-2</v>
      </c>
      <c r="G85" s="84">
        <f t="shared" si="28"/>
        <v>629.15094321110951</v>
      </c>
      <c r="H85" s="84">
        <v>0</v>
      </c>
      <c r="I85" s="109">
        <f t="shared" si="33"/>
        <v>3.8895477833370378</v>
      </c>
      <c r="J85" s="85">
        <f t="shared" si="32"/>
        <v>6.6762395431377248</v>
      </c>
      <c r="K85" s="129">
        <f t="shared" si="23"/>
        <v>10.565787326474762</v>
      </c>
      <c r="L85" s="85">
        <f t="shared" si="34"/>
        <v>41.049805303170771</v>
      </c>
      <c r="M85" s="130">
        <f t="shared" si="24"/>
        <v>51.615592629645533</v>
      </c>
      <c r="N85" s="8">
        <f t="shared" si="25"/>
        <v>635.82718275424725</v>
      </c>
      <c r="O85" s="84">
        <f t="shared" si="26"/>
        <v>584.21159012460168</v>
      </c>
    </row>
    <row r="86" spans="1:15" x14ac:dyDescent="0.2">
      <c r="A86" s="96" t="s">
        <v>61</v>
      </c>
      <c r="B86" s="81" t="str">
        <f t="shared" si="31"/>
        <v>Q1/2018</v>
      </c>
      <c r="C86" s="82">
        <f t="shared" si="29"/>
        <v>43101</v>
      </c>
      <c r="D86" s="82">
        <f t="shared" si="30"/>
        <v>43190</v>
      </c>
      <c r="E86" s="81">
        <f t="shared" si="27"/>
        <v>90</v>
      </c>
      <c r="F86" s="83">
        <f>VLOOKUP(D86,'FERC Interest Rate'!$A:$B,2,TRUE)</f>
        <v>4.2500000000000003E-2</v>
      </c>
      <c r="G86" s="84">
        <f t="shared" si="28"/>
        <v>584.21159012460168</v>
      </c>
      <c r="H86" s="84">
        <v>0</v>
      </c>
      <c r="I86" s="109">
        <f t="shared" si="33"/>
        <v>3.8895477833370378</v>
      </c>
      <c r="J86" s="85">
        <f t="shared" si="32"/>
        <v>6.1222173485660312</v>
      </c>
      <c r="K86" s="129">
        <f t="shared" si="23"/>
        <v>10.011765131903068</v>
      </c>
      <c r="L86" s="85">
        <f t="shared" si="34"/>
        <v>41.049805303170771</v>
      </c>
      <c r="M86" s="130">
        <f t="shared" si="24"/>
        <v>51.06157043507384</v>
      </c>
      <c r="N86" s="8">
        <f t="shared" si="25"/>
        <v>590.33380747316767</v>
      </c>
      <c r="O86" s="84">
        <f t="shared" si="26"/>
        <v>539.27223703809386</v>
      </c>
    </row>
    <row r="87" spans="1:15" x14ac:dyDescent="0.2">
      <c r="A87" s="96" t="s">
        <v>62</v>
      </c>
      <c r="B87" s="81" t="str">
        <f t="shared" si="31"/>
        <v>Q2/2018</v>
      </c>
      <c r="C87" s="82">
        <f t="shared" si="29"/>
        <v>43191</v>
      </c>
      <c r="D87" s="82">
        <f t="shared" si="30"/>
        <v>43281</v>
      </c>
      <c r="E87" s="81">
        <f t="shared" si="27"/>
        <v>91</v>
      </c>
      <c r="F87" s="83">
        <f>VLOOKUP(D87,'FERC Interest Rate'!$A:$B,2,TRUE)</f>
        <v>4.4699999999999997E-2</v>
      </c>
      <c r="G87" s="84">
        <f t="shared" si="28"/>
        <v>539.27223703809386</v>
      </c>
      <c r="H87" s="84">
        <v>0</v>
      </c>
      <c r="I87" s="109">
        <f t="shared" si="33"/>
        <v>3.8895477833370378</v>
      </c>
      <c r="J87" s="85">
        <f t="shared" si="32"/>
        <v>6.0098566536982307</v>
      </c>
      <c r="K87" s="129">
        <f t="shared" si="23"/>
        <v>9.899404437035269</v>
      </c>
      <c r="L87" s="85">
        <f t="shared" si="34"/>
        <v>41.049805303170771</v>
      </c>
      <c r="M87" s="130">
        <f t="shared" si="24"/>
        <v>50.949209740206044</v>
      </c>
      <c r="N87" s="8">
        <f t="shared" si="25"/>
        <v>545.28209369179206</v>
      </c>
      <c r="O87" s="84">
        <f t="shared" si="26"/>
        <v>494.33288395158604</v>
      </c>
    </row>
    <row r="88" spans="1:15" x14ac:dyDescent="0.2">
      <c r="A88" s="96" t="s">
        <v>63</v>
      </c>
      <c r="B88" s="81" t="str">
        <f t="shared" si="31"/>
        <v>Q3/2018</v>
      </c>
      <c r="C88" s="82">
        <f t="shared" si="29"/>
        <v>43282</v>
      </c>
      <c r="D88" s="82">
        <f t="shared" si="30"/>
        <v>43373</v>
      </c>
      <c r="E88" s="81">
        <f t="shared" si="27"/>
        <v>92</v>
      </c>
      <c r="F88" s="83">
        <f>VLOOKUP(D88,'FERC Interest Rate'!$A:$B,2,TRUE)</f>
        <v>5.011111E-2</v>
      </c>
      <c r="G88" s="84">
        <f t="shared" si="28"/>
        <v>494.33288395158604</v>
      </c>
      <c r="H88" s="84">
        <v>0</v>
      </c>
      <c r="I88" s="109">
        <f t="shared" si="33"/>
        <v>3.8895477833370378</v>
      </c>
      <c r="J88" s="85">
        <f t="shared" si="32"/>
        <v>6.2437928664027265</v>
      </c>
      <c r="K88" s="129">
        <f t="shared" si="23"/>
        <v>10.133340649739765</v>
      </c>
      <c r="L88" s="85">
        <f t="shared" si="34"/>
        <v>41.049805303170771</v>
      </c>
      <c r="M88" s="130">
        <f t="shared" si="24"/>
        <v>51.183145952910536</v>
      </c>
      <c r="N88" s="8">
        <f t="shared" si="25"/>
        <v>500.57667681798875</v>
      </c>
      <c r="O88" s="84">
        <f t="shared" si="26"/>
        <v>449.39353086507822</v>
      </c>
    </row>
    <row r="89" spans="1:15" x14ac:dyDescent="0.2">
      <c r="A89" s="96" t="s">
        <v>64</v>
      </c>
      <c r="B89" s="81" t="str">
        <f t="shared" si="31"/>
        <v>Q4/2018</v>
      </c>
      <c r="C89" s="82">
        <f t="shared" si="29"/>
        <v>43374</v>
      </c>
      <c r="D89" s="82">
        <f t="shared" si="30"/>
        <v>43465</v>
      </c>
      <c r="E89" s="81">
        <f t="shared" si="27"/>
        <v>92</v>
      </c>
      <c r="F89" s="83">
        <f>VLOOKUP(D89,'FERC Interest Rate'!$A:$B,2,TRUE)</f>
        <v>5.2822580000000001E-2</v>
      </c>
      <c r="G89" s="84">
        <f t="shared" si="28"/>
        <v>449.39353086507822</v>
      </c>
      <c r="H89" s="84">
        <v>0</v>
      </c>
      <c r="I89" s="109">
        <f t="shared" si="33"/>
        <v>3.8895477833370378</v>
      </c>
      <c r="J89" s="85">
        <f t="shared" si="32"/>
        <v>5.9833084045903613</v>
      </c>
      <c r="K89" s="129">
        <f t="shared" si="23"/>
        <v>9.8728561879273986</v>
      </c>
      <c r="L89" s="85">
        <f t="shared" si="34"/>
        <v>41.049805303170771</v>
      </c>
      <c r="M89" s="130">
        <f t="shared" si="24"/>
        <v>50.922661491098168</v>
      </c>
      <c r="N89" s="8">
        <f t="shared" si="25"/>
        <v>455.37683926966861</v>
      </c>
      <c r="O89" s="84">
        <f t="shared" si="26"/>
        <v>404.4541777785704</v>
      </c>
    </row>
    <row r="90" spans="1:15" x14ac:dyDescent="0.2">
      <c r="A90" s="96" t="s">
        <v>65</v>
      </c>
      <c r="B90" s="81" t="str">
        <f t="shared" si="31"/>
        <v>Q1/2019</v>
      </c>
      <c r="C90" s="82">
        <f t="shared" si="29"/>
        <v>43466</v>
      </c>
      <c r="D90" s="82">
        <f t="shared" si="30"/>
        <v>43555</v>
      </c>
      <c r="E90" s="81">
        <f t="shared" si="27"/>
        <v>90</v>
      </c>
      <c r="F90" s="83">
        <f>VLOOKUP(D90,'FERC Interest Rate'!$A:$B,2,TRUE)</f>
        <v>5.5296770000000002E-2</v>
      </c>
      <c r="G90" s="84">
        <f t="shared" si="28"/>
        <v>404.4541777785704</v>
      </c>
      <c r="H90" s="84">
        <v>0</v>
      </c>
      <c r="I90" s="109">
        <f t="shared" si="33"/>
        <v>3.8895477833370378</v>
      </c>
      <c r="J90" s="85">
        <f t="shared" si="32"/>
        <v>5.5146599122588071</v>
      </c>
      <c r="K90" s="129">
        <f t="shared" si="23"/>
        <v>9.4042076955958454</v>
      </c>
      <c r="L90" s="85">
        <f t="shared" si="34"/>
        <v>41.049805303170771</v>
      </c>
      <c r="M90" s="130">
        <f t="shared" si="24"/>
        <v>50.454012998766615</v>
      </c>
      <c r="N90" s="8">
        <f t="shared" si="25"/>
        <v>409.96883769082922</v>
      </c>
      <c r="O90" s="84">
        <f t="shared" si="26"/>
        <v>359.51482469206258</v>
      </c>
    </row>
    <row r="91" spans="1:15" x14ac:dyDescent="0.2">
      <c r="A91" s="96" t="s">
        <v>66</v>
      </c>
      <c r="B91" s="81" t="str">
        <f t="shared" si="31"/>
        <v>Q2/2019</v>
      </c>
      <c r="C91" s="82">
        <f t="shared" si="29"/>
        <v>43556</v>
      </c>
      <c r="D91" s="82">
        <f t="shared" si="30"/>
        <v>43646</v>
      </c>
      <c r="E91" s="81">
        <f t="shared" si="27"/>
        <v>91</v>
      </c>
      <c r="F91" s="83">
        <f>VLOOKUP(D91,'FERC Interest Rate'!$A:$B,2,TRUE)</f>
        <v>5.7999999999999996E-2</v>
      </c>
      <c r="G91" s="84">
        <f t="shared" si="28"/>
        <v>359.51482469206258</v>
      </c>
      <c r="H91" s="84">
        <v>0</v>
      </c>
      <c r="I91" s="109">
        <f t="shared" si="33"/>
        <v>3.8895477833370378</v>
      </c>
      <c r="J91" s="85">
        <f t="shared" si="32"/>
        <v>5.198682862259469</v>
      </c>
      <c r="K91" s="129">
        <f t="shared" si="23"/>
        <v>9.0882306455965072</v>
      </c>
      <c r="L91" s="85">
        <f t="shared" si="34"/>
        <v>41.049805303170771</v>
      </c>
      <c r="M91" s="130">
        <f t="shared" si="24"/>
        <v>50.138035948767282</v>
      </c>
      <c r="N91" s="8">
        <f t="shared" si="25"/>
        <v>364.71350755432206</v>
      </c>
      <c r="O91" s="84">
        <f t="shared" si="26"/>
        <v>314.57547160555475</v>
      </c>
    </row>
    <row r="92" spans="1:15" x14ac:dyDescent="0.2">
      <c r="A92" s="96" t="s">
        <v>67</v>
      </c>
      <c r="B92" s="81" t="str">
        <f t="shared" si="31"/>
        <v>Q3/2019</v>
      </c>
      <c r="C92" s="82">
        <f t="shared" si="29"/>
        <v>43647</v>
      </c>
      <c r="D92" s="82">
        <f t="shared" si="30"/>
        <v>43738</v>
      </c>
      <c r="E92" s="81">
        <f t="shared" si="27"/>
        <v>92</v>
      </c>
      <c r="F92" s="83">
        <f>VLOOKUP(D92,'FERC Interest Rate'!$A:$B,2,TRUE)</f>
        <v>0.06</v>
      </c>
      <c r="G92" s="84">
        <f t="shared" si="28"/>
        <v>314.57547160555475</v>
      </c>
      <c r="H92" s="84">
        <v>0</v>
      </c>
      <c r="I92" s="109">
        <f t="shared" si="33"/>
        <v>3.8895477833370378</v>
      </c>
      <c r="J92" s="85">
        <f t="shared" si="32"/>
        <v>4.7574153514045543</v>
      </c>
      <c r="K92" s="129">
        <f t="shared" si="23"/>
        <v>8.6469631347415916</v>
      </c>
      <c r="L92" s="85">
        <f t="shared" si="34"/>
        <v>41.049805303170771</v>
      </c>
      <c r="M92" s="130">
        <f t="shared" si="24"/>
        <v>49.696768437912361</v>
      </c>
      <c r="N92" s="8">
        <f t="shared" si="25"/>
        <v>319.33288695695933</v>
      </c>
      <c r="O92" s="84">
        <f t="shared" si="26"/>
        <v>269.63611851904693</v>
      </c>
    </row>
    <row r="93" spans="1:15" x14ac:dyDescent="0.2">
      <c r="A93" s="96" t="s">
        <v>68</v>
      </c>
      <c r="B93" s="81" t="str">
        <f t="shared" si="31"/>
        <v>Q4/2019</v>
      </c>
      <c r="C93" s="82">
        <f t="shared" si="29"/>
        <v>43739</v>
      </c>
      <c r="D93" s="82">
        <f t="shared" si="30"/>
        <v>43830</v>
      </c>
      <c r="E93" s="81">
        <f t="shared" si="27"/>
        <v>92</v>
      </c>
      <c r="F93" s="83">
        <f>VLOOKUP(D93,'FERC Interest Rate'!$A:$B,2,TRUE)</f>
        <v>6.0349460000000001E-2</v>
      </c>
      <c r="G93" s="84">
        <f t="shared" si="28"/>
        <v>269.63611851904693</v>
      </c>
      <c r="H93" s="84">
        <v>0</v>
      </c>
      <c r="I93" s="109">
        <f t="shared" si="33"/>
        <v>3.8895477833370378</v>
      </c>
      <c r="J93" s="85">
        <f t="shared" si="32"/>
        <v>4.10153496361393</v>
      </c>
      <c r="K93" s="129">
        <f t="shared" si="23"/>
        <v>7.9910827469509673</v>
      </c>
      <c r="L93" s="85">
        <f t="shared" si="34"/>
        <v>41.049805303170771</v>
      </c>
      <c r="M93" s="130">
        <f t="shared" si="24"/>
        <v>49.040888050121737</v>
      </c>
      <c r="N93" s="8">
        <f t="shared" si="25"/>
        <v>273.73765348266085</v>
      </c>
      <c r="O93" s="84">
        <f t="shared" si="26"/>
        <v>224.69676543253911</v>
      </c>
    </row>
    <row r="94" spans="1:15" x14ac:dyDescent="0.2">
      <c r="A94" s="96" t="s">
        <v>69</v>
      </c>
      <c r="B94" s="81" t="str">
        <f t="shared" si="31"/>
        <v>Q1/2020</v>
      </c>
      <c r="C94" s="82">
        <f t="shared" si="29"/>
        <v>43831</v>
      </c>
      <c r="D94" s="82">
        <f t="shared" si="30"/>
        <v>43921</v>
      </c>
      <c r="E94" s="81">
        <f t="shared" si="27"/>
        <v>91</v>
      </c>
      <c r="F94" s="83">
        <f>VLOOKUP(D94,'FERC Interest Rate'!$A:$B,2,TRUE)</f>
        <v>6.2501040000000008E-2</v>
      </c>
      <c r="G94" s="84">
        <f t="shared" si="28"/>
        <v>224.69676543253911</v>
      </c>
      <c r="H94" s="84">
        <v>0</v>
      </c>
      <c r="I94" s="109">
        <f t="shared" si="33"/>
        <v>3.8895477833370378</v>
      </c>
      <c r="J94" s="85">
        <f t="shared" si="32"/>
        <v>3.4917598871569591</v>
      </c>
      <c r="K94" s="129">
        <f t="shared" si="23"/>
        <v>7.3813076704939968</v>
      </c>
      <c r="L94" s="85">
        <f t="shared" si="34"/>
        <v>41.049805303170771</v>
      </c>
      <c r="M94" s="130">
        <f t="shared" si="24"/>
        <v>48.431112973664767</v>
      </c>
      <c r="N94" s="8">
        <f t="shared" si="25"/>
        <v>228.18852531969605</v>
      </c>
      <c r="O94" s="84">
        <f t="shared" si="26"/>
        <v>179.75741234603129</v>
      </c>
    </row>
    <row r="95" spans="1:15" x14ac:dyDescent="0.2">
      <c r="A95" s="96" t="s">
        <v>70</v>
      </c>
      <c r="B95" s="81" t="str">
        <f t="shared" si="31"/>
        <v>Q2/2020</v>
      </c>
      <c r="C95" s="82">
        <f t="shared" si="29"/>
        <v>43922</v>
      </c>
      <c r="D95" s="82">
        <f t="shared" si="30"/>
        <v>44012</v>
      </c>
      <c r="E95" s="81">
        <f t="shared" si="27"/>
        <v>91</v>
      </c>
      <c r="F95" s="83">
        <f>VLOOKUP(D95,'FERC Interest Rate'!$A:$B,2,TRUE)</f>
        <v>6.3055559999999997E-2</v>
      </c>
      <c r="G95" s="84">
        <f t="shared" si="28"/>
        <v>179.75741234603129</v>
      </c>
      <c r="H95" s="84">
        <v>0</v>
      </c>
      <c r="I95" s="109">
        <f t="shared" si="33"/>
        <v>3.8895477833370378</v>
      </c>
      <c r="J95" s="85">
        <f t="shared" si="32"/>
        <v>2.8181915061921377</v>
      </c>
      <c r="K95" s="129">
        <f t="shared" si="23"/>
        <v>6.7077392895291759</v>
      </c>
      <c r="L95" s="85">
        <f t="shared" si="34"/>
        <v>41.049805303170771</v>
      </c>
      <c r="M95" s="130">
        <f t="shared" si="24"/>
        <v>47.757544592699944</v>
      </c>
      <c r="N95" s="8">
        <f t="shared" si="25"/>
        <v>182.57560385222342</v>
      </c>
      <c r="O95" s="84">
        <f t="shared" si="26"/>
        <v>134.81805925952347</v>
      </c>
    </row>
    <row r="96" spans="1:15" x14ac:dyDescent="0.2">
      <c r="A96" s="96" t="s">
        <v>71</v>
      </c>
      <c r="B96" s="81" t="str">
        <f t="shared" si="31"/>
        <v>Q3/2020</v>
      </c>
      <c r="C96" s="82">
        <f t="shared" si="29"/>
        <v>44013</v>
      </c>
      <c r="D96" s="82">
        <f t="shared" si="30"/>
        <v>44104</v>
      </c>
      <c r="E96" s="81">
        <f t="shared" si="27"/>
        <v>92</v>
      </c>
      <c r="F96" s="83">
        <f>VLOOKUP(D96,'FERC Interest Rate'!$A:$B,2,TRUE)</f>
        <v>6.5000000000000002E-2</v>
      </c>
      <c r="G96" s="84">
        <f t="shared" si="28"/>
        <v>134.81805925952347</v>
      </c>
      <c r="H96" s="84">
        <v>0</v>
      </c>
      <c r="I96" s="109">
        <f t="shared" si="33"/>
        <v>3.8895477833370378</v>
      </c>
      <c r="J96" s="85">
        <f t="shared" si="32"/>
        <v>2.2027650119452193</v>
      </c>
      <c r="K96" s="129">
        <f t="shared" si="23"/>
        <v>6.0923127952822576</v>
      </c>
      <c r="L96" s="85">
        <f t="shared" si="34"/>
        <v>41.049805303170771</v>
      </c>
      <c r="M96" s="130">
        <f t="shared" si="24"/>
        <v>47.142118098453025</v>
      </c>
      <c r="N96" s="8">
        <f t="shared" si="25"/>
        <v>137.02082427146868</v>
      </c>
      <c r="O96" s="84">
        <f t="shared" si="26"/>
        <v>89.878706173015658</v>
      </c>
    </row>
    <row r="97" spans="1:15" x14ac:dyDescent="0.2">
      <c r="A97" s="96" t="s">
        <v>72</v>
      </c>
      <c r="B97" s="81" t="str">
        <f t="shared" si="31"/>
        <v>Q4/2020</v>
      </c>
      <c r="C97" s="82">
        <f t="shared" si="29"/>
        <v>44105</v>
      </c>
      <c r="D97" s="82">
        <f t="shared" si="30"/>
        <v>44196</v>
      </c>
      <c r="E97" s="81">
        <f t="shared" si="27"/>
        <v>92</v>
      </c>
      <c r="F97" s="83">
        <f>VLOOKUP(D97,'FERC Interest Rate'!$A:$B,2,TRUE)</f>
        <v>6.5000000000000002E-2</v>
      </c>
      <c r="G97" s="84">
        <f t="shared" si="28"/>
        <v>89.878706173015658</v>
      </c>
      <c r="H97" s="84">
        <v>0</v>
      </c>
      <c r="I97" s="109">
        <f t="shared" si="33"/>
        <v>3.8895477833370378</v>
      </c>
      <c r="J97" s="85">
        <f t="shared" si="32"/>
        <v>1.4685100079634799</v>
      </c>
      <c r="K97" s="129">
        <f t="shared" si="23"/>
        <v>5.3580577913005172</v>
      </c>
      <c r="L97" s="85">
        <f t="shared" si="34"/>
        <v>41.049805303170771</v>
      </c>
      <c r="M97" s="130">
        <f t="shared" si="24"/>
        <v>46.407863094471288</v>
      </c>
      <c r="N97" s="8">
        <f t="shared" si="25"/>
        <v>91.347216180979132</v>
      </c>
      <c r="O97" s="84">
        <f t="shared" si="26"/>
        <v>44.93935308650785</v>
      </c>
    </row>
    <row r="98" spans="1:15" x14ac:dyDescent="0.2">
      <c r="A98" s="96" t="s">
        <v>73</v>
      </c>
      <c r="B98" s="81" t="str">
        <f t="shared" si="31"/>
        <v>Q1/2021</v>
      </c>
      <c r="C98" s="82">
        <f t="shared" si="29"/>
        <v>44197</v>
      </c>
      <c r="D98" s="82">
        <f t="shared" si="30"/>
        <v>44286</v>
      </c>
      <c r="E98" s="81">
        <f t="shared" si="27"/>
        <v>90</v>
      </c>
      <c r="F98" s="83">
        <f>VLOOKUP(D98,'FERC Interest Rate'!$A:$B,2,TRUE)</f>
        <v>6.5000000000000002E-2</v>
      </c>
      <c r="G98" s="84">
        <f t="shared" si="28"/>
        <v>44.93935308650785</v>
      </c>
      <c r="H98" s="84">
        <v>0</v>
      </c>
      <c r="I98" s="109">
        <f t="shared" si="33"/>
        <v>3.8895477833370378</v>
      </c>
      <c r="J98" s="85">
        <f t="shared" si="32"/>
        <v>0.72026086453718063</v>
      </c>
      <c r="K98" s="129">
        <f t="shared" si="23"/>
        <v>4.6098086478742184</v>
      </c>
      <c r="L98" s="85">
        <f t="shared" si="34"/>
        <v>41.049805303170771</v>
      </c>
      <c r="M98" s="130">
        <f t="shared" si="24"/>
        <v>45.659613951044989</v>
      </c>
      <c r="N98" s="8">
        <f t="shared" si="25"/>
        <v>45.659613951045031</v>
      </c>
      <c r="O98" s="84">
        <f t="shared" si="26"/>
        <v>4.1300296516055823E-14</v>
      </c>
    </row>
    <row r="99" spans="1:15" x14ac:dyDescent="0.2">
      <c r="B99" s="81"/>
      <c r="C99" s="82"/>
      <c r="D99" s="82"/>
      <c r="E99" s="81"/>
      <c r="F99" s="83"/>
      <c r="G99" s="84"/>
      <c r="H99" s="84"/>
      <c r="I99" s="109"/>
      <c r="J99" s="85"/>
      <c r="K99" s="129"/>
      <c r="L99" s="85"/>
      <c r="M99" s="130"/>
      <c r="N99" s="8"/>
      <c r="O99" s="84"/>
    </row>
    <row r="100" spans="1:15" ht="13.5" thickBot="1" x14ac:dyDescent="0.25">
      <c r="A100" s="151"/>
      <c r="B100" s="152"/>
      <c r="C100" s="153"/>
      <c r="D100" s="153"/>
      <c r="E100" s="154"/>
      <c r="F100" s="152"/>
      <c r="G100" s="144">
        <f>+SUM(G72:G99)</f>
        <v>15514.795654210377</v>
      </c>
      <c r="H100" s="144">
        <f t="shared" ref="H100:O100" si="35">+SUM(H72:H99)</f>
        <v>77.790955666740757</v>
      </c>
      <c r="I100" s="138">
        <f t="shared" si="35"/>
        <v>77.790955666740743</v>
      </c>
      <c r="J100" s="137">
        <f t="shared" si="35"/>
        <v>82.378555749278888</v>
      </c>
      <c r="K100" s="137">
        <f t="shared" si="35"/>
        <v>160.16951141601967</v>
      </c>
      <c r="L100" s="137">
        <f t="shared" si="35"/>
        <v>820.99610606341525</v>
      </c>
      <c r="M100" s="139">
        <f t="shared" si="35"/>
        <v>981.16561747943524</v>
      </c>
      <c r="N100" s="137">
        <f t="shared" si="35"/>
        <v>15674.9651656264</v>
      </c>
      <c r="O100" s="137">
        <f t="shared" si="35"/>
        <v>14693.799548146961</v>
      </c>
    </row>
    <row r="101" spans="1:15" ht="13.5" thickTop="1" x14ac:dyDescent="0.2">
      <c r="B101" s="11"/>
      <c r="C101" s="98"/>
      <c r="D101" s="98"/>
      <c r="E101" s="10"/>
      <c r="F101" s="11"/>
      <c r="G101" s="85"/>
      <c r="H101" s="85"/>
      <c r="I101" s="132"/>
      <c r="J101" s="70"/>
      <c r="K101" s="129"/>
      <c r="L101" s="70"/>
      <c r="M101" s="130"/>
      <c r="N101" s="8"/>
    </row>
    <row r="102" spans="1:15" x14ac:dyDescent="0.2">
      <c r="B102" s="11"/>
      <c r="C102" s="98"/>
      <c r="D102" s="98"/>
      <c r="E102" s="10"/>
      <c r="F102" s="11"/>
      <c r="G102" s="85"/>
      <c r="H102" s="85"/>
      <c r="I102" s="132"/>
      <c r="J102" s="70"/>
      <c r="K102" s="129"/>
      <c r="L102" s="70"/>
      <c r="M102" s="130"/>
      <c r="N102" s="8"/>
    </row>
    <row r="103" spans="1:15" ht="38.25" x14ac:dyDescent="0.2">
      <c r="A103" s="90" t="s">
        <v>53</v>
      </c>
      <c r="B103" s="90" t="s">
        <v>3</v>
      </c>
      <c r="C103" s="90" t="s">
        <v>4</v>
      </c>
      <c r="D103" s="90" t="s">
        <v>5</v>
      </c>
      <c r="E103" s="90" t="s">
        <v>6</v>
      </c>
      <c r="F103" s="90" t="s">
        <v>7</v>
      </c>
      <c r="G103" s="90" t="s">
        <v>93</v>
      </c>
      <c r="H103" s="90" t="s">
        <v>94</v>
      </c>
      <c r="I103" s="105" t="s">
        <v>95</v>
      </c>
      <c r="J103" s="106" t="s">
        <v>96</v>
      </c>
      <c r="K103" s="106" t="s">
        <v>97</v>
      </c>
      <c r="L103" s="106" t="s">
        <v>98</v>
      </c>
      <c r="M103" s="107" t="s">
        <v>99</v>
      </c>
      <c r="N103" s="90" t="s">
        <v>100</v>
      </c>
      <c r="O103" s="90" t="s">
        <v>101</v>
      </c>
    </row>
    <row r="104" spans="1:15" x14ac:dyDescent="0.2">
      <c r="A104" s="309" t="s">
        <v>15</v>
      </c>
      <c r="B104" s="309"/>
      <c r="C104" s="282">
        <f>VLOOKUP(B105,A$1:F$19,2,FALSE)</f>
        <v>41831</v>
      </c>
      <c r="D104" s="282">
        <f>DATE(YEAR(C104),IF(MONTH(C104)&lt;=3,3,IF(MONTH(C104)&lt;=6,6,IF(MONTH(C104)&lt;=9,9,12))),IF(OR(MONTH(C104)&lt;=3,MONTH(C104)&gt;=10),31,30))</f>
        <v>41912</v>
      </c>
      <c r="E104" s="283">
        <f>D104-C104+1</f>
        <v>82</v>
      </c>
      <c r="F104" s="284">
        <f>VLOOKUP(D104,'FERC Interest Rate'!$A:$B,2,TRUE)</f>
        <v>3.2500000000000001E-2</v>
      </c>
      <c r="G104" s="167">
        <f>VLOOKUP(B105,$A$1:$F$23,5,FALSE)</f>
        <v>1709.5604178255765</v>
      </c>
      <c r="H104" s="167">
        <f t="shared" ref="H104:H114" si="36">G104*F104*(E104/(DATE(YEAR(D104),12,31)-DATE(YEAR(D104),1,1)+1))</f>
        <v>12.482132913712769</v>
      </c>
      <c r="I104" s="291">
        <v>0</v>
      </c>
      <c r="J104" s="286">
        <v>0</v>
      </c>
      <c r="K104" s="288">
        <f>+SUM(I104:J104)</f>
        <v>0</v>
      </c>
      <c r="L104" s="286">
        <v>0</v>
      </c>
      <c r="M104" s="289">
        <f>+SUM(K104:L104)</f>
        <v>0</v>
      </c>
      <c r="N104" s="290">
        <f>+G104+H104+J104</f>
        <v>1722.0425507392893</v>
      </c>
      <c r="O104" s="167">
        <f t="shared" ref="O104:O130" si="37">G104+H104-L104-I104</f>
        <v>1722.0425507392893</v>
      </c>
    </row>
    <row r="105" spans="1:15" x14ac:dyDescent="0.2">
      <c r="A105" s="275" t="s">
        <v>38</v>
      </c>
      <c r="B105" s="276" t="s">
        <v>55</v>
      </c>
      <c r="C105" s="282">
        <f>D104+1</f>
        <v>41913</v>
      </c>
      <c r="D105" s="282">
        <f>EOMONTH(D104,3)</f>
        <v>42004</v>
      </c>
      <c r="E105" s="283">
        <f t="shared" ref="E105:E130" si="38">D105-C105+1</f>
        <v>92</v>
      </c>
      <c r="F105" s="284">
        <f>VLOOKUP(D105,'FERC Interest Rate'!$A:$B,2,TRUE)</f>
        <v>3.2500000000000001E-2</v>
      </c>
      <c r="G105" s="167">
        <f t="shared" ref="G105:G130" si="39">O104</f>
        <v>1722.0425507392893</v>
      </c>
      <c r="H105" s="167">
        <f t="shared" si="36"/>
        <v>14.106595141672535</v>
      </c>
      <c r="I105" s="291">
        <v>0</v>
      </c>
      <c r="J105" s="286">
        <v>0</v>
      </c>
      <c r="K105" s="288">
        <f t="shared" ref="K105:K130" si="40">+SUM(I105:J105)</f>
        <v>0</v>
      </c>
      <c r="L105" s="286">
        <v>0</v>
      </c>
      <c r="M105" s="289">
        <f t="shared" ref="M105:M130" si="41">+SUM(K105:L105)</f>
        <v>0</v>
      </c>
      <c r="N105" s="290">
        <f t="shared" ref="N105:N130" si="42">+G105+H105+J105</f>
        <v>1736.1491458809619</v>
      </c>
      <c r="O105" s="167">
        <f t="shared" si="37"/>
        <v>1736.1491458809619</v>
      </c>
    </row>
    <row r="106" spans="1:15" x14ac:dyDescent="0.2">
      <c r="B106" s="283"/>
      <c r="C106" s="282">
        <f t="shared" ref="C106:C130" si="43">D105+1</f>
        <v>42005</v>
      </c>
      <c r="D106" s="282">
        <f t="shared" ref="D106:D130" si="44">EOMONTH(D105,3)</f>
        <v>42094</v>
      </c>
      <c r="E106" s="283">
        <f t="shared" si="38"/>
        <v>90</v>
      </c>
      <c r="F106" s="284">
        <f>VLOOKUP(D106,'FERC Interest Rate'!$A:$B,2,TRUE)</f>
        <v>3.2500000000000001E-2</v>
      </c>
      <c r="G106" s="167">
        <f t="shared" si="39"/>
        <v>1736.1491458809619</v>
      </c>
      <c r="H106" s="167">
        <f t="shared" si="36"/>
        <v>13.912976032059762</v>
      </c>
      <c r="I106" s="291">
        <v>0</v>
      </c>
      <c r="J106" s="286">
        <v>0</v>
      </c>
      <c r="K106" s="288">
        <f t="shared" si="40"/>
        <v>0</v>
      </c>
      <c r="L106" s="286">
        <v>0</v>
      </c>
      <c r="M106" s="289">
        <f t="shared" si="41"/>
        <v>0</v>
      </c>
      <c r="N106" s="290">
        <f t="shared" si="42"/>
        <v>1750.0621219130217</v>
      </c>
      <c r="O106" s="167">
        <f t="shared" si="37"/>
        <v>1750.0621219130217</v>
      </c>
    </row>
    <row r="107" spans="1:15" x14ac:dyDescent="0.2">
      <c r="B107" s="283"/>
      <c r="C107" s="282">
        <f t="shared" si="43"/>
        <v>42095</v>
      </c>
      <c r="D107" s="282">
        <f t="shared" si="44"/>
        <v>42185</v>
      </c>
      <c r="E107" s="283">
        <f t="shared" si="38"/>
        <v>91</v>
      </c>
      <c r="F107" s="284">
        <f>VLOOKUP(D107,'FERC Interest Rate'!$A:$B,2,TRUE)</f>
        <v>3.2500000000000001E-2</v>
      </c>
      <c r="G107" s="167">
        <f t="shared" si="39"/>
        <v>1750.0621219130217</v>
      </c>
      <c r="H107" s="167">
        <f t="shared" si="36"/>
        <v>14.180297878240443</v>
      </c>
      <c r="I107" s="291">
        <v>0</v>
      </c>
      <c r="J107" s="286">
        <v>0</v>
      </c>
      <c r="K107" s="288">
        <f t="shared" si="40"/>
        <v>0</v>
      </c>
      <c r="L107" s="286">
        <v>0</v>
      </c>
      <c r="M107" s="289">
        <f t="shared" si="41"/>
        <v>0</v>
      </c>
      <c r="N107" s="290">
        <f t="shared" si="42"/>
        <v>1764.2424197912621</v>
      </c>
      <c r="O107" s="167">
        <f t="shared" si="37"/>
        <v>1764.2424197912621</v>
      </c>
    </row>
    <row r="108" spans="1:15" x14ac:dyDescent="0.2">
      <c r="B108" s="283"/>
      <c r="C108" s="282">
        <f t="shared" si="43"/>
        <v>42186</v>
      </c>
      <c r="D108" s="282">
        <f t="shared" si="44"/>
        <v>42277</v>
      </c>
      <c r="E108" s="283">
        <f t="shared" si="38"/>
        <v>92</v>
      </c>
      <c r="F108" s="284">
        <f>VLOOKUP(D108,'FERC Interest Rate'!$A:$B,2,TRUE)</f>
        <v>3.2500000000000001E-2</v>
      </c>
      <c r="G108" s="167">
        <f t="shared" si="39"/>
        <v>1764.2424197912621</v>
      </c>
      <c r="H108" s="167">
        <f t="shared" si="36"/>
        <v>14.452287219659929</v>
      </c>
      <c r="I108" s="291">
        <v>0</v>
      </c>
      <c r="J108" s="286">
        <v>0</v>
      </c>
      <c r="K108" s="288">
        <f t="shared" si="40"/>
        <v>0</v>
      </c>
      <c r="L108" s="286">
        <v>0</v>
      </c>
      <c r="M108" s="289">
        <f t="shared" si="41"/>
        <v>0</v>
      </c>
      <c r="N108" s="290">
        <f t="shared" si="42"/>
        <v>1778.694707010922</v>
      </c>
      <c r="O108" s="167">
        <f t="shared" si="37"/>
        <v>1778.694707010922</v>
      </c>
    </row>
    <row r="109" spans="1:15" x14ac:dyDescent="0.2">
      <c r="B109" s="283"/>
      <c r="C109" s="282">
        <f t="shared" si="43"/>
        <v>42278</v>
      </c>
      <c r="D109" s="282">
        <f t="shared" si="44"/>
        <v>42369</v>
      </c>
      <c r="E109" s="283">
        <f t="shared" si="38"/>
        <v>92</v>
      </c>
      <c r="F109" s="284">
        <f>VLOOKUP(D109,'FERC Interest Rate'!$A:$B,2,TRUE)</f>
        <v>3.2500000000000001E-2</v>
      </c>
      <c r="G109" s="167">
        <f t="shared" si="39"/>
        <v>1778.694707010922</v>
      </c>
      <c r="H109" s="167">
        <f t="shared" si="36"/>
        <v>14.570677188938788</v>
      </c>
      <c r="I109" s="291">
        <v>0</v>
      </c>
      <c r="J109" s="286">
        <v>0</v>
      </c>
      <c r="K109" s="288">
        <f t="shared" si="40"/>
        <v>0</v>
      </c>
      <c r="L109" s="286">
        <v>0</v>
      </c>
      <c r="M109" s="289">
        <f t="shared" si="41"/>
        <v>0</v>
      </c>
      <c r="N109" s="290">
        <f t="shared" si="42"/>
        <v>1793.2653841998608</v>
      </c>
      <c r="O109" s="167">
        <f t="shared" si="37"/>
        <v>1793.2653841998608</v>
      </c>
    </row>
    <row r="110" spans="1:15" x14ac:dyDescent="0.2">
      <c r="B110" s="283"/>
      <c r="C110" s="282">
        <f t="shared" si="43"/>
        <v>42370</v>
      </c>
      <c r="D110" s="282">
        <f t="shared" si="44"/>
        <v>42460</v>
      </c>
      <c r="E110" s="283">
        <f t="shared" si="38"/>
        <v>91</v>
      </c>
      <c r="F110" s="284">
        <f>VLOOKUP(D110,'FERC Interest Rate'!$A:$B,2,TRUE)</f>
        <v>3.2500000000000001E-2</v>
      </c>
      <c r="G110" s="167">
        <f t="shared" si="39"/>
        <v>1793.2653841998608</v>
      </c>
      <c r="H110" s="167">
        <f t="shared" si="36"/>
        <v>14.490662223418274</v>
      </c>
      <c r="I110" s="291">
        <v>0</v>
      </c>
      <c r="J110" s="286">
        <v>0</v>
      </c>
      <c r="K110" s="288">
        <f t="shared" si="40"/>
        <v>0</v>
      </c>
      <c r="L110" s="286">
        <v>0</v>
      </c>
      <c r="M110" s="289">
        <f t="shared" si="41"/>
        <v>0</v>
      </c>
      <c r="N110" s="290">
        <f t="shared" si="42"/>
        <v>1807.756046423279</v>
      </c>
      <c r="O110" s="167">
        <f t="shared" si="37"/>
        <v>1807.756046423279</v>
      </c>
    </row>
    <row r="111" spans="1:15" x14ac:dyDescent="0.2">
      <c r="A111" s="96"/>
      <c r="B111" s="81"/>
      <c r="C111" s="82">
        <f t="shared" si="43"/>
        <v>42461</v>
      </c>
      <c r="D111" s="82">
        <f t="shared" si="44"/>
        <v>42551</v>
      </c>
      <c r="E111" s="81">
        <f t="shared" si="38"/>
        <v>91</v>
      </c>
      <c r="F111" s="83">
        <f>VLOOKUP(D111,'FERC Interest Rate'!$A:$B,2,TRUE)</f>
        <v>3.4599999999999999E-2</v>
      </c>
      <c r="G111" s="84">
        <f t="shared" si="39"/>
        <v>1807.756046423279</v>
      </c>
      <c r="H111" s="167">
        <f t="shared" si="36"/>
        <v>15.551641223410755</v>
      </c>
      <c r="I111" s="173">
        <v>0</v>
      </c>
      <c r="J111" s="286">
        <v>0</v>
      </c>
      <c r="K111" s="129">
        <f t="shared" si="40"/>
        <v>0</v>
      </c>
      <c r="L111" s="85">
        <v>0</v>
      </c>
      <c r="M111" s="130">
        <f t="shared" si="41"/>
        <v>0</v>
      </c>
      <c r="N111" s="8">
        <f t="shared" si="42"/>
        <v>1823.3076876466898</v>
      </c>
      <c r="O111" s="84">
        <f t="shared" si="37"/>
        <v>1823.3076876466898</v>
      </c>
    </row>
    <row r="112" spans="1:15" x14ac:dyDescent="0.2">
      <c r="A112" s="274"/>
      <c r="B112" s="81"/>
      <c r="C112" s="82">
        <f t="shared" si="43"/>
        <v>42552</v>
      </c>
      <c r="D112" s="82">
        <f t="shared" si="44"/>
        <v>42643</v>
      </c>
      <c r="E112" s="81">
        <f t="shared" si="38"/>
        <v>92</v>
      </c>
      <c r="F112" s="83">
        <f>VLOOKUP(D112,'FERC Interest Rate'!$A:$B,2,TRUE)</f>
        <v>3.5000000000000003E-2</v>
      </c>
      <c r="G112" s="84">
        <f t="shared" si="39"/>
        <v>1823.3076876466898</v>
      </c>
      <c r="H112" s="84">
        <f t="shared" si="36"/>
        <v>16.041122279296015</v>
      </c>
      <c r="I112" s="173">
        <v>0</v>
      </c>
      <c r="J112" s="85">
        <v>0</v>
      </c>
      <c r="K112" s="129">
        <f t="shared" si="40"/>
        <v>0</v>
      </c>
      <c r="L112" s="85">
        <v>0</v>
      </c>
      <c r="M112" s="130">
        <f t="shared" si="41"/>
        <v>0</v>
      </c>
      <c r="N112" s="8">
        <f t="shared" si="42"/>
        <v>1839.3488099259857</v>
      </c>
      <c r="O112" s="84">
        <f t="shared" si="37"/>
        <v>1839.3488099259857</v>
      </c>
    </row>
    <row r="113" spans="1:15" x14ac:dyDescent="0.2">
      <c r="A113" s="96"/>
      <c r="B113" s="81"/>
      <c r="C113" s="82">
        <f t="shared" si="43"/>
        <v>42644</v>
      </c>
      <c r="D113" s="82">
        <f t="shared" si="44"/>
        <v>42735</v>
      </c>
      <c r="E113" s="81">
        <f t="shared" si="38"/>
        <v>92</v>
      </c>
      <c r="F113" s="83">
        <f>VLOOKUP(D113,'FERC Interest Rate'!$A:$B,2,TRUE)</f>
        <v>3.5000000000000003E-2</v>
      </c>
      <c r="G113" s="84">
        <f t="shared" si="39"/>
        <v>1839.3488099259857</v>
      </c>
      <c r="H113" s="84">
        <f t="shared" si="36"/>
        <v>16.182249092791462</v>
      </c>
      <c r="I113" s="173">
        <v>0</v>
      </c>
      <c r="J113" s="85">
        <v>0</v>
      </c>
      <c r="K113" s="129">
        <f t="shared" si="40"/>
        <v>0</v>
      </c>
      <c r="L113" s="85">
        <v>0</v>
      </c>
      <c r="M113" s="130">
        <f t="shared" si="41"/>
        <v>0</v>
      </c>
      <c r="N113" s="8">
        <f t="shared" si="42"/>
        <v>1855.5310590187771</v>
      </c>
      <c r="O113" s="84">
        <f t="shared" si="37"/>
        <v>1855.5310590187771</v>
      </c>
    </row>
    <row r="114" spans="1:15" x14ac:dyDescent="0.2">
      <c r="A114" s="96" t="s">
        <v>102</v>
      </c>
      <c r="B114" s="81" t="str">
        <f t="shared" ref="B114:B130" si="45">+IF(MONTH(C114)&lt;4,"Q1",IF(MONTH(C114)&lt;7,"Q2",IF(MONTH(C114)&lt;10,"Q3","Q4")))&amp;"/"&amp;YEAR(C114)</f>
        <v>Q1/2017</v>
      </c>
      <c r="C114" s="82">
        <f t="shared" si="43"/>
        <v>42736</v>
      </c>
      <c r="D114" s="82">
        <f t="shared" si="44"/>
        <v>42825</v>
      </c>
      <c r="E114" s="81">
        <f t="shared" si="38"/>
        <v>90</v>
      </c>
      <c r="F114" s="83">
        <f>VLOOKUP(D114,'FERC Interest Rate'!$A:$B,2,TRUE)</f>
        <v>3.5000000000000003E-2</v>
      </c>
      <c r="G114" s="84">
        <f t="shared" si="39"/>
        <v>1855.5310590187771</v>
      </c>
      <c r="H114" s="84">
        <f t="shared" si="36"/>
        <v>16.0134872216689</v>
      </c>
      <c r="I114" s="109">
        <f>(SUM($H$104:$H$131)/20)*4</f>
        <v>32.396825682973926</v>
      </c>
      <c r="J114" s="85">
        <f t="shared" ref="J114:J130" si="46">G114*F114*(E114/(DATE(YEAR(D114),12,31)-DATE(YEAR(D114),1,1)+1))</f>
        <v>16.0134872216689</v>
      </c>
      <c r="K114" s="129">
        <f t="shared" si="40"/>
        <v>48.410312904642822</v>
      </c>
      <c r="L114" s="85">
        <f>VLOOKUP($B$105,A$1:F$19,5,FALSE)/20*4</f>
        <v>341.91208356511527</v>
      </c>
      <c r="M114" s="130">
        <f t="shared" si="41"/>
        <v>390.32239646975808</v>
      </c>
      <c r="N114" s="8">
        <f t="shared" si="42"/>
        <v>1887.5580334621147</v>
      </c>
      <c r="O114" s="84">
        <f t="shared" si="37"/>
        <v>1497.2356369923568</v>
      </c>
    </row>
    <row r="115" spans="1:15" x14ac:dyDescent="0.2">
      <c r="A115" s="96" t="s">
        <v>58</v>
      </c>
      <c r="B115" s="81" t="str">
        <f t="shared" si="45"/>
        <v>Q2/2017</v>
      </c>
      <c r="C115" s="82">
        <f t="shared" si="43"/>
        <v>42826</v>
      </c>
      <c r="D115" s="82">
        <f t="shared" si="44"/>
        <v>42916</v>
      </c>
      <c r="E115" s="81">
        <f t="shared" si="38"/>
        <v>91</v>
      </c>
      <c r="F115" s="83">
        <f>VLOOKUP(D115,'FERC Interest Rate'!$A:$B,2,TRUE)</f>
        <v>3.7100000000000001E-2</v>
      </c>
      <c r="G115" s="84">
        <f t="shared" si="39"/>
        <v>1497.2356369923568</v>
      </c>
      <c r="H115" s="84">
        <v>0</v>
      </c>
      <c r="I115" s="109">
        <f t="shared" ref="I115:I130" si="47">(SUM($H$104:$H$131)/20)</f>
        <v>8.0992064207434815</v>
      </c>
      <c r="J115" s="85">
        <f t="shared" si="46"/>
        <v>13.848814339862729</v>
      </c>
      <c r="K115" s="129">
        <f t="shared" si="40"/>
        <v>21.948020760606212</v>
      </c>
      <c r="L115" s="85">
        <f t="shared" ref="L115:L130" si="48">VLOOKUP($B$105,A$1:F$19,5,FALSE)/20</f>
        <v>85.478020891278817</v>
      </c>
      <c r="M115" s="130">
        <f t="shared" si="41"/>
        <v>107.42604165188503</v>
      </c>
      <c r="N115" s="8">
        <f t="shared" si="42"/>
        <v>1511.0844513322195</v>
      </c>
      <c r="O115" s="84">
        <f t="shared" si="37"/>
        <v>1403.6584096803344</v>
      </c>
    </row>
    <row r="116" spans="1:15" x14ac:dyDescent="0.2">
      <c r="A116" s="96" t="s">
        <v>59</v>
      </c>
      <c r="B116" s="81" t="str">
        <f t="shared" si="45"/>
        <v>Q3/2017</v>
      </c>
      <c r="C116" s="82">
        <f t="shared" si="43"/>
        <v>42917</v>
      </c>
      <c r="D116" s="82">
        <f t="shared" si="44"/>
        <v>43008</v>
      </c>
      <c r="E116" s="81">
        <f t="shared" si="38"/>
        <v>92</v>
      </c>
      <c r="F116" s="83">
        <f>VLOOKUP(D116,'FERC Interest Rate'!$A:$B,2,TRUE)</f>
        <v>3.9600000000000003E-2</v>
      </c>
      <c r="G116" s="84">
        <f t="shared" si="39"/>
        <v>1403.6584096803344</v>
      </c>
      <c r="H116" s="84">
        <v>0</v>
      </c>
      <c r="I116" s="109">
        <f t="shared" si="47"/>
        <v>8.0992064207434815</v>
      </c>
      <c r="J116" s="85">
        <f t="shared" si="46"/>
        <v>14.010433748349028</v>
      </c>
      <c r="K116" s="129">
        <f t="shared" si="40"/>
        <v>22.109640169092508</v>
      </c>
      <c r="L116" s="85">
        <f t="shared" si="48"/>
        <v>85.478020891278817</v>
      </c>
      <c r="M116" s="130">
        <f t="shared" si="41"/>
        <v>107.58766106037132</v>
      </c>
      <c r="N116" s="8">
        <f t="shared" si="42"/>
        <v>1417.6688434286834</v>
      </c>
      <c r="O116" s="84">
        <f t="shared" si="37"/>
        <v>1310.0811823683121</v>
      </c>
    </row>
    <row r="117" spans="1:15" x14ac:dyDescent="0.2">
      <c r="A117" s="96" t="s">
        <v>60</v>
      </c>
      <c r="B117" s="81" t="str">
        <f t="shared" si="45"/>
        <v>Q4/2017</v>
      </c>
      <c r="C117" s="82">
        <f t="shared" si="43"/>
        <v>43009</v>
      </c>
      <c r="D117" s="82">
        <f t="shared" si="44"/>
        <v>43100</v>
      </c>
      <c r="E117" s="81">
        <f t="shared" si="38"/>
        <v>92</v>
      </c>
      <c r="F117" s="83">
        <f>VLOOKUP(D117,'FERC Interest Rate'!$A:$B,2,TRUE)</f>
        <v>4.2099999999999999E-2</v>
      </c>
      <c r="G117" s="84">
        <f t="shared" si="39"/>
        <v>1310.0811823683121</v>
      </c>
      <c r="H117" s="84">
        <v>0</v>
      </c>
      <c r="I117" s="109">
        <f t="shared" si="47"/>
        <v>8.0992064207434815</v>
      </c>
      <c r="J117" s="85">
        <f t="shared" si="46"/>
        <v>13.901935439860127</v>
      </c>
      <c r="K117" s="129">
        <f t="shared" si="40"/>
        <v>22.00114186060361</v>
      </c>
      <c r="L117" s="85">
        <f t="shared" si="48"/>
        <v>85.478020891278817</v>
      </c>
      <c r="M117" s="130">
        <f t="shared" si="41"/>
        <v>107.47916275188243</v>
      </c>
      <c r="N117" s="8">
        <f t="shared" si="42"/>
        <v>1323.9831178081722</v>
      </c>
      <c r="O117" s="84">
        <f t="shared" si="37"/>
        <v>1216.5039550562897</v>
      </c>
    </row>
    <row r="118" spans="1:15" x14ac:dyDescent="0.2">
      <c r="A118" s="96" t="s">
        <v>61</v>
      </c>
      <c r="B118" s="81" t="str">
        <f t="shared" si="45"/>
        <v>Q1/2018</v>
      </c>
      <c r="C118" s="82">
        <f t="shared" si="43"/>
        <v>43101</v>
      </c>
      <c r="D118" s="82">
        <f t="shared" si="44"/>
        <v>43190</v>
      </c>
      <c r="E118" s="81">
        <f t="shared" si="38"/>
        <v>90</v>
      </c>
      <c r="F118" s="83">
        <f>VLOOKUP(D118,'FERC Interest Rate'!$A:$B,2,TRUE)</f>
        <v>4.2500000000000003E-2</v>
      </c>
      <c r="G118" s="84">
        <f t="shared" si="39"/>
        <v>1216.5039550562897</v>
      </c>
      <c r="H118" s="84">
        <v>0</v>
      </c>
      <c r="I118" s="109">
        <f t="shared" si="47"/>
        <v>8.0992064207434815</v>
      </c>
      <c r="J118" s="85">
        <f t="shared" si="46"/>
        <v>12.748294871480295</v>
      </c>
      <c r="K118" s="129">
        <f t="shared" si="40"/>
        <v>20.847501292223775</v>
      </c>
      <c r="L118" s="85">
        <f t="shared" si="48"/>
        <v>85.478020891278817</v>
      </c>
      <c r="M118" s="130">
        <f t="shared" si="41"/>
        <v>106.32552218350258</v>
      </c>
      <c r="N118" s="8">
        <f t="shared" si="42"/>
        <v>1229.25224992777</v>
      </c>
      <c r="O118" s="84">
        <f t="shared" si="37"/>
        <v>1122.9267277442673</v>
      </c>
    </row>
    <row r="119" spans="1:15" x14ac:dyDescent="0.2">
      <c r="A119" s="96" t="s">
        <v>62</v>
      </c>
      <c r="B119" s="81" t="str">
        <f t="shared" si="45"/>
        <v>Q2/2018</v>
      </c>
      <c r="C119" s="82">
        <f t="shared" si="43"/>
        <v>43191</v>
      </c>
      <c r="D119" s="82">
        <f t="shared" si="44"/>
        <v>43281</v>
      </c>
      <c r="E119" s="81">
        <f t="shared" si="38"/>
        <v>91</v>
      </c>
      <c r="F119" s="83">
        <f>VLOOKUP(D119,'FERC Interest Rate'!$A:$B,2,TRUE)</f>
        <v>4.4699999999999997E-2</v>
      </c>
      <c r="G119" s="84">
        <f t="shared" si="39"/>
        <v>1122.9267277442673</v>
      </c>
      <c r="H119" s="84">
        <v>0</v>
      </c>
      <c r="I119" s="109">
        <f t="shared" si="47"/>
        <v>8.0992064207434815</v>
      </c>
      <c r="J119" s="85">
        <f t="shared" si="46"/>
        <v>12.514326165603713</v>
      </c>
      <c r="K119" s="129">
        <f t="shared" si="40"/>
        <v>20.613532586347194</v>
      </c>
      <c r="L119" s="85">
        <f t="shared" si="48"/>
        <v>85.478020891278817</v>
      </c>
      <c r="M119" s="130">
        <f t="shared" si="41"/>
        <v>106.09155347762601</v>
      </c>
      <c r="N119" s="8">
        <f t="shared" si="42"/>
        <v>1135.441053909871</v>
      </c>
      <c r="O119" s="84">
        <f t="shared" si="37"/>
        <v>1029.3495004322449</v>
      </c>
    </row>
    <row r="120" spans="1:15" x14ac:dyDescent="0.2">
      <c r="A120" s="96" t="s">
        <v>63</v>
      </c>
      <c r="B120" s="81" t="str">
        <f t="shared" si="45"/>
        <v>Q3/2018</v>
      </c>
      <c r="C120" s="82">
        <f t="shared" si="43"/>
        <v>43282</v>
      </c>
      <c r="D120" s="82">
        <f t="shared" si="44"/>
        <v>43373</v>
      </c>
      <c r="E120" s="81">
        <f t="shared" si="38"/>
        <v>92</v>
      </c>
      <c r="F120" s="83">
        <f>VLOOKUP(D120,'FERC Interest Rate'!$A:$B,2,TRUE)</f>
        <v>5.011111E-2</v>
      </c>
      <c r="G120" s="84">
        <f t="shared" si="39"/>
        <v>1029.3495004322449</v>
      </c>
      <c r="H120" s="84">
        <v>0</v>
      </c>
      <c r="I120" s="109">
        <f t="shared" si="47"/>
        <v>8.0992064207434815</v>
      </c>
      <c r="J120" s="85">
        <f t="shared" si="46"/>
        <v>13.001451605763521</v>
      </c>
      <c r="K120" s="129">
        <f t="shared" si="40"/>
        <v>21.100658026507002</v>
      </c>
      <c r="L120" s="85">
        <f t="shared" si="48"/>
        <v>85.478020891278817</v>
      </c>
      <c r="M120" s="130">
        <f t="shared" si="41"/>
        <v>106.57867891778582</v>
      </c>
      <c r="N120" s="8">
        <f t="shared" si="42"/>
        <v>1042.3509520380085</v>
      </c>
      <c r="O120" s="84">
        <f t="shared" si="37"/>
        <v>935.77227312022262</v>
      </c>
    </row>
    <row r="121" spans="1:15" x14ac:dyDescent="0.2">
      <c r="A121" s="96" t="s">
        <v>64</v>
      </c>
      <c r="B121" s="81" t="str">
        <f t="shared" si="45"/>
        <v>Q4/2018</v>
      </c>
      <c r="C121" s="82">
        <f t="shared" si="43"/>
        <v>43374</v>
      </c>
      <c r="D121" s="82">
        <f t="shared" si="44"/>
        <v>43465</v>
      </c>
      <c r="E121" s="81">
        <f t="shared" si="38"/>
        <v>92</v>
      </c>
      <c r="F121" s="83">
        <f>VLOOKUP(D121,'FERC Interest Rate'!$A:$B,2,TRUE)</f>
        <v>5.2822580000000001E-2</v>
      </c>
      <c r="G121" s="84">
        <f t="shared" si="39"/>
        <v>935.77227312022262</v>
      </c>
      <c r="H121" s="84">
        <v>0</v>
      </c>
      <c r="I121" s="109">
        <f t="shared" si="47"/>
        <v>8.0992064207434815</v>
      </c>
      <c r="J121" s="85">
        <f t="shared" si="46"/>
        <v>12.45904473917283</v>
      </c>
      <c r="K121" s="129">
        <f t="shared" si="40"/>
        <v>20.55825115991631</v>
      </c>
      <c r="L121" s="85">
        <f t="shared" si="48"/>
        <v>85.478020891278817</v>
      </c>
      <c r="M121" s="130">
        <f t="shared" si="41"/>
        <v>106.03627205119513</v>
      </c>
      <c r="N121" s="8">
        <f t="shared" si="42"/>
        <v>948.2313178593954</v>
      </c>
      <c r="O121" s="84">
        <f t="shared" si="37"/>
        <v>842.19504580820035</v>
      </c>
    </row>
    <row r="122" spans="1:15" x14ac:dyDescent="0.2">
      <c r="A122" s="96" t="s">
        <v>65</v>
      </c>
      <c r="B122" s="81" t="str">
        <f t="shared" si="45"/>
        <v>Q1/2019</v>
      </c>
      <c r="C122" s="82">
        <f t="shared" si="43"/>
        <v>43466</v>
      </c>
      <c r="D122" s="82">
        <f t="shared" si="44"/>
        <v>43555</v>
      </c>
      <c r="E122" s="81">
        <f t="shared" si="38"/>
        <v>90</v>
      </c>
      <c r="F122" s="83">
        <f>VLOOKUP(D122,'FERC Interest Rate'!$A:$B,2,TRUE)</f>
        <v>5.5296770000000002E-2</v>
      </c>
      <c r="G122" s="84">
        <f t="shared" si="39"/>
        <v>842.19504580820035</v>
      </c>
      <c r="H122" s="84">
        <v>0</v>
      </c>
      <c r="I122" s="109">
        <f t="shared" si="47"/>
        <v>8.0992064207434815</v>
      </c>
      <c r="J122" s="85">
        <f t="shared" si="46"/>
        <v>11.483177854486566</v>
      </c>
      <c r="K122" s="129">
        <f t="shared" si="40"/>
        <v>19.582384275230048</v>
      </c>
      <c r="L122" s="85">
        <f t="shared" si="48"/>
        <v>85.478020891278817</v>
      </c>
      <c r="M122" s="130">
        <f t="shared" si="41"/>
        <v>105.06040516650887</v>
      </c>
      <c r="N122" s="8">
        <f t="shared" si="42"/>
        <v>853.67822366268695</v>
      </c>
      <c r="O122" s="84">
        <f t="shared" si="37"/>
        <v>748.61781849617807</v>
      </c>
    </row>
    <row r="123" spans="1:15" x14ac:dyDescent="0.2">
      <c r="A123" s="96" t="s">
        <v>66</v>
      </c>
      <c r="B123" s="81" t="str">
        <f t="shared" si="45"/>
        <v>Q2/2019</v>
      </c>
      <c r="C123" s="82">
        <f t="shared" si="43"/>
        <v>43556</v>
      </c>
      <c r="D123" s="82">
        <f t="shared" si="44"/>
        <v>43646</v>
      </c>
      <c r="E123" s="81">
        <f t="shared" si="38"/>
        <v>91</v>
      </c>
      <c r="F123" s="83">
        <f>VLOOKUP(D123,'FERC Interest Rate'!$A:$B,2,TRUE)</f>
        <v>5.7999999999999996E-2</v>
      </c>
      <c r="G123" s="84">
        <f t="shared" si="39"/>
        <v>748.61781849617807</v>
      </c>
      <c r="H123" s="84">
        <v>0</v>
      </c>
      <c r="I123" s="109">
        <f t="shared" si="47"/>
        <v>8.0992064207434815</v>
      </c>
      <c r="J123" s="85">
        <f t="shared" si="46"/>
        <v>10.825218756226924</v>
      </c>
      <c r="K123" s="129">
        <f t="shared" si="40"/>
        <v>18.924425176970406</v>
      </c>
      <c r="L123" s="85">
        <f t="shared" si="48"/>
        <v>85.478020891278817</v>
      </c>
      <c r="M123" s="130">
        <f t="shared" si="41"/>
        <v>104.40244606824922</v>
      </c>
      <c r="N123" s="8">
        <f t="shared" si="42"/>
        <v>759.44303725240502</v>
      </c>
      <c r="O123" s="84">
        <f t="shared" si="37"/>
        <v>655.0405911841558</v>
      </c>
    </row>
    <row r="124" spans="1:15" x14ac:dyDescent="0.2">
      <c r="A124" s="96" t="s">
        <v>67</v>
      </c>
      <c r="B124" s="81" t="str">
        <f t="shared" si="45"/>
        <v>Q3/2019</v>
      </c>
      <c r="C124" s="82">
        <f t="shared" si="43"/>
        <v>43647</v>
      </c>
      <c r="D124" s="82">
        <f t="shared" si="44"/>
        <v>43738</v>
      </c>
      <c r="E124" s="81">
        <f t="shared" si="38"/>
        <v>92</v>
      </c>
      <c r="F124" s="83">
        <f>VLOOKUP(D124,'FERC Interest Rate'!$A:$B,2,TRUE)</f>
        <v>0.06</v>
      </c>
      <c r="G124" s="84">
        <f t="shared" si="39"/>
        <v>655.0405911841558</v>
      </c>
      <c r="H124" s="84">
        <v>0</v>
      </c>
      <c r="I124" s="109">
        <f t="shared" si="47"/>
        <v>8.0992064207434815</v>
      </c>
      <c r="J124" s="85">
        <f t="shared" si="46"/>
        <v>9.906367296812439</v>
      </c>
      <c r="K124" s="129">
        <f t="shared" si="40"/>
        <v>18.005573717555919</v>
      </c>
      <c r="L124" s="85">
        <f t="shared" si="48"/>
        <v>85.478020891278817</v>
      </c>
      <c r="M124" s="130">
        <f t="shared" si="41"/>
        <v>103.48359460883474</v>
      </c>
      <c r="N124" s="8">
        <f t="shared" si="42"/>
        <v>664.94695848096819</v>
      </c>
      <c r="O124" s="84">
        <f t="shared" si="37"/>
        <v>561.46336387213353</v>
      </c>
    </row>
    <row r="125" spans="1:15" x14ac:dyDescent="0.2">
      <c r="A125" s="96" t="s">
        <v>68</v>
      </c>
      <c r="B125" s="81" t="str">
        <f t="shared" si="45"/>
        <v>Q4/2019</v>
      </c>
      <c r="C125" s="82">
        <f t="shared" si="43"/>
        <v>43739</v>
      </c>
      <c r="D125" s="82">
        <f t="shared" si="44"/>
        <v>43830</v>
      </c>
      <c r="E125" s="81">
        <f t="shared" si="38"/>
        <v>92</v>
      </c>
      <c r="F125" s="83">
        <f>VLOOKUP(D125,'FERC Interest Rate'!$A:$B,2,TRUE)</f>
        <v>6.0349460000000001E-2</v>
      </c>
      <c r="G125" s="84">
        <f t="shared" si="39"/>
        <v>561.46336387213353</v>
      </c>
      <c r="H125" s="84">
        <v>0</v>
      </c>
      <c r="I125" s="109">
        <f t="shared" si="47"/>
        <v>8.0992064207434815</v>
      </c>
      <c r="J125" s="85">
        <f t="shared" si="46"/>
        <v>8.5406273846327192</v>
      </c>
      <c r="K125" s="129">
        <f t="shared" si="40"/>
        <v>16.639833805376199</v>
      </c>
      <c r="L125" s="85">
        <f t="shared" si="48"/>
        <v>85.478020891278817</v>
      </c>
      <c r="M125" s="130">
        <f t="shared" si="41"/>
        <v>102.11785469665502</v>
      </c>
      <c r="N125" s="8">
        <f t="shared" si="42"/>
        <v>570.0039912567662</v>
      </c>
      <c r="O125" s="84">
        <f t="shared" si="37"/>
        <v>467.88613656011125</v>
      </c>
    </row>
    <row r="126" spans="1:15" x14ac:dyDescent="0.2">
      <c r="A126" s="96" t="s">
        <v>69</v>
      </c>
      <c r="B126" s="81" t="str">
        <f t="shared" si="45"/>
        <v>Q1/2020</v>
      </c>
      <c r="C126" s="82">
        <f t="shared" si="43"/>
        <v>43831</v>
      </c>
      <c r="D126" s="82">
        <f t="shared" si="44"/>
        <v>43921</v>
      </c>
      <c r="E126" s="81">
        <f t="shared" si="38"/>
        <v>91</v>
      </c>
      <c r="F126" s="83">
        <f>VLOOKUP(D126,'FERC Interest Rate'!$A:$B,2,TRUE)</f>
        <v>6.2501040000000008E-2</v>
      </c>
      <c r="G126" s="84">
        <f t="shared" si="39"/>
        <v>467.88613656011125</v>
      </c>
      <c r="H126" s="84">
        <v>0</v>
      </c>
      <c r="I126" s="109">
        <f t="shared" si="47"/>
        <v>8.0992064207434815</v>
      </c>
      <c r="J126" s="85">
        <f t="shared" si="46"/>
        <v>7.2708925749442539</v>
      </c>
      <c r="K126" s="129">
        <f t="shared" si="40"/>
        <v>15.370098995687735</v>
      </c>
      <c r="L126" s="85">
        <f t="shared" si="48"/>
        <v>85.478020891278817</v>
      </c>
      <c r="M126" s="130">
        <f t="shared" si="41"/>
        <v>100.84811988696656</v>
      </c>
      <c r="N126" s="8">
        <f t="shared" si="42"/>
        <v>475.1570291350555</v>
      </c>
      <c r="O126" s="84">
        <f t="shared" si="37"/>
        <v>374.30890924808898</v>
      </c>
    </row>
    <row r="127" spans="1:15" x14ac:dyDescent="0.2">
      <c r="A127" s="96" t="s">
        <v>70</v>
      </c>
      <c r="B127" s="81" t="str">
        <f t="shared" si="45"/>
        <v>Q2/2020</v>
      </c>
      <c r="C127" s="82">
        <f t="shared" si="43"/>
        <v>43922</v>
      </c>
      <c r="D127" s="82">
        <f t="shared" si="44"/>
        <v>44012</v>
      </c>
      <c r="E127" s="81">
        <f t="shared" si="38"/>
        <v>91</v>
      </c>
      <c r="F127" s="83">
        <f>VLOOKUP(D127,'FERC Interest Rate'!$A:$B,2,TRUE)</f>
        <v>6.3055559999999997E-2</v>
      </c>
      <c r="G127" s="84">
        <f t="shared" si="39"/>
        <v>374.30890924808898</v>
      </c>
      <c r="H127" s="84">
        <v>0</v>
      </c>
      <c r="I127" s="109">
        <f t="shared" si="47"/>
        <v>8.0992064207434815</v>
      </c>
      <c r="J127" s="85">
        <f t="shared" si="46"/>
        <v>5.86832094970518</v>
      </c>
      <c r="K127" s="129">
        <f t="shared" si="40"/>
        <v>13.967527370448661</v>
      </c>
      <c r="L127" s="85">
        <f t="shared" si="48"/>
        <v>85.478020891278817</v>
      </c>
      <c r="M127" s="130">
        <f t="shared" si="41"/>
        <v>99.445548261727481</v>
      </c>
      <c r="N127" s="8">
        <f t="shared" si="42"/>
        <v>380.17723019779419</v>
      </c>
      <c r="O127" s="84">
        <f t="shared" si="37"/>
        <v>280.73168193606671</v>
      </c>
    </row>
    <row r="128" spans="1:15" x14ac:dyDescent="0.2">
      <c r="A128" s="96" t="s">
        <v>71</v>
      </c>
      <c r="B128" s="81" t="str">
        <f t="shared" si="45"/>
        <v>Q3/2020</v>
      </c>
      <c r="C128" s="82">
        <f t="shared" si="43"/>
        <v>44013</v>
      </c>
      <c r="D128" s="82">
        <f t="shared" si="44"/>
        <v>44104</v>
      </c>
      <c r="E128" s="81">
        <f t="shared" si="38"/>
        <v>92</v>
      </c>
      <c r="F128" s="83">
        <f>VLOOKUP(D128,'FERC Interest Rate'!$A:$B,2,TRUE)</f>
        <v>6.5000000000000002E-2</v>
      </c>
      <c r="G128" s="84">
        <f t="shared" si="39"/>
        <v>280.73168193606671</v>
      </c>
      <c r="H128" s="84">
        <v>0</v>
      </c>
      <c r="I128" s="109">
        <f t="shared" si="47"/>
        <v>8.0992064207434815</v>
      </c>
      <c r="J128" s="85">
        <f t="shared" si="46"/>
        <v>4.5868181911958441</v>
      </c>
      <c r="K128" s="129">
        <f t="shared" si="40"/>
        <v>12.686024611939326</v>
      </c>
      <c r="L128" s="85">
        <f t="shared" si="48"/>
        <v>85.478020891278817</v>
      </c>
      <c r="M128" s="130">
        <f t="shared" si="41"/>
        <v>98.164045503218148</v>
      </c>
      <c r="N128" s="8">
        <f t="shared" si="42"/>
        <v>285.31850012726255</v>
      </c>
      <c r="O128" s="84">
        <f t="shared" si="37"/>
        <v>187.1544546240444</v>
      </c>
    </row>
    <row r="129" spans="1:15" x14ac:dyDescent="0.2">
      <c r="A129" s="96" t="s">
        <v>72</v>
      </c>
      <c r="B129" s="81" t="str">
        <f t="shared" si="45"/>
        <v>Q4/2020</v>
      </c>
      <c r="C129" s="82">
        <f t="shared" si="43"/>
        <v>44105</v>
      </c>
      <c r="D129" s="82">
        <f t="shared" si="44"/>
        <v>44196</v>
      </c>
      <c r="E129" s="81">
        <f t="shared" si="38"/>
        <v>92</v>
      </c>
      <c r="F129" s="83">
        <f>VLOOKUP(D129,'FERC Interest Rate'!$A:$B,2,TRUE)</f>
        <v>6.5000000000000002E-2</v>
      </c>
      <c r="G129" s="84">
        <f t="shared" si="39"/>
        <v>187.1544546240444</v>
      </c>
      <c r="H129" s="84">
        <v>0</v>
      </c>
      <c r="I129" s="109">
        <f t="shared" si="47"/>
        <v>8.0992064207434815</v>
      </c>
      <c r="J129" s="85">
        <f t="shared" si="46"/>
        <v>3.0578787941305614</v>
      </c>
      <c r="K129" s="129">
        <f t="shared" si="40"/>
        <v>11.157085214874042</v>
      </c>
      <c r="L129" s="85">
        <f t="shared" si="48"/>
        <v>85.478020891278817</v>
      </c>
      <c r="M129" s="130">
        <f t="shared" si="41"/>
        <v>96.635106106152861</v>
      </c>
      <c r="N129" s="8">
        <f t="shared" si="42"/>
        <v>190.21233341817498</v>
      </c>
      <c r="O129" s="84">
        <f t="shared" si="37"/>
        <v>93.577227312022103</v>
      </c>
    </row>
    <row r="130" spans="1:15" x14ac:dyDescent="0.2">
      <c r="A130" s="96" t="s">
        <v>73</v>
      </c>
      <c r="B130" s="81" t="str">
        <f t="shared" si="45"/>
        <v>Q1/2021</v>
      </c>
      <c r="C130" s="82">
        <f t="shared" si="43"/>
        <v>44197</v>
      </c>
      <c r="D130" s="82">
        <f t="shared" si="44"/>
        <v>44286</v>
      </c>
      <c r="E130" s="81">
        <f t="shared" si="38"/>
        <v>90</v>
      </c>
      <c r="F130" s="83">
        <f>VLOOKUP(D130,'FERC Interest Rate'!$A:$B,2,TRUE)</f>
        <v>6.5000000000000002E-2</v>
      </c>
      <c r="G130" s="84">
        <f t="shared" si="39"/>
        <v>93.577227312022103</v>
      </c>
      <c r="H130" s="84">
        <v>0</v>
      </c>
      <c r="I130" s="109">
        <f t="shared" si="47"/>
        <v>8.0992064207434815</v>
      </c>
      <c r="J130" s="85">
        <f t="shared" si="46"/>
        <v>1.4997993966447378</v>
      </c>
      <c r="K130" s="129">
        <f t="shared" si="40"/>
        <v>9.5990058173882193</v>
      </c>
      <c r="L130" s="85">
        <f t="shared" si="48"/>
        <v>85.478020891278817</v>
      </c>
      <c r="M130" s="130">
        <f t="shared" si="41"/>
        <v>95.077026708667034</v>
      </c>
      <c r="N130" s="8">
        <f t="shared" si="42"/>
        <v>95.077026708666835</v>
      </c>
      <c r="O130" s="84">
        <f t="shared" si="37"/>
        <v>-1.9539925233402755E-13</v>
      </c>
    </row>
    <row r="131" spans="1:15" x14ac:dyDescent="0.2">
      <c r="A131" s="96"/>
      <c r="B131" s="81"/>
      <c r="C131" s="82"/>
      <c r="D131" s="82"/>
      <c r="E131" s="81"/>
      <c r="F131" s="83"/>
      <c r="G131" s="84"/>
      <c r="H131" s="84"/>
      <c r="I131" s="109"/>
      <c r="J131" s="85"/>
      <c r="K131" s="129"/>
      <c r="L131" s="85"/>
      <c r="M131" s="130"/>
      <c r="N131" s="8"/>
      <c r="O131" s="84"/>
    </row>
    <row r="132" spans="1:15" ht="13.5" thickBot="1" x14ac:dyDescent="0.25">
      <c r="A132" s="151"/>
      <c r="B132" s="152"/>
      <c r="C132" s="153"/>
      <c r="D132" s="153"/>
      <c r="E132" s="154"/>
      <c r="F132" s="152"/>
      <c r="G132" s="137">
        <f>SUM(G104:G131)</f>
        <v>32306.463264810656</v>
      </c>
      <c r="H132" s="137">
        <f>SUM(H104:H131)</f>
        <v>161.98412841486962</v>
      </c>
      <c r="I132" s="138">
        <f t="shared" ref="I132:O132" si="49">SUM(I104:I131)</f>
        <v>161.98412841486967</v>
      </c>
      <c r="J132" s="137">
        <f t="shared" si="49"/>
        <v>171.53688933054039</v>
      </c>
      <c r="K132" s="137">
        <f t="shared" si="49"/>
        <v>333.52101774540995</v>
      </c>
      <c r="L132" s="137">
        <f t="shared" si="49"/>
        <v>1709.5604178255769</v>
      </c>
      <c r="M132" s="139">
        <f t="shared" si="49"/>
        <v>2043.0814355709861</v>
      </c>
      <c r="N132" s="137">
        <f t="shared" si="49"/>
        <v>32639.984282556055</v>
      </c>
      <c r="O132" s="137">
        <f t="shared" si="49"/>
        <v>30596.902846985082</v>
      </c>
    </row>
    <row r="133" spans="1:15" ht="13.5" thickTop="1" x14ac:dyDescent="0.2">
      <c r="B133" s="117"/>
      <c r="C133" s="117"/>
      <c r="D133" s="117"/>
      <c r="E133" s="117"/>
      <c r="F133" s="117"/>
      <c r="G133" s="117"/>
      <c r="H133" s="117"/>
      <c r="I133" s="116"/>
      <c r="J133" s="117"/>
      <c r="K133" s="117"/>
      <c r="L133" s="117"/>
      <c r="M133" s="131"/>
      <c r="O133" s="117"/>
    </row>
    <row r="134" spans="1:15" ht="38.25" x14ac:dyDescent="0.2">
      <c r="A134" s="90" t="s">
        <v>53</v>
      </c>
      <c r="B134" s="90" t="s">
        <v>3</v>
      </c>
      <c r="C134" s="90" t="s">
        <v>4</v>
      </c>
      <c r="D134" s="90" t="s">
        <v>5</v>
      </c>
      <c r="E134" s="90" t="s">
        <v>6</v>
      </c>
      <c r="F134" s="90" t="s">
        <v>7</v>
      </c>
      <c r="G134" s="90" t="s">
        <v>93</v>
      </c>
      <c r="H134" s="90" t="s">
        <v>94</v>
      </c>
      <c r="I134" s="105" t="s">
        <v>95</v>
      </c>
      <c r="J134" s="106" t="s">
        <v>96</v>
      </c>
      <c r="K134" s="106" t="s">
        <v>97</v>
      </c>
      <c r="L134" s="106" t="s">
        <v>98</v>
      </c>
      <c r="M134" s="107" t="s">
        <v>99</v>
      </c>
      <c r="N134" s="90" t="s">
        <v>100</v>
      </c>
      <c r="O134" s="90" t="s">
        <v>101</v>
      </c>
    </row>
    <row r="135" spans="1:15" x14ac:dyDescent="0.2">
      <c r="A135" s="309" t="s">
        <v>15</v>
      </c>
      <c r="B135" s="309"/>
      <c r="C135" s="282">
        <f>VLOOKUP(B136,A$1:F$19,2,FALSE)</f>
        <v>41873</v>
      </c>
      <c r="D135" s="282">
        <f>DATE(YEAR(C135),IF(MONTH(C135)&lt;=3,3,IF(MONTH(C135)&lt;=6,6,IF(MONTH(C135)&lt;=9,9,12))),IF(OR(MONTH(C135)&lt;=3,MONTH(C135)&gt;=10),31,30))</f>
        <v>41912</v>
      </c>
      <c r="E135" s="283">
        <f>D135-C135+1</f>
        <v>40</v>
      </c>
      <c r="F135" s="284">
        <f>VLOOKUP(D135,'FERC Interest Rate'!$A:$B,2,TRUE)</f>
        <v>3.2500000000000001E-2</v>
      </c>
      <c r="G135" s="167">
        <f>VLOOKUP(B136,$A$1:$F$19,5,FALSE)</f>
        <v>3018.2349959824464</v>
      </c>
      <c r="H135" s="167">
        <f t="shared" ref="H135:H145" si="50">G135*F135*(E135/(DATE(YEAR(D135),12,31)-DATE(YEAR(D135),1,1)+1))</f>
        <v>10.749878067882685</v>
      </c>
      <c r="I135" s="291">
        <v>0</v>
      </c>
      <c r="J135" s="286">
        <v>0</v>
      </c>
      <c r="K135" s="288">
        <f t="shared" ref="K135:K160" si="51">+SUM(I135:J135)</f>
        <v>0</v>
      </c>
      <c r="L135" s="286">
        <v>0</v>
      </c>
      <c r="M135" s="289">
        <f t="shared" ref="M135:M161" si="52">+SUM(K135:L135)</f>
        <v>0</v>
      </c>
      <c r="N135" s="290">
        <f t="shared" ref="N135:N161" si="53">+G135+H135+J135</f>
        <v>3028.9848740503289</v>
      </c>
      <c r="O135" s="167">
        <f t="shared" ref="O135:O161" si="54">G135+H135-L135-I135</f>
        <v>3028.9848740503289</v>
      </c>
    </row>
    <row r="136" spans="1:15" x14ac:dyDescent="0.2">
      <c r="A136" s="275" t="s">
        <v>38</v>
      </c>
      <c r="B136" s="276" t="s">
        <v>56</v>
      </c>
      <c r="C136" s="282">
        <f>D135+1</f>
        <v>41913</v>
      </c>
      <c r="D136" s="282">
        <f>EOMONTH(D135,3)</f>
        <v>42004</v>
      </c>
      <c r="E136" s="283">
        <f t="shared" ref="E136:E161" si="55">D136-C136+1</f>
        <v>92</v>
      </c>
      <c r="F136" s="284">
        <f>VLOOKUP(D136,'FERC Interest Rate'!$A:$B,2,TRUE)</f>
        <v>3.2500000000000001E-2</v>
      </c>
      <c r="G136" s="167">
        <f t="shared" ref="G136:G161" si="56">O135</f>
        <v>3028.9848740503289</v>
      </c>
      <c r="H136" s="167">
        <f t="shared" si="50"/>
        <v>24.812780201124614</v>
      </c>
      <c r="I136" s="291">
        <v>0</v>
      </c>
      <c r="J136" s="286">
        <v>0</v>
      </c>
      <c r="K136" s="288">
        <f t="shared" si="51"/>
        <v>0</v>
      </c>
      <c r="L136" s="286">
        <v>0</v>
      </c>
      <c r="M136" s="289">
        <f t="shared" si="52"/>
        <v>0</v>
      </c>
      <c r="N136" s="290">
        <f t="shared" si="53"/>
        <v>3053.7976542514534</v>
      </c>
      <c r="O136" s="167">
        <f t="shared" si="54"/>
        <v>3053.7976542514534</v>
      </c>
    </row>
    <row r="137" spans="1:15" x14ac:dyDescent="0.2">
      <c r="B137" s="283"/>
      <c r="C137" s="282">
        <f t="shared" ref="C137:C161" si="57">D136+1</f>
        <v>42005</v>
      </c>
      <c r="D137" s="282">
        <f t="shared" ref="D137:D161" si="58">EOMONTH(D136,3)</f>
        <v>42094</v>
      </c>
      <c r="E137" s="283">
        <f t="shared" si="55"/>
        <v>90</v>
      </c>
      <c r="F137" s="284">
        <f>VLOOKUP(D137,'FERC Interest Rate'!$A:$B,2,TRUE)</f>
        <v>3.2500000000000001E-2</v>
      </c>
      <c r="G137" s="167">
        <f t="shared" si="56"/>
        <v>3053.7976542514534</v>
      </c>
      <c r="H137" s="167">
        <f t="shared" si="50"/>
        <v>24.472214078590415</v>
      </c>
      <c r="I137" s="291">
        <v>0</v>
      </c>
      <c r="J137" s="286">
        <v>0</v>
      </c>
      <c r="K137" s="288">
        <f t="shared" si="51"/>
        <v>0</v>
      </c>
      <c r="L137" s="286">
        <v>0</v>
      </c>
      <c r="M137" s="289">
        <f t="shared" si="52"/>
        <v>0</v>
      </c>
      <c r="N137" s="290">
        <f t="shared" si="53"/>
        <v>3078.2698683300437</v>
      </c>
      <c r="O137" s="167">
        <f t="shared" si="54"/>
        <v>3078.2698683300437</v>
      </c>
    </row>
    <row r="138" spans="1:15" x14ac:dyDescent="0.2">
      <c r="B138" s="283"/>
      <c r="C138" s="282">
        <f t="shared" si="57"/>
        <v>42095</v>
      </c>
      <c r="D138" s="282">
        <f t="shared" si="58"/>
        <v>42185</v>
      </c>
      <c r="E138" s="283">
        <f t="shared" si="55"/>
        <v>91</v>
      </c>
      <c r="F138" s="284">
        <f>VLOOKUP(D138,'FERC Interest Rate'!$A:$B,2,TRUE)</f>
        <v>3.2500000000000001E-2</v>
      </c>
      <c r="G138" s="167">
        <f t="shared" si="56"/>
        <v>3078.2698683300437</v>
      </c>
      <c r="H138" s="167">
        <f t="shared" si="50"/>
        <v>24.942419549550973</v>
      </c>
      <c r="I138" s="291">
        <v>0</v>
      </c>
      <c r="J138" s="286">
        <v>0</v>
      </c>
      <c r="K138" s="288">
        <f t="shared" si="51"/>
        <v>0</v>
      </c>
      <c r="L138" s="286">
        <v>0</v>
      </c>
      <c r="M138" s="289">
        <f t="shared" si="52"/>
        <v>0</v>
      </c>
      <c r="N138" s="290">
        <f t="shared" si="53"/>
        <v>3103.2122878795944</v>
      </c>
      <c r="O138" s="167">
        <f t="shared" si="54"/>
        <v>3103.2122878795944</v>
      </c>
    </row>
    <row r="139" spans="1:15" x14ac:dyDescent="0.2">
      <c r="B139" s="283"/>
      <c r="C139" s="282">
        <f t="shared" si="57"/>
        <v>42186</v>
      </c>
      <c r="D139" s="282">
        <f t="shared" si="58"/>
        <v>42277</v>
      </c>
      <c r="E139" s="283">
        <f t="shared" si="55"/>
        <v>92</v>
      </c>
      <c r="F139" s="284">
        <f>VLOOKUP(D139,'FERC Interest Rate'!$A:$B,2,TRUE)</f>
        <v>3.2500000000000001E-2</v>
      </c>
      <c r="G139" s="167">
        <f t="shared" si="56"/>
        <v>3103.2122878795944</v>
      </c>
      <c r="H139" s="167">
        <f t="shared" si="50"/>
        <v>25.420834906191747</v>
      </c>
      <c r="I139" s="291">
        <v>0</v>
      </c>
      <c r="J139" s="286">
        <v>0</v>
      </c>
      <c r="K139" s="288">
        <f t="shared" si="51"/>
        <v>0</v>
      </c>
      <c r="L139" s="286">
        <v>0</v>
      </c>
      <c r="M139" s="289">
        <f t="shared" si="52"/>
        <v>0</v>
      </c>
      <c r="N139" s="290">
        <f t="shared" si="53"/>
        <v>3128.6331227857863</v>
      </c>
      <c r="O139" s="167">
        <f t="shared" si="54"/>
        <v>3128.6331227857863</v>
      </c>
    </row>
    <row r="140" spans="1:15" x14ac:dyDescent="0.2">
      <c r="B140" s="283"/>
      <c r="C140" s="282">
        <f t="shared" si="57"/>
        <v>42278</v>
      </c>
      <c r="D140" s="282">
        <f t="shared" si="58"/>
        <v>42369</v>
      </c>
      <c r="E140" s="283">
        <f t="shared" si="55"/>
        <v>92</v>
      </c>
      <c r="F140" s="284">
        <f>VLOOKUP(D140,'FERC Interest Rate'!$A:$B,2,TRUE)</f>
        <v>3.2500000000000001E-2</v>
      </c>
      <c r="G140" s="167">
        <f t="shared" si="56"/>
        <v>3128.6331227857863</v>
      </c>
      <c r="H140" s="167">
        <f t="shared" si="50"/>
        <v>25.62907681405343</v>
      </c>
      <c r="I140" s="291">
        <v>0</v>
      </c>
      <c r="J140" s="286">
        <v>0</v>
      </c>
      <c r="K140" s="288">
        <f t="shared" si="51"/>
        <v>0</v>
      </c>
      <c r="L140" s="286">
        <v>0</v>
      </c>
      <c r="M140" s="289">
        <f t="shared" si="52"/>
        <v>0</v>
      </c>
      <c r="N140" s="290">
        <f t="shared" si="53"/>
        <v>3154.2621995998397</v>
      </c>
      <c r="O140" s="167">
        <f t="shared" si="54"/>
        <v>3154.2621995998397</v>
      </c>
    </row>
    <row r="141" spans="1:15" x14ac:dyDescent="0.2">
      <c r="B141" s="81"/>
      <c r="C141" s="282">
        <f t="shared" si="57"/>
        <v>42370</v>
      </c>
      <c r="D141" s="282">
        <f t="shared" si="58"/>
        <v>42460</v>
      </c>
      <c r="E141" s="283">
        <f t="shared" si="55"/>
        <v>91</v>
      </c>
      <c r="F141" s="284">
        <f>VLOOKUP(D141,'FERC Interest Rate'!$A:$B,2,TRUE)</f>
        <v>3.2500000000000001E-2</v>
      </c>
      <c r="G141" s="167">
        <f t="shared" si="56"/>
        <v>3154.2621995998397</v>
      </c>
      <c r="H141" s="167">
        <f t="shared" si="50"/>
        <v>25.488334577367556</v>
      </c>
      <c r="I141" s="291">
        <v>0</v>
      </c>
      <c r="J141" s="286">
        <v>0</v>
      </c>
      <c r="K141" s="288">
        <f t="shared" si="51"/>
        <v>0</v>
      </c>
      <c r="L141" s="286">
        <v>0</v>
      </c>
      <c r="M141" s="289">
        <f t="shared" si="52"/>
        <v>0</v>
      </c>
      <c r="N141" s="290">
        <f t="shared" si="53"/>
        <v>3179.7505341772071</v>
      </c>
      <c r="O141" s="167">
        <f t="shared" si="54"/>
        <v>3179.7505341772071</v>
      </c>
    </row>
    <row r="142" spans="1:15" x14ac:dyDescent="0.2">
      <c r="A142" s="96"/>
      <c r="B142" s="81"/>
      <c r="C142" s="82">
        <f t="shared" si="57"/>
        <v>42461</v>
      </c>
      <c r="D142" s="82">
        <f t="shared" si="58"/>
        <v>42551</v>
      </c>
      <c r="E142" s="81">
        <f t="shared" si="55"/>
        <v>91</v>
      </c>
      <c r="F142" s="83">
        <f>VLOOKUP(D142,'FERC Interest Rate'!$A:$B,2,TRUE)</f>
        <v>3.4599999999999999E-2</v>
      </c>
      <c r="G142" s="84">
        <f t="shared" si="56"/>
        <v>3179.7505341772071</v>
      </c>
      <c r="H142" s="167">
        <f t="shared" si="50"/>
        <v>27.354542436913537</v>
      </c>
      <c r="I142" s="109">
        <v>0</v>
      </c>
      <c r="J142" s="286">
        <v>0</v>
      </c>
      <c r="K142" s="129">
        <f t="shared" si="51"/>
        <v>0</v>
      </c>
      <c r="L142" s="85">
        <v>0</v>
      </c>
      <c r="M142" s="130">
        <f t="shared" si="52"/>
        <v>0</v>
      </c>
      <c r="N142" s="8">
        <f t="shared" si="53"/>
        <v>3207.1050766141207</v>
      </c>
      <c r="O142" s="84">
        <f t="shared" si="54"/>
        <v>3207.1050766141207</v>
      </c>
    </row>
    <row r="143" spans="1:15" x14ac:dyDescent="0.2">
      <c r="A143" s="274"/>
      <c r="B143" s="81"/>
      <c r="C143" s="82">
        <f t="shared" si="57"/>
        <v>42552</v>
      </c>
      <c r="D143" s="82">
        <f t="shared" si="58"/>
        <v>42643</v>
      </c>
      <c r="E143" s="81">
        <f t="shared" si="55"/>
        <v>92</v>
      </c>
      <c r="F143" s="83">
        <f>VLOOKUP(D143,'FERC Interest Rate'!$A:$B,2,TRUE)</f>
        <v>3.5000000000000003E-2</v>
      </c>
      <c r="G143" s="84">
        <f t="shared" si="56"/>
        <v>3207.1050766141207</v>
      </c>
      <c r="H143" s="84">
        <f t="shared" si="50"/>
        <v>28.215514608463032</v>
      </c>
      <c r="I143" s="109">
        <v>0</v>
      </c>
      <c r="J143" s="85">
        <v>0</v>
      </c>
      <c r="K143" s="129">
        <f t="shared" si="51"/>
        <v>0</v>
      </c>
      <c r="L143" s="85">
        <v>0</v>
      </c>
      <c r="M143" s="130">
        <f t="shared" si="52"/>
        <v>0</v>
      </c>
      <c r="N143" s="8">
        <f t="shared" si="53"/>
        <v>3235.3205912225835</v>
      </c>
      <c r="O143" s="84">
        <f t="shared" si="54"/>
        <v>3235.3205912225835</v>
      </c>
    </row>
    <row r="144" spans="1:15" x14ac:dyDescent="0.2">
      <c r="A144" s="96"/>
      <c r="B144" s="81"/>
      <c r="C144" s="82">
        <f t="shared" si="57"/>
        <v>42644</v>
      </c>
      <c r="D144" s="82">
        <f t="shared" si="58"/>
        <v>42735</v>
      </c>
      <c r="E144" s="81">
        <f t="shared" si="55"/>
        <v>92</v>
      </c>
      <c r="F144" s="83">
        <f>VLOOKUP(D144,'FERC Interest Rate'!$A:$B,2,TRUE)</f>
        <v>3.5000000000000003E-2</v>
      </c>
      <c r="G144" s="84">
        <f t="shared" si="56"/>
        <v>3235.3205912225835</v>
      </c>
      <c r="H144" s="84">
        <f t="shared" si="50"/>
        <v>28.46374946376153</v>
      </c>
      <c r="I144" s="109">
        <v>0</v>
      </c>
      <c r="J144" s="85">
        <v>0</v>
      </c>
      <c r="K144" s="129">
        <f t="shared" si="51"/>
        <v>0</v>
      </c>
      <c r="L144" s="85">
        <v>0</v>
      </c>
      <c r="M144" s="130">
        <f t="shared" si="52"/>
        <v>0</v>
      </c>
      <c r="N144" s="8">
        <f t="shared" si="53"/>
        <v>3263.7843406863449</v>
      </c>
      <c r="O144" s="84">
        <f t="shared" si="54"/>
        <v>3263.7843406863449</v>
      </c>
    </row>
    <row r="145" spans="1:15" x14ac:dyDescent="0.2">
      <c r="A145" s="96" t="s">
        <v>102</v>
      </c>
      <c r="B145" s="81" t="str">
        <f t="shared" ref="B145:B161" si="59">+IF(MONTH(C145)&lt;4,"Q1",IF(MONTH(C145)&lt;7,"Q2",IF(MONTH(C145)&lt;10,"Q3","Q4")))&amp;"/"&amp;YEAR(C145)</f>
        <v>Q1/2017</v>
      </c>
      <c r="C145" s="82">
        <f t="shared" si="57"/>
        <v>42736</v>
      </c>
      <c r="D145" s="82">
        <f t="shared" si="58"/>
        <v>42825</v>
      </c>
      <c r="E145" s="81">
        <f t="shared" si="55"/>
        <v>90</v>
      </c>
      <c r="F145" s="83">
        <f>VLOOKUP(D145,'FERC Interest Rate'!$A:$B,2,TRUE)</f>
        <v>3.5000000000000003E-2</v>
      </c>
      <c r="G145" s="84">
        <f t="shared" si="56"/>
        <v>3263.7843406863449</v>
      </c>
      <c r="H145" s="84">
        <f t="shared" si="50"/>
        <v>28.166905953868458</v>
      </c>
      <c r="I145" s="109">
        <f>SUM($H$135:$H$162)/20*4</f>
        <v>54.743250131553602</v>
      </c>
      <c r="J145" s="85">
        <f t="shared" ref="J145:J161" si="60">G145*F145*(E145/(DATE(YEAR(D145),12,31)-DATE(YEAR(D145),1,1)+1))</f>
        <v>28.166905953868458</v>
      </c>
      <c r="K145" s="129">
        <f t="shared" si="51"/>
        <v>82.910156085422059</v>
      </c>
      <c r="L145" s="85">
        <f>VLOOKUP($B$136,A$1:F$19,5,FALSE)/20*4</f>
        <v>603.64699919648933</v>
      </c>
      <c r="M145" s="130">
        <f t="shared" si="52"/>
        <v>686.55715528191138</v>
      </c>
      <c r="N145" s="8">
        <f t="shared" si="53"/>
        <v>3320.1181525940819</v>
      </c>
      <c r="O145" s="84">
        <f t="shared" si="54"/>
        <v>2633.5609973121709</v>
      </c>
    </row>
    <row r="146" spans="1:15" x14ac:dyDescent="0.2">
      <c r="A146" s="96" t="s">
        <v>58</v>
      </c>
      <c r="B146" s="81" t="str">
        <f t="shared" si="59"/>
        <v>Q2/2017</v>
      </c>
      <c r="C146" s="82">
        <f t="shared" si="57"/>
        <v>42826</v>
      </c>
      <c r="D146" s="82">
        <f t="shared" si="58"/>
        <v>42916</v>
      </c>
      <c r="E146" s="81">
        <f t="shared" si="55"/>
        <v>91</v>
      </c>
      <c r="F146" s="83">
        <f>VLOOKUP(D146,'FERC Interest Rate'!$A:$B,2,TRUE)</f>
        <v>3.7100000000000001E-2</v>
      </c>
      <c r="G146" s="84">
        <f t="shared" si="56"/>
        <v>2633.5609973121709</v>
      </c>
      <c r="H146" s="84">
        <v>0</v>
      </c>
      <c r="I146" s="109">
        <f t="shared" ref="I146:I161" si="61">SUM($H$135:$H$162)/20</f>
        <v>13.6858125328884</v>
      </c>
      <c r="J146" s="85">
        <f t="shared" si="60"/>
        <v>24.359356939796221</v>
      </c>
      <c r="K146" s="129">
        <f t="shared" si="51"/>
        <v>38.04516947268462</v>
      </c>
      <c r="L146" s="85">
        <f t="shared" ref="L146:L161" si="62">VLOOKUP($B$136,A$1:F$19,5,FALSE)/20</f>
        <v>150.91174979912233</v>
      </c>
      <c r="M146" s="130">
        <f t="shared" si="52"/>
        <v>188.95691927180695</v>
      </c>
      <c r="N146" s="8">
        <f t="shared" si="53"/>
        <v>2657.9203542519672</v>
      </c>
      <c r="O146" s="84">
        <f t="shared" si="54"/>
        <v>2468.9634349801599</v>
      </c>
    </row>
    <row r="147" spans="1:15" x14ac:dyDescent="0.2">
      <c r="A147" s="96" t="s">
        <v>59</v>
      </c>
      <c r="B147" s="81" t="str">
        <f t="shared" si="59"/>
        <v>Q3/2017</v>
      </c>
      <c r="C147" s="82">
        <f t="shared" si="57"/>
        <v>42917</v>
      </c>
      <c r="D147" s="82">
        <f t="shared" si="58"/>
        <v>43008</v>
      </c>
      <c r="E147" s="81">
        <f t="shared" si="55"/>
        <v>92</v>
      </c>
      <c r="F147" s="83">
        <f>VLOOKUP(D147,'FERC Interest Rate'!$A:$B,2,TRUE)</f>
        <v>3.9600000000000003E-2</v>
      </c>
      <c r="G147" s="84">
        <f t="shared" si="56"/>
        <v>2468.9634349801599</v>
      </c>
      <c r="H147" s="84">
        <v>0</v>
      </c>
      <c r="I147" s="109">
        <f t="shared" si="61"/>
        <v>13.6858125328884</v>
      </c>
      <c r="J147" s="85">
        <f t="shared" si="60"/>
        <v>24.643637222793753</v>
      </c>
      <c r="K147" s="129">
        <f t="shared" si="51"/>
        <v>38.329449755682155</v>
      </c>
      <c r="L147" s="85">
        <f t="shared" si="62"/>
        <v>150.91174979912233</v>
      </c>
      <c r="M147" s="130">
        <f t="shared" si="52"/>
        <v>189.2411995548045</v>
      </c>
      <c r="N147" s="8">
        <f t="shared" si="53"/>
        <v>2493.6070722029535</v>
      </c>
      <c r="O147" s="84">
        <f t="shared" si="54"/>
        <v>2304.365872648149</v>
      </c>
    </row>
    <row r="148" spans="1:15" x14ac:dyDescent="0.2">
      <c r="A148" s="96" t="s">
        <v>60</v>
      </c>
      <c r="B148" s="81" t="str">
        <f t="shared" si="59"/>
        <v>Q4/2017</v>
      </c>
      <c r="C148" s="82">
        <f t="shared" si="57"/>
        <v>43009</v>
      </c>
      <c r="D148" s="82">
        <f t="shared" si="58"/>
        <v>43100</v>
      </c>
      <c r="E148" s="81">
        <f t="shared" si="55"/>
        <v>92</v>
      </c>
      <c r="F148" s="83">
        <f>VLOOKUP(D148,'FERC Interest Rate'!$A:$B,2,TRUE)</f>
        <v>4.2099999999999999E-2</v>
      </c>
      <c r="G148" s="84">
        <f t="shared" si="56"/>
        <v>2304.365872648149</v>
      </c>
      <c r="H148" s="84">
        <v>0</v>
      </c>
      <c r="I148" s="109">
        <f t="shared" si="61"/>
        <v>13.6858125328884</v>
      </c>
      <c r="J148" s="85">
        <f t="shared" si="60"/>
        <v>24.452794240933731</v>
      </c>
      <c r="K148" s="129">
        <f t="shared" si="51"/>
        <v>38.138606773822133</v>
      </c>
      <c r="L148" s="85">
        <f t="shared" si="62"/>
        <v>150.91174979912233</v>
      </c>
      <c r="M148" s="130">
        <f t="shared" si="52"/>
        <v>189.05035657294445</v>
      </c>
      <c r="N148" s="8">
        <f t="shared" si="53"/>
        <v>2328.8186668890826</v>
      </c>
      <c r="O148" s="84">
        <f t="shared" si="54"/>
        <v>2139.768310316138</v>
      </c>
    </row>
    <row r="149" spans="1:15" x14ac:dyDescent="0.2">
      <c r="A149" s="96" t="s">
        <v>61</v>
      </c>
      <c r="B149" s="81" t="str">
        <f t="shared" si="59"/>
        <v>Q1/2018</v>
      </c>
      <c r="C149" s="82">
        <f t="shared" si="57"/>
        <v>43101</v>
      </c>
      <c r="D149" s="82">
        <f t="shared" si="58"/>
        <v>43190</v>
      </c>
      <c r="E149" s="81">
        <f t="shared" si="55"/>
        <v>90</v>
      </c>
      <c r="F149" s="83">
        <f>VLOOKUP(D149,'FERC Interest Rate'!$A:$B,2,TRUE)</f>
        <v>4.2500000000000003E-2</v>
      </c>
      <c r="G149" s="84">
        <f t="shared" si="56"/>
        <v>2139.768310316138</v>
      </c>
      <c r="H149" s="84">
        <v>0</v>
      </c>
      <c r="I149" s="109">
        <f t="shared" si="61"/>
        <v>13.6858125328884</v>
      </c>
      <c r="J149" s="85">
        <f t="shared" si="60"/>
        <v>22.423599416326653</v>
      </c>
      <c r="K149" s="129">
        <f t="shared" si="51"/>
        <v>36.109411949215051</v>
      </c>
      <c r="L149" s="85">
        <f t="shared" si="62"/>
        <v>150.91174979912233</v>
      </c>
      <c r="M149" s="130">
        <f t="shared" si="52"/>
        <v>187.02116174833739</v>
      </c>
      <c r="N149" s="8">
        <f t="shared" si="53"/>
        <v>2162.1919097324649</v>
      </c>
      <c r="O149" s="84">
        <f t="shared" si="54"/>
        <v>1975.1707479841273</v>
      </c>
    </row>
    <row r="150" spans="1:15" x14ac:dyDescent="0.2">
      <c r="A150" s="96" t="s">
        <v>62</v>
      </c>
      <c r="B150" s="81" t="str">
        <f t="shared" si="59"/>
        <v>Q2/2018</v>
      </c>
      <c r="C150" s="82">
        <f t="shared" si="57"/>
        <v>43191</v>
      </c>
      <c r="D150" s="82">
        <f t="shared" si="58"/>
        <v>43281</v>
      </c>
      <c r="E150" s="81">
        <f t="shared" si="55"/>
        <v>91</v>
      </c>
      <c r="F150" s="83">
        <f>VLOOKUP(D150,'FERC Interest Rate'!$A:$B,2,TRUE)</f>
        <v>4.4699999999999997E-2</v>
      </c>
      <c r="G150" s="84">
        <f t="shared" si="56"/>
        <v>1975.1707479841273</v>
      </c>
      <c r="H150" s="84">
        <v>0</v>
      </c>
      <c r="I150" s="109">
        <f t="shared" si="61"/>
        <v>13.6858125328884</v>
      </c>
      <c r="J150" s="85">
        <f t="shared" si="60"/>
        <v>22.012060415274064</v>
      </c>
      <c r="K150" s="129">
        <f t="shared" si="51"/>
        <v>35.697872948162463</v>
      </c>
      <c r="L150" s="85">
        <f t="shared" si="62"/>
        <v>150.91174979912233</v>
      </c>
      <c r="M150" s="130">
        <f t="shared" si="52"/>
        <v>186.60962274728479</v>
      </c>
      <c r="N150" s="8">
        <f t="shared" si="53"/>
        <v>1997.1828083994014</v>
      </c>
      <c r="O150" s="84">
        <f t="shared" si="54"/>
        <v>1810.5731856521165</v>
      </c>
    </row>
    <row r="151" spans="1:15" x14ac:dyDescent="0.2">
      <c r="A151" s="96" t="s">
        <v>63</v>
      </c>
      <c r="B151" s="81" t="str">
        <f t="shared" si="59"/>
        <v>Q3/2018</v>
      </c>
      <c r="C151" s="82">
        <f t="shared" si="57"/>
        <v>43282</v>
      </c>
      <c r="D151" s="82">
        <f t="shared" si="58"/>
        <v>43373</v>
      </c>
      <c r="E151" s="81">
        <f t="shared" si="55"/>
        <v>92</v>
      </c>
      <c r="F151" s="83">
        <f>VLOOKUP(D151,'FERC Interest Rate'!$A:$B,2,TRUE)</f>
        <v>5.011111E-2</v>
      </c>
      <c r="G151" s="84">
        <f t="shared" si="56"/>
        <v>1810.5731856521165</v>
      </c>
      <c r="H151" s="84">
        <v>0</v>
      </c>
      <c r="I151" s="109">
        <f t="shared" si="61"/>
        <v>13.6858125328884</v>
      </c>
      <c r="J151" s="85">
        <f t="shared" si="60"/>
        <v>22.868889179102069</v>
      </c>
      <c r="K151" s="129">
        <f t="shared" si="51"/>
        <v>36.554701711990468</v>
      </c>
      <c r="L151" s="85">
        <f t="shared" si="62"/>
        <v>150.91174979912233</v>
      </c>
      <c r="M151" s="130">
        <f t="shared" si="52"/>
        <v>187.46645151111281</v>
      </c>
      <c r="N151" s="8">
        <f t="shared" si="53"/>
        <v>1833.4420748312186</v>
      </c>
      <c r="O151" s="84">
        <f t="shared" si="54"/>
        <v>1645.9756233201058</v>
      </c>
    </row>
    <row r="152" spans="1:15" x14ac:dyDescent="0.2">
      <c r="A152" s="96" t="s">
        <v>64</v>
      </c>
      <c r="B152" s="81" t="str">
        <f t="shared" si="59"/>
        <v>Q4/2018</v>
      </c>
      <c r="C152" s="82">
        <f t="shared" si="57"/>
        <v>43374</v>
      </c>
      <c r="D152" s="82">
        <f t="shared" si="58"/>
        <v>43465</v>
      </c>
      <c r="E152" s="81">
        <f t="shared" si="55"/>
        <v>92</v>
      </c>
      <c r="F152" s="83">
        <f>VLOOKUP(D152,'FERC Interest Rate'!$A:$B,2,TRUE)</f>
        <v>5.2822580000000001E-2</v>
      </c>
      <c r="G152" s="84">
        <f t="shared" si="56"/>
        <v>1645.9756233201058</v>
      </c>
      <c r="H152" s="84">
        <v>0</v>
      </c>
      <c r="I152" s="109">
        <f t="shared" si="61"/>
        <v>13.6858125328884</v>
      </c>
      <c r="J152" s="85">
        <f t="shared" si="60"/>
        <v>21.91482321030303</v>
      </c>
      <c r="K152" s="129">
        <f t="shared" si="51"/>
        <v>35.600635743191432</v>
      </c>
      <c r="L152" s="85">
        <f t="shared" si="62"/>
        <v>150.91174979912233</v>
      </c>
      <c r="M152" s="130">
        <f t="shared" si="52"/>
        <v>186.51238554231378</v>
      </c>
      <c r="N152" s="8">
        <f t="shared" si="53"/>
        <v>1667.8904465304088</v>
      </c>
      <c r="O152" s="84">
        <f t="shared" si="54"/>
        <v>1481.3780609880951</v>
      </c>
    </row>
    <row r="153" spans="1:15" x14ac:dyDescent="0.2">
      <c r="A153" s="96" t="s">
        <v>65</v>
      </c>
      <c r="B153" s="81" t="str">
        <f t="shared" si="59"/>
        <v>Q1/2019</v>
      </c>
      <c r="C153" s="82">
        <f t="shared" si="57"/>
        <v>43466</v>
      </c>
      <c r="D153" s="82">
        <f t="shared" si="58"/>
        <v>43555</v>
      </c>
      <c r="E153" s="81">
        <f t="shared" si="55"/>
        <v>90</v>
      </c>
      <c r="F153" s="83">
        <f>VLOOKUP(D153,'FERC Interest Rate'!$A:$B,2,TRUE)</f>
        <v>5.5296770000000002E-2</v>
      </c>
      <c r="G153" s="84">
        <f t="shared" si="56"/>
        <v>1481.3780609880951</v>
      </c>
      <c r="H153" s="84">
        <v>0</v>
      </c>
      <c r="I153" s="109">
        <f t="shared" si="61"/>
        <v>13.6858125328884</v>
      </c>
      <c r="J153" s="85">
        <f t="shared" si="60"/>
        <v>20.1983232135217</v>
      </c>
      <c r="K153" s="129">
        <f t="shared" si="51"/>
        <v>33.884135746410102</v>
      </c>
      <c r="L153" s="85">
        <f t="shared" si="62"/>
        <v>150.91174979912233</v>
      </c>
      <c r="M153" s="130">
        <f t="shared" si="52"/>
        <v>184.79588554553243</v>
      </c>
      <c r="N153" s="8">
        <f t="shared" si="53"/>
        <v>1501.5763842016167</v>
      </c>
      <c r="O153" s="84">
        <f t="shared" si="54"/>
        <v>1316.7804986560843</v>
      </c>
    </row>
    <row r="154" spans="1:15" x14ac:dyDescent="0.2">
      <c r="A154" s="96" t="s">
        <v>66</v>
      </c>
      <c r="B154" s="81" t="str">
        <f t="shared" si="59"/>
        <v>Q2/2019</v>
      </c>
      <c r="C154" s="82">
        <f t="shared" si="57"/>
        <v>43556</v>
      </c>
      <c r="D154" s="82">
        <f t="shared" si="58"/>
        <v>43646</v>
      </c>
      <c r="E154" s="81">
        <f t="shared" si="55"/>
        <v>91</v>
      </c>
      <c r="F154" s="83">
        <f>VLOOKUP(D154,'FERC Interest Rate'!$A:$B,2,TRUE)</f>
        <v>5.7999999999999996E-2</v>
      </c>
      <c r="G154" s="84">
        <f t="shared" si="56"/>
        <v>1316.7804986560843</v>
      </c>
      <c r="H154" s="84">
        <v>0</v>
      </c>
      <c r="I154" s="109">
        <f t="shared" si="61"/>
        <v>13.6858125328884</v>
      </c>
      <c r="J154" s="85">
        <f t="shared" si="60"/>
        <v>19.041006772347433</v>
      </c>
      <c r="K154" s="129">
        <f t="shared" si="51"/>
        <v>32.726819305235836</v>
      </c>
      <c r="L154" s="85">
        <f t="shared" si="62"/>
        <v>150.91174979912233</v>
      </c>
      <c r="M154" s="130">
        <f t="shared" si="52"/>
        <v>183.63856910435817</v>
      </c>
      <c r="N154" s="8">
        <f t="shared" si="53"/>
        <v>1335.8215054284317</v>
      </c>
      <c r="O154" s="84">
        <f t="shared" si="54"/>
        <v>1152.1829363240736</v>
      </c>
    </row>
    <row r="155" spans="1:15" x14ac:dyDescent="0.2">
      <c r="A155" s="96" t="s">
        <v>67</v>
      </c>
      <c r="B155" s="81" t="str">
        <f t="shared" si="59"/>
        <v>Q3/2019</v>
      </c>
      <c r="C155" s="82">
        <f t="shared" si="57"/>
        <v>43647</v>
      </c>
      <c r="D155" s="82">
        <f t="shared" si="58"/>
        <v>43738</v>
      </c>
      <c r="E155" s="81">
        <f t="shared" si="55"/>
        <v>92</v>
      </c>
      <c r="F155" s="83">
        <f>VLOOKUP(D155,'FERC Interest Rate'!$A:$B,2,TRUE)</f>
        <v>0.06</v>
      </c>
      <c r="G155" s="84">
        <f t="shared" si="56"/>
        <v>1152.1829363240736</v>
      </c>
      <c r="H155" s="84">
        <v>0</v>
      </c>
      <c r="I155" s="109">
        <f t="shared" si="61"/>
        <v>13.6858125328884</v>
      </c>
      <c r="J155" s="85">
        <f t="shared" si="60"/>
        <v>17.424793995914758</v>
      </c>
      <c r="K155" s="129">
        <f t="shared" si="51"/>
        <v>31.11060652880316</v>
      </c>
      <c r="L155" s="85">
        <f t="shared" si="62"/>
        <v>150.91174979912233</v>
      </c>
      <c r="M155" s="130">
        <f t="shared" si="52"/>
        <v>182.02235632792548</v>
      </c>
      <c r="N155" s="8">
        <f t="shared" si="53"/>
        <v>1169.6077303199884</v>
      </c>
      <c r="O155" s="84">
        <f t="shared" si="54"/>
        <v>987.58537399206284</v>
      </c>
    </row>
    <row r="156" spans="1:15" x14ac:dyDescent="0.2">
      <c r="A156" s="96" t="s">
        <v>68</v>
      </c>
      <c r="B156" s="81" t="str">
        <f t="shared" si="59"/>
        <v>Q4/2019</v>
      </c>
      <c r="C156" s="82">
        <f t="shared" si="57"/>
        <v>43739</v>
      </c>
      <c r="D156" s="82">
        <f t="shared" si="58"/>
        <v>43830</v>
      </c>
      <c r="E156" s="81">
        <f t="shared" si="55"/>
        <v>92</v>
      </c>
      <c r="F156" s="83">
        <f>VLOOKUP(D156,'FERC Interest Rate'!$A:$B,2,TRUE)</f>
        <v>6.0349460000000001E-2</v>
      </c>
      <c r="G156" s="84">
        <f t="shared" si="56"/>
        <v>987.58537399206284</v>
      </c>
      <c r="H156" s="84">
        <v>0</v>
      </c>
      <c r="I156" s="109">
        <f t="shared" si="61"/>
        <v>13.6858125328884</v>
      </c>
      <c r="J156" s="85">
        <f t="shared" si="60"/>
        <v>15.022527260924251</v>
      </c>
      <c r="K156" s="129">
        <f t="shared" si="51"/>
        <v>28.708339793812652</v>
      </c>
      <c r="L156" s="85">
        <f t="shared" si="62"/>
        <v>150.91174979912233</v>
      </c>
      <c r="M156" s="130">
        <f t="shared" si="52"/>
        <v>179.62008959293499</v>
      </c>
      <c r="N156" s="8">
        <f t="shared" si="53"/>
        <v>1002.6079012529871</v>
      </c>
      <c r="O156" s="84">
        <f t="shared" si="54"/>
        <v>822.9878116600521</v>
      </c>
    </row>
    <row r="157" spans="1:15" x14ac:dyDescent="0.2">
      <c r="A157" s="96" t="s">
        <v>69</v>
      </c>
      <c r="B157" s="81" t="str">
        <f t="shared" si="59"/>
        <v>Q1/2020</v>
      </c>
      <c r="C157" s="82">
        <f t="shared" si="57"/>
        <v>43831</v>
      </c>
      <c r="D157" s="82">
        <f t="shared" si="58"/>
        <v>43921</v>
      </c>
      <c r="E157" s="81">
        <f t="shared" si="55"/>
        <v>91</v>
      </c>
      <c r="F157" s="83">
        <f>VLOOKUP(D157,'FERC Interest Rate'!$A:$B,2,TRUE)</f>
        <v>6.2501040000000008E-2</v>
      </c>
      <c r="G157" s="84">
        <f t="shared" si="56"/>
        <v>822.9878116600521</v>
      </c>
      <c r="H157" s="84">
        <v>0</v>
      </c>
      <c r="I157" s="109">
        <f t="shared" si="61"/>
        <v>13.6858125328884</v>
      </c>
      <c r="J157" s="85">
        <f t="shared" si="60"/>
        <v>12.789128596674978</v>
      </c>
      <c r="K157" s="129">
        <f t="shared" si="51"/>
        <v>26.474941129563376</v>
      </c>
      <c r="L157" s="85">
        <f t="shared" si="62"/>
        <v>150.91174979912233</v>
      </c>
      <c r="M157" s="130">
        <f t="shared" si="52"/>
        <v>177.38669092868571</v>
      </c>
      <c r="N157" s="8">
        <f t="shared" si="53"/>
        <v>835.77694025672713</v>
      </c>
      <c r="O157" s="84">
        <f t="shared" si="54"/>
        <v>658.39024932804136</v>
      </c>
    </row>
    <row r="158" spans="1:15" x14ac:dyDescent="0.2">
      <c r="A158" s="96" t="s">
        <v>70</v>
      </c>
      <c r="B158" s="81" t="str">
        <f t="shared" si="59"/>
        <v>Q2/2020</v>
      </c>
      <c r="C158" s="82">
        <f t="shared" si="57"/>
        <v>43922</v>
      </c>
      <c r="D158" s="82">
        <f t="shared" si="58"/>
        <v>44012</v>
      </c>
      <c r="E158" s="81">
        <f t="shared" si="55"/>
        <v>91</v>
      </c>
      <c r="F158" s="83">
        <f>VLOOKUP(D158,'FERC Interest Rate'!$A:$B,2,TRUE)</f>
        <v>6.3055559999999997E-2</v>
      </c>
      <c r="G158" s="84">
        <f t="shared" si="56"/>
        <v>658.39024932804136</v>
      </c>
      <c r="H158" s="84">
        <v>0</v>
      </c>
      <c r="I158" s="109">
        <f t="shared" si="61"/>
        <v>13.6858125328884</v>
      </c>
      <c r="J158" s="85">
        <f t="shared" si="60"/>
        <v>10.322076760007251</v>
      </c>
      <c r="K158" s="129">
        <f t="shared" si="51"/>
        <v>24.007889292895651</v>
      </c>
      <c r="L158" s="85">
        <f t="shared" si="62"/>
        <v>150.91174979912233</v>
      </c>
      <c r="M158" s="130">
        <f t="shared" si="52"/>
        <v>174.91963909201797</v>
      </c>
      <c r="N158" s="8">
        <f t="shared" si="53"/>
        <v>668.7123260880486</v>
      </c>
      <c r="O158" s="84">
        <f t="shared" si="54"/>
        <v>493.79268699603062</v>
      </c>
    </row>
    <row r="159" spans="1:15" x14ac:dyDescent="0.2">
      <c r="A159" s="96" t="s">
        <v>71</v>
      </c>
      <c r="B159" s="81" t="str">
        <f t="shared" si="59"/>
        <v>Q3/2020</v>
      </c>
      <c r="C159" s="82">
        <f t="shared" si="57"/>
        <v>44013</v>
      </c>
      <c r="D159" s="82">
        <f t="shared" si="58"/>
        <v>44104</v>
      </c>
      <c r="E159" s="81">
        <f t="shared" si="55"/>
        <v>92</v>
      </c>
      <c r="F159" s="83">
        <f>VLOOKUP(D159,'FERC Interest Rate'!$A:$B,2,TRUE)</f>
        <v>6.5000000000000002E-2</v>
      </c>
      <c r="G159" s="84">
        <f t="shared" si="56"/>
        <v>493.79268699603062</v>
      </c>
      <c r="H159" s="84">
        <v>0</v>
      </c>
      <c r="I159" s="109">
        <f t="shared" si="61"/>
        <v>13.6858125328884</v>
      </c>
      <c r="J159" s="85">
        <f t="shared" si="60"/>
        <v>8.067978874962467</v>
      </c>
      <c r="K159" s="129">
        <f t="shared" si="51"/>
        <v>21.753791407850869</v>
      </c>
      <c r="L159" s="85">
        <f t="shared" si="62"/>
        <v>150.91174979912233</v>
      </c>
      <c r="M159" s="130">
        <f t="shared" si="52"/>
        <v>172.66554120697322</v>
      </c>
      <c r="N159" s="8">
        <f t="shared" si="53"/>
        <v>501.8606658709931</v>
      </c>
      <c r="O159" s="84">
        <f t="shared" si="54"/>
        <v>329.19512466401989</v>
      </c>
    </row>
    <row r="160" spans="1:15" x14ac:dyDescent="0.2">
      <c r="A160" s="96" t="s">
        <v>72</v>
      </c>
      <c r="B160" s="81" t="str">
        <f t="shared" si="59"/>
        <v>Q4/2020</v>
      </c>
      <c r="C160" s="82">
        <f t="shared" si="57"/>
        <v>44105</v>
      </c>
      <c r="D160" s="82">
        <f t="shared" si="58"/>
        <v>44196</v>
      </c>
      <c r="E160" s="81">
        <f t="shared" si="55"/>
        <v>92</v>
      </c>
      <c r="F160" s="83">
        <f>VLOOKUP(D160,'FERC Interest Rate'!$A:$B,2,TRUE)</f>
        <v>6.5000000000000002E-2</v>
      </c>
      <c r="G160" s="84">
        <f t="shared" si="56"/>
        <v>329.19512466401989</v>
      </c>
      <c r="H160" s="84">
        <v>0</v>
      </c>
      <c r="I160" s="109">
        <f t="shared" si="61"/>
        <v>13.6858125328884</v>
      </c>
      <c r="J160" s="85">
        <f t="shared" si="60"/>
        <v>5.3786525833083028</v>
      </c>
      <c r="K160" s="129">
        <f t="shared" si="51"/>
        <v>19.064465116196704</v>
      </c>
      <c r="L160" s="85">
        <f t="shared" si="62"/>
        <v>150.91174979912233</v>
      </c>
      <c r="M160" s="130">
        <f t="shared" si="52"/>
        <v>169.97621491531905</v>
      </c>
      <c r="N160" s="8">
        <f t="shared" si="53"/>
        <v>334.57377724732817</v>
      </c>
      <c r="O160" s="84">
        <f t="shared" si="54"/>
        <v>164.59756233200915</v>
      </c>
    </row>
    <row r="161" spans="1:15" x14ac:dyDescent="0.2">
      <c r="A161" s="96" t="s">
        <v>73</v>
      </c>
      <c r="B161" s="81" t="str">
        <f t="shared" si="59"/>
        <v>Q1/2021</v>
      </c>
      <c r="C161" s="82">
        <f t="shared" si="57"/>
        <v>44197</v>
      </c>
      <c r="D161" s="82">
        <f t="shared" si="58"/>
        <v>44286</v>
      </c>
      <c r="E161" s="81">
        <f t="shared" si="55"/>
        <v>90</v>
      </c>
      <c r="F161" s="83">
        <f>VLOOKUP(D161,'FERC Interest Rate'!$A:$B,2,TRUE)</f>
        <v>6.5000000000000002E-2</v>
      </c>
      <c r="G161" s="84">
        <f t="shared" si="56"/>
        <v>164.59756233200915</v>
      </c>
      <c r="H161" s="84">
        <v>0</v>
      </c>
      <c r="I161" s="109">
        <f t="shared" si="61"/>
        <v>13.6858125328884</v>
      </c>
      <c r="J161" s="85">
        <f t="shared" si="60"/>
        <v>2.6380705195678176</v>
      </c>
      <c r="K161" s="129">
        <f>+SUM(I161:J161)</f>
        <v>16.323883052456218</v>
      </c>
      <c r="L161" s="85">
        <f t="shared" si="62"/>
        <v>150.91174979912233</v>
      </c>
      <c r="M161" s="130">
        <f t="shared" si="52"/>
        <v>167.23563285157854</v>
      </c>
      <c r="N161" s="8">
        <f t="shared" si="53"/>
        <v>167.23563285157695</v>
      </c>
      <c r="O161" s="84">
        <f t="shared" si="54"/>
        <v>-1.5862866575844237E-12</v>
      </c>
    </row>
    <row r="162" spans="1:15" x14ac:dyDescent="0.2">
      <c r="A162" s="96"/>
      <c r="B162" s="81"/>
      <c r="C162" s="82"/>
      <c r="D162" s="82"/>
      <c r="E162" s="81"/>
      <c r="F162" s="83"/>
      <c r="G162" s="84"/>
      <c r="H162" s="84"/>
      <c r="I162" s="109"/>
      <c r="J162" s="85"/>
      <c r="K162" s="129"/>
      <c r="L162" s="85"/>
      <c r="M162" s="130"/>
      <c r="N162" s="8"/>
      <c r="O162" s="84"/>
    </row>
    <row r="163" spans="1:15" ht="13.5" thickBot="1" x14ac:dyDescent="0.25">
      <c r="A163" s="151"/>
      <c r="B163" s="152"/>
      <c r="C163" s="153"/>
      <c r="D163" s="153"/>
      <c r="E163" s="154"/>
      <c r="F163" s="152"/>
      <c r="G163" s="137">
        <f>SUM(G135:G162)</f>
        <v>56836.62402273318</v>
      </c>
      <c r="H163" s="137">
        <f>SUM(H135:H162)</f>
        <v>273.716250657768</v>
      </c>
      <c r="I163" s="138">
        <f t="shared" ref="I163:O163" si="63">SUM(I135:I162)</f>
        <v>273.71625065776806</v>
      </c>
      <c r="J163" s="137">
        <f t="shared" si="63"/>
        <v>301.72462515562694</v>
      </c>
      <c r="K163" s="137">
        <f t="shared" si="63"/>
        <v>575.440875813395</v>
      </c>
      <c r="L163" s="137">
        <f t="shared" si="63"/>
        <v>3018.2349959824473</v>
      </c>
      <c r="M163" s="139">
        <f t="shared" si="63"/>
        <v>3593.6758717958414</v>
      </c>
      <c r="N163" s="137">
        <f t="shared" si="63"/>
        <v>57412.064898546581</v>
      </c>
      <c r="O163" s="137">
        <f t="shared" si="63"/>
        <v>53818.389026750745</v>
      </c>
    </row>
    <row r="164" spans="1:15" ht="13.5" thickTop="1" x14ac:dyDescent="0.2">
      <c r="B164" s="117"/>
      <c r="C164" s="117"/>
      <c r="D164" s="117"/>
      <c r="E164" s="117"/>
      <c r="F164" s="117"/>
      <c r="G164" s="117"/>
      <c r="H164" s="117"/>
      <c r="I164" s="116"/>
      <c r="J164" s="117"/>
      <c r="K164" s="117"/>
      <c r="L164" s="117"/>
      <c r="M164" s="131"/>
      <c r="O164" s="117"/>
    </row>
    <row r="165" spans="1:15" ht="38.25" x14ac:dyDescent="0.2">
      <c r="A165" s="90" t="s">
        <v>53</v>
      </c>
      <c r="B165" s="90" t="s">
        <v>3</v>
      </c>
      <c r="C165" s="90" t="s">
        <v>4</v>
      </c>
      <c r="D165" s="90" t="s">
        <v>5</v>
      </c>
      <c r="E165" s="90" t="s">
        <v>6</v>
      </c>
      <c r="F165" s="90" t="s">
        <v>7</v>
      </c>
      <c r="G165" s="90" t="s">
        <v>93</v>
      </c>
      <c r="H165" s="90" t="s">
        <v>94</v>
      </c>
      <c r="I165" s="105" t="s">
        <v>95</v>
      </c>
      <c r="J165" s="106" t="s">
        <v>96</v>
      </c>
      <c r="K165" s="106" t="s">
        <v>97</v>
      </c>
      <c r="L165" s="106" t="s">
        <v>98</v>
      </c>
      <c r="M165" s="107" t="s">
        <v>99</v>
      </c>
      <c r="N165" s="90" t="s">
        <v>100</v>
      </c>
      <c r="O165" s="90" t="s">
        <v>101</v>
      </c>
    </row>
    <row r="166" spans="1:15" x14ac:dyDescent="0.2">
      <c r="A166" s="309" t="s">
        <v>15</v>
      </c>
      <c r="B166" s="309"/>
      <c r="C166" s="282">
        <f>VLOOKUP(B167,A$1:F$19,2,FALSE)</f>
        <v>41978</v>
      </c>
      <c r="D166" s="282">
        <f>DATE(YEAR(C166),IF(MONTH(C166)&lt;=3,3,IF(MONTH(C166)&lt;=6,6,IF(MONTH(C166)&lt;=9,9,12))),IF(OR(MONTH(C166)&lt;=3,MONTH(C166)&gt;=10),31,30))</f>
        <v>42004</v>
      </c>
      <c r="E166" s="283">
        <f>D166-C166+1</f>
        <v>27</v>
      </c>
      <c r="F166" s="284">
        <f>VLOOKUP(D166,'FERC Interest Rate'!$A:$B,2,TRUE)</f>
        <v>3.2500000000000001E-2</v>
      </c>
      <c r="G166" s="167">
        <f>VLOOKUP(B167,$A$1:$F$23,5,FALSE)</f>
        <v>4130.7073366709928</v>
      </c>
      <c r="H166" s="167">
        <f t="shared" ref="H166:H175" si="64">G166*F166*(E166/(DATE(YEAR(D166),12,31)-DATE(YEAR(D166),1,1)+1))</f>
        <v>9.9306731176131411</v>
      </c>
      <c r="I166" s="291">
        <v>0</v>
      </c>
      <c r="J166" s="286">
        <v>0</v>
      </c>
      <c r="K166" s="288">
        <f t="shared" ref="K166:K191" si="65">+SUM(I166:J166)</f>
        <v>0</v>
      </c>
      <c r="L166" s="286">
        <v>0</v>
      </c>
      <c r="M166" s="289">
        <f t="shared" ref="M166:M191" si="66">+SUM(K166:L166)</f>
        <v>0</v>
      </c>
      <c r="N166" s="290">
        <f t="shared" ref="N166:N191" si="67">+G166+H166+J166</f>
        <v>4140.6380097886058</v>
      </c>
      <c r="O166" s="167">
        <f t="shared" ref="O166:O191" si="68">G166+H166-L166-I166</f>
        <v>4140.6380097886058</v>
      </c>
    </row>
    <row r="167" spans="1:15" x14ac:dyDescent="0.2">
      <c r="A167" s="275" t="s">
        <v>38</v>
      </c>
      <c r="B167" s="276" t="s">
        <v>57</v>
      </c>
      <c r="C167" s="282">
        <f>D166+1</f>
        <v>42005</v>
      </c>
      <c r="D167" s="282">
        <f>EOMONTH(D166,3)</f>
        <v>42094</v>
      </c>
      <c r="E167" s="283">
        <f t="shared" ref="E167:E191" si="69">D167-C167+1</f>
        <v>90</v>
      </c>
      <c r="F167" s="284">
        <f>VLOOKUP(D167,'FERC Interest Rate'!$A:$B,2,TRUE)</f>
        <v>3.2500000000000001E-2</v>
      </c>
      <c r="G167" s="167">
        <f t="shared" ref="G167:G191" si="70">O166</f>
        <v>4140.6380097886058</v>
      </c>
      <c r="H167" s="167">
        <f t="shared" si="64"/>
        <v>33.181825146936085</v>
      </c>
      <c r="I167" s="291">
        <v>0</v>
      </c>
      <c r="J167" s="286">
        <v>0</v>
      </c>
      <c r="K167" s="288">
        <f t="shared" si="65"/>
        <v>0</v>
      </c>
      <c r="L167" s="286">
        <v>0</v>
      </c>
      <c r="M167" s="289">
        <f t="shared" si="66"/>
        <v>0</v>
      </c>
      <c r="N167" s="290">
        <f t="shared" si="67"/>
        <v>4173.8198349355416</v>
      </c>
      <c r="O167" s="167">
        <f t="shared" si="68"/>
        <v>4173.8198349355416</v>
      </c>
    </row>
    <row r="168" spans="1:15" x14ac:dyDescent="0.2">
      <c r="B168" s="283"/>
      <c r="C168" s="282">
        <f t="shared" ref="C168:C191" si="71">D167+1</f>
        <v>42095</v>
      </c>
      <c r="D168" s="282">
        <f t="shared" ref="D168:D191" si="72">EOMONTH(D167,3)</f>
        <v>42185</v>
      </c>
      <c r="E168" s="283">
        <f t="shared" si="69"/>
        <v>91</v>
      </c>
      <c r="F168" s="284">
        <f>VLOOKUP(D168,'FERC Interest Rate'!$A:$B,2,TRUE)</f>
        <v>3.2500000000000001E-2</v>
      </c>
      <c r="G168" s="167">
        <f t="shared" si="70"/>
        <v>4173.8198349355416</v>
      </c>
      <c r="H168" s="167">
        <f t="shared" si="64"/>
        <v>33.819375785813328</v>
      </c>
      <c r="I168" s="291">
        <v>0</v>
      </c>
      <c r="J168" s="286">
        <v>0</v>
      </c>
      <c r="K168" s="288">
        <f t="shared" si="65"/>
        <v>0</v>
      </c>
      <c r="L168" s="286">
        <v>0</v>
      </c>
      <c r="M168" s="289">
        <f t="shared" si="66"/>
        <v>0</v>
      </c>
      <c r="N168" s="290">
        <f t="shared" si="67"/>
        <v>4207.6392107213551</v>
      </c>
      <c r="O168" s="167">
        <f t="shared" si="68"/>
        <v>4207.6392107213551</v>
      </c>
    </row>
    <row r="169" spans="1:15" x14ac:dyDescent="0.2">
      <c r="B169" s="283"/>
      <c r="C169" s="282">
        <f t="shared" si="71"/>
        <v>42186</v>
      </c>
      <c r="D169" s="282">
        <f t="shared" si="72"/>
        <v>42277</v>
      </c>
      <c r="E169" s="283">
        <f t="shared" si="69"/>
        <v>92</v>
      </c>
      <c r="F169" s="284">
        <f>VLOOKUP(D169,'FERC Interest Rate'!$A:$B,2,TRUE)</f>
        <v>3.2500000000000001E-2</v>
      </c>
      <c r="G169" s="167">
        <f t="shared" si="70"/>
        <v>4207.6392107213551</v>
      </c>
      <c r="H169" s="167">
        <f t="shared" si="64"/>
        <v>34.468058191936585</v>
      </c>
      <c r="I169" s="291">
        <v>0</v>
      </c>
      <c r="J169" s="286">
        <v>0</v>
      </c>
      <c r="K169" s="288">
        <f t="shared" si="65"/>
        <v>0</v>
      </c>
      <c r="L169" s="286">
        <v>0</v>
      </c>
      <c r="M169" s="289">
        <f t="shared" si="66"/>
        <v>0</v>
      </c>
      <c r="N169" s="290">
        <f t="shared" si="67"/>
        <v>4242.1072689132916</v>
      </c>
      <c r="O169" s="167">
        <f t="shared" si="68"/>
        <v>4242.1072689132916</v>
      </c>
    </row>
    <row r="170" spans="1:15" x14ac:dyDescent="0.2">
      <c r="B170" s="283"/>
      <c r="C170" s="282">
        <f t="shared" si="71"/>
        <v>42278</v>
      </c>
      <c r="D170" s="282">
        <f t="shared" si="72"/>
        <v>42369</v>
      </c>
      <c r="E170" s="283">
        <f t="shared" si="69"/>
        <v>92</v>
      </c>
      <c r="F170" s="284">
        <f>VLOOKUP(D170,'FERC Interest Rate'!$A:$B,2,TRUE)</f>
        <v>3.2500000000000001E-2</v>
      </c>
      <c r="G170" s="167">
        <f t="shared" si="70"/>
        <v>4242.1072689132916</v>
      </c>
      <c r="H170" s="167">
        <f t="shared" si="64"/>
        <v>34.750412970002031</v>
      </c>
      <c r="I170" s="291">
        <v>0</v>
      </c>
      <c r="J170" s="286">
        <v>0</v>
      </c>
      <c r="K170" s="288">
        <f t="shared" si="65"/>
        <v>0</v>
      </c>
      <c r="L170" s="286">
        <v>0</v>
      </c>
      <c r="M170" s="289">
        <f t="shared" si="66"/>
        <v>0</v>
      </c>
      <c r="N170" s="290">
        <f t="shared" si="67"/>
        <v>4276.8576818832935</v>
      </c>
      <c r="O170" s="167">
        <f t="shared" si="68"/>
        <v>4276.8576818832935</v>
      </c>
    </row>
    <row r="171" spans="1:15" x14ac:dyDescent="0.2">
      <c r="B171" s="283"/>
      <c r="C171" s="282">
        <f t="shared" si="71"/>
        <v>42370</v>
      </c>
      <c r="D171" s="282">
        <f t="shared" si="72"/>
        <v>42460</v>
      </c>
      <c r="E171" s="283">
        <f t="shared" si="69"/>
        <v>91</v>
      </c>
      <c r="F171" s="284">
        <f>VLOOKUP(D171,'FERC Interest Rate'!$A:$B,2,TRUE)</f>
        <v>3.2500000000000001E-2</v>
      </c>
      <c r="G171" s="167">
        <f t="shared" si="70"/>
        <v>4276.8576818832935</v>
      </c>
      <c r="H171" s="167">
        <f t="shared" si="64"/>
        <v>34.559580858387548</v>
      </c>
      <c r="I171" s="291">
        <v>0</v>
      </c>
      <c r="J171" s="286">
        <v>0</v>
      </c>
      <c r="K171" s="288">
        <f t="shared" si="65"/>
        <v>0</v>
      </c>
      <c r="L171" s="286">
        <v>0</v>
      </c>
      <c r="M171" s="289">
        <f t="shared" si="66"/>
        <v>0</v>
      </c>
      <c r="N171" s="290">
        <f t="shared" si="67"/>
        <v>4311.417262741681</v>
      </c>
      <c r="O171" s="167">
        <f t="shared" si="68"/>
        <v>4311.417262741681</v>
      </c>
    </row>
    <row r="172" spans="1:15" x14ac:dyDescent="0.2">
      <c r="A172" s="96"/>
      <c r="B172" s="81"/>
      <c r="C172" s="82">
        <f t="shared" si="71"/>
        <v>42461</v>
      </c>
      <c r="D172" s="82">
        <f t="shared" si="72"/>
        <v>42551</v>
      </c>
      <c r="E172" s="81">
        <f t="shared" si="69"/>
        <v>91</v>
      </c>
      <c r="F172" s="83">
        <f>VLOOKUP(D172,'FERC Interest Rate'!$A:$B,2,TRUE)</f>
        <v>3.4599999999999999E-2</v>
      </c>
      <c r="G172" s="84">
        <f t="shared" si="70"/>
        <v>4311.417262741681</v>
      </c>
      <c r="H172" s="167">
        <f t="shared" si="64"/>
        <v>37.089968288165181</v>
      </c>
      <c r="I172" s="173">
        <v>0</v>
      </c>
      <c r="J172" s="286">
        <v>0</v>
      </c>
      <c r="K172" s="129">
        <f t="shared" si="65"/>
        <v>0</v>
      </c>
      <c r="L172" s="85">
        <v>0</v>
      </c>
      <c r="M172" s="130">
        <f t="shared" si="66"/>
        <v>0</v>
      </c>
      <c r="N172" s="8">
        <f t="shared" si="67"/>
        <v>4348.5072310298465</v>
      </c>
      <c r="O172" s="84">
        <f t="shared" si="68"/>
        <v>4348.5072310298465</v>
      </c>
    </row>
    <row r="173" spans="1:15" x14ac:dyDescent="0.2">
      <c r="A173" s="274"/>
      <c r="B173" s="81"/>
      <c r="C173" s="82">
        <f t="shared" si="71"/>
        <v>42552</v>
      </c>
      <c r="D173" s="82">
        <f t="shared" si="72"/>
        <v>42643</v>
      </c>
      <c r="E173" s="81">
        <f t="shared" si="69"/>
        <v>92</v>
      </c>
      <c r="F173" s="83">
        <f>VLOOKUP(D173,'FERC Interest Rate'!$A:$B,2,TRUE)</f>
        <v>3.5000000000000003E-2</v>
      </c>
      <c r="G173" s="84">
        <f t="shared" si="70"/>
        <v>4348.5072310298465</v>
      </c>
      <c r="H173" s="84">
        <f t="shared" si="64"/>
        <v>38.257358699224334</v>
      </c>
      <c r="I173" s="173">
        <v>0</v>
      </c>
      <c r="J173" s="85">
        <v>0</v>
      </c>
      <c r="K173" s="129">
        <f t="shared" si="65"/>
        <v>0</v>
      </c>
      <c r="L173" s="85">
        <v>0</v>
      </c>
      <c r="M173" s="130">
        <f t="shared" si="66"/>
        <v>0</v>
      </c>
      <c r="N173" s="8">
        <f t="shared" si="67"/>
        <v>4386.7645897290704</v>
      </c>
      <c r="O173" s="84">
        <f t="shared" si="68"/>
        <v>4386.7645897290704</v>
      </c>
    </row>
    <row r="174" spans="1:15" x14ac:dyDescent="0.2">
      <c r="A174" s="96"/>
      <c r="B174" s="81"/>
      <c r="C174" s="82">
        <f t="shared" si="71"/>
        <v>42644</v>
      </c>
      <c r="D174" s="82">
        <f t="shared" si="72"/>
        <v>42735</v>
      </c>
      <c r="E174" s="81">
        <f t="shared" si="69"/>
        <v>92</v>
      </c>
      <c r="F174" s="83">
        <f>VLOOKUP(D174,'FERC Interest Rate'!$A:$B,2,TRUE)</f>
        <v>3.5000000000000003E-2</v>
      </c>
      <c r="G174" s="84">
        <f t="shared" si="70"/>
        <v>4386.7645897290704</v>
      </c>
      <c r="H174" s="84">
        <f t="shared" si="64"/>
        <v>38.593939833135543</v>
      </c>
      <c r="I174" s="173">
        <v>0</v>
      </c>
      <c r="J174" s="85">
        <v>0</v>
      </c>
      <c r="K174" s="129">
        <f t="shared" si="65"/>
        <v>0</v>
      </c>
      <c r="L174" s="85">
        <v>0</v>
      </c>
      <c r="M174" s="130">
        <f t="shared" si="66"/>
        <v>0</v>
      </c>
      <c r="N174" s="8">
        <f t="shared" si="67"/>
        <v>4425.3585295622061</v>
      </c>
      <c r="O174" s="84">
        <f t="shared" si="68"/>
        <v>4425.3585295622061</v>
      </c>
    </row>
    <row r="175" spans="1:15" x14ac:dyDescent="0.2">
      <c r="A175" s="96" t="s">
        <v>102</v>
      </c>
      <c r="B175" s="81" t="str">
        <f t="shared" ref="B175:B191" si="73">+IF(MONTH(C175)&lt;4,"Q1",IF(MONTH(C175)&lt;7,"Q2",IF(MONTH(C175)&lt;10,"Q3","Q4")))&amp;"/"&amp;YEAR(C175)</f>
        <v>Q1/2017</v>
      </c>
      <c r="C175" s="82">
        <f t="shared" si="71"/>
        <v>42736</v>
      </c>
      <c r="D175" s="82">
        <f t="shared" si="72"/>
        <v>42825</v>
      </c>
      <c r="E175" s="81">
        <f t="shared" si="69"/>
        <v>90</v>
      </c>
      <c r="F175" s="83">
        <f>VLOOKUP(D175,'FERC Interest Rate'!$A:$B,2,TRUE)</f>
        <v>3.5000000000000003E-2</v>
      </c>
      <c r="G175" s="84">
        <f t="shared" si="70"/>
        <v>4425.3585295622061</v>
      </c>
      <c r="H175" s="84">
        <f t="shared" si="64"/>
        <v>38.191450323619037</v>
      </c>
      <c r="I175" s="109">
        <f>(SUM($H$166:$H$192)/20)*4</f>
        <v>66.568528642966569</v>
      </c>
      <c r="J175" s="85">
        <f t="shared" ref="J175:J191" si="74">G175*F175*(E175/(DATE(YEAR(D175),12,31)-DATE(YEAR(D175),1,1)+1))</f>
        <v>38.191450323619037</v>
      </c>
      <c r="K175" s="129">
        <f t="shared" si="65"/>
        <v>104.75997896658561</v>
      </c>
      <c r="L175" s="85">
        <f>VLOOKUP($B$167,A$1:F$19,5,FALSE)/20*4</f>
        <v>826.14146733419852</v>
      </c>
      <c r="M175" s="130">
        <f t="shared" si="66"/>
        <v>930.90144630078407</v>
      </c>
      <c r="N175" s="8">
        <f t="shared" si="67"/>
        <v>4501.7414302094448</v>
      </c>
      <c r="O175" s="84">
        <f t="shared" si="68"/>
        <v>3570.8399839086601</v>
      </c>
    </row>
    <row r="176" spans="1:15" x14ac:dyDescent="0.2">
      <c r="A176" s="96" t="s">
        <v>58</v>
      </c>
      <c r="B176" s="81" t="str">
        <f t="shared" si="73"/>
        <v>Q2/2017</v>
      </c>
      <c r="C176" s="82">
        <f t="shared" si="71"/>
        <v>42826</v>
      </c>
      <c r="D176" s="82">
        <f t="shared" si="72"/>
        <v>42916</v>
      </c>
      <c r="E176" s="81">
        <f t="shared" si="69"/>
        <v>91</v>
      </c>
      <c r="F176" s="83">
        <f>VLOOKUP(D176,'FERC Interest Rate'!$A:$B,2,TRUE)</f>
        <v>3.7100000000000001E-2</v>
      </c>
      <c r="G176" s="84">
        <f t="shared" si="70"/>
        <v>3570.8399839086601</v>
      </c>
      <c r="H176" s="84">
        <v>0</v>
      </c>
      <c r="I176" s="109">
        <f t="shared" ref="I176:I191" si="75">(SUM($H$166:$H$192)/20)</f>
        <v>16.642132160741642</v>
      </c>
      <c r="J176" s="85">
        <f t="shared" si="74"/>
        <v>33.028802382668566</v>
      </c>
      <c r="K176" s="129">
        <f t="shared" si="65"/>
        <v>49.670934543410212</v>
      </c>
      <c r="L176" s="85">
        <f t="shared" ref="L176:L191" si="76">VLOOKUP($B$167,A$1:F$19,5,FALSE)/20</f>
        <v>206.53536683354963</v>
      </c>
      <c r="M176" s="130">
        <f t="shared" si="66"/>
        <v>256.20630137695986</v>
      </c>
      <c r="N176" s="8">
        <f t="shared" si="67"/>
        <v>3603.8687862913284</v>
      </c>
      <c r="O176" s="84">
        <f t="shared" si="68"/>
        <v>3347.6624849143686</v>
      </c>
    </row>
    <row r="177" spans="1:15" x14ac:dyDescent="0.2">
      <c r="A177" s="96" t="s">
        <v>59</v>
      </c>
      <c r="B177" s="81" t="str">
        <f t="shared" si="73"/>
        <v>Q3/2017</v>
      </c>
      <c r="C177" s="82">
        <f t="shared" si="71"/>
        <v>42917</v>
      </c>
      <c r="D177" s="82">
        <f t="shared" si="72"/>
        <v>43008</v>
      </c>
      <c r="E177" s="81">
        <f t="shared" si="69"/>
        <v>92</v>
      </c>
      <c r="F177" s="83">
        <f>VLOOKUP(D177,'FERC Interest Rate'!$A:$B,2,TRUE)</f>
        <v>3.9600000000000003E-2</v>
      </c>
      <c r="G177" s="84">
        <f t="shared" si="70"/>
        <v>3347.6624849143686</v>
      </c>
      <c r="H177" s="84">
        <v>0</v>
      </c>
      <c r="I177" s="109">
        <f t="shared" si="75"/>
        <v>16.642132160741642</v>
      </c>
      <c r="J177" s="85">
        <f t="shared" si="74"/>
        <v>33.414257438465832</v>
      </c>
      <c r="K177" s="129">
        <f t="shared" si="65"/>
        <v>50.056389599207478</v>
      </c>
      <c r="L177" s="85">
        <f t="shared" si="76"/>
        <v>206.53536683354963</v>
      </c>
      <c r="M177" s="130">
        <f t="shared" si="66"/>
        <v>256.59175643275711</v>
      </c>
      <c r="N177" s="8">
        <f t="shared" si="67"/>
        <v>3381.0767423528346</v>
      </c>
      <c r="O177" s="84">
        <f t="shared" si="68"/>
        <v>3124.4849859200772</v>
      </c>
    </row>
    <row r="178" spans="1:15" x14ac:dyDescent="0.2">
      <c r="A178" s="96" t="s">
        <v>60</v>
      </c>
      <c r="B178" s="81" t="str">
        <f t="shared" si="73"/>
        <v>Q4/2017</v>
      </c>
      <c r="C178" s="82">
        <f t="shared" si="71"/>
        <v>43009</v>
      </c>
      <c r="D178" s="82">
        <f t="shared" si="72"/>
        <v>43100</v>
      </c>
      <c r="E178" s="81">
        <f t="shared" si="69"/>
        <v>92</v>
      </c>
      <c r="F178" s="83">
        <f>VLOOKUP(D178,'FERC Interest Rate'!$A:$B,2,TRUE)</f>
        <v>4.2099999999999999E-2</v>
      </c>
      <c r="G178" s="84">
        <f t="shared" si="70"/>
        <v>3124.4849859200772</v>
      </c>
      <c r="H178" s="84">
        <v>0</v>
      </c>
      <c r="I178" s="109">
        <f t="shared" si="75"/>
        <v>16.642132160741642</v>
      </c>
      <c r="J178" s="85">
        <f t="shared" si="74"/>
        <v>33.155493828672995</v>
      </c>
      <c r="K178" s="129">
        <f t="shared" si="65"/>
        <v>49.797625989414641</v>
      </c>
      <c r="L178" s="85">
        <f t="shared" si="76"/>
        <v>206.53536683354963</v>
      </c>
      <c r="M178" s="130">
        <f t="shared" si="66"/>
        <v>256.33299282296429</v>
      </c>
      <c r="N178" s="8">
        <f t="shared" si="67"/>
        <v>3157.6404797487503</v>
      </c>
      <c r="O178" s="84">
        <f t="shared" si="68"/>
        <v>2901.3074869257857</v>
      </c>
    </row>
    <row r="179" spans="1:15" x14ac:dyDescent="0.2">
      <c r="A179" s="96" t="s">
        <v>61</v>
      </c>
      <c r="B179" s="81" t="str">
        <f t="shared" si="73"/>
        <v>Q1/2018</v>
      </c>
      <c r="C179" s="82">
        <f t="shared" si="71"/>
        <v>43101</v>
      </c>
      <c r="D179" s="82">
        <f t="shared" si="72"/>
        <v>43190</v>
      </c>
      <c r="E179" s="81">
        <f t="shared" si="69"/>
        <v>90</v>
      </c>
      <c r="F179" s="83">
        <f>VLOOKUP(D179,'FERC Interest Rate'!$A:$B,2,TRUE)</f>
        <v>4.2500000000000003E-2</v>
      </c>
      <c r="G179" s="84">
        <f t="shared" si="70"/>
        <v>2901.3074869257857</v>
      </c>
      <c r="H179" s="84">
        <v>0</v>
      </c>
      <c r="I179" s="109">
        <f t="shared" si="75"/>
        <v>16.642132160741642</v>
      </c>
      <c r="J179" s="85">
        <f t="shared" si="74"/>
        <v>30.404112705455155</v>
      </c>
      <c r="K179" s="129">
        <f t="shared" si="65"/>
        <v>47.046244866196801</v>
      </c>
      <c r="L179" s="85">
        <f t="shared" si="76"/>
        <v>206.53536683354963</v>
      </c>
      <c r="M179" s="130">
        <f t="shared" si="66"/>
        <v>253.58161169974642</v>
      </c>
      <c r="N179" s="8">
        <f t="shared" si="67"/>
        <v>2931.7115996312409</v>
      </c>
      <c r="O179" s="84">
        <f t="shared" si="68"/>
        <v>2678.1299879314943</v>
      </c>
    </row>
    <row r="180" spans="1:15" x14ac:dyDescent="0.2">
      <c r="A180" s="96" t="s">
        <v>62</v>
      </c>
      <c r="B180" s="81" t="str">
        <f t="shared" si="73"/>
        <v>Q2/2018</v>
      </c>
      <c r="C180" s="82">
        <f t="shared" si="71"/>
        <v>43191</v>
      </c>
      <c r="D180" s="82">
        <f t="shared" si="72"/>
        <v>43281</v>
      </c>
      <c r="E180" s="81">
        <f t="shared" si="69"/>
        <v>91</v>
      </c>
      <c r="F180" s="83">
        <f>VLOOKUP(D180,'FERC Interest Rate'!$A:$B,2,TRUE)</f>
        <v>4.4699999999999997E-2</v>
      </c>
      <c r="G180" s="84">
        <f t="shared" si="70"/>
        <v>2678.1299879314943</v>
      </c>
      <c r="H180" s="84">
        <v>0</v>
      </c>
      <c r="I180" s="109">
        <f t="shared" si="75"/>
        <v>16.642132160741642</v>
      </c>
      <c r="J180" s="85">
        <f t="shared" si="74"/>
        <v>29.846107813449144</v>
      </c>
      <c r="K180" s="129">
        <f t="shared" si="65"/>
        <v>46.48823997419079</v>
      </c>
      <c r="L180" s="85">
        <f t="shared" si="76"/>
        <v>206.53536683354963</v>
      </c>
      <c r="M180" s="130">
        <f t="shared" si="66"/>
        <v>253.02360680774041</v>
      </c>
      <c r="N180" s="8">
        <f t="shared" si="67"/>
        <v>2707.9760957449434</v>
      </c>
      <c r="O180" s="84">
        <f t="shared" si="68"/>
        <v>2454.9524889372028</v>
      </c>
    </row>
    <row r="181" spans="1:15" x14ac:dyDescent="0.2">
      <c r="A181" s="96" t="s">
        <v>63</v>
      </c>
      <c r="B181" s="81" t="str">
        <f t="shared" si="73"/>
        <v>Q3/2018</v>
      </c>
      <c r="C181" s="82">
        <f t="shared" si="71"/>
        <v>43282</v>
      </c>
      <c r="D181" s="82">
        <f t="shared" si="72"/>
        <v>43373</v>
      </c>
      <c r="E181" s="81">
        <f t="shared" si="69"/>
        <v>92</v>
      </c>
      <c r="F181" s="83">
        <f>VLOOKUP(D181,'FERC Interest Rate'!$A:$B,2,TRUE)</f>
        <v>5.011111E-2</v>
      </c>
      <c r="G181" s="84">
        <f t="shared" si="70"/>
        <v>2454.9524889372028</v>
      </c>
      <c r="H181" s="84">
        <v>0</v>
      </c>
      <c r="I181" s="109">
        <f t="shared" si="75"/>
        <v>16.642132160741642</v>
      </c>
      <c r="J181" s="85">
        <f t="shared" si="74"/>
        <v>31.007880186431095</v>
      </c>
      <c r="K181" s="129">
        <f t="shared" si="65"/>
        <v>47.650012347172733</v>
      </c>
      <c r="L181" s="85">
        <f t="shared" si="76"/>
        <v>206.53536683354963</v>
      </c>
      <c r="M181" s="130">
        <f t="shared" si="66"/>
        <v>254.18537918072235</v>
      </c>
      <c r="N181" s="8">
        <f t="shared" si="67"/>
        <v>2485.9603691236339</v>
      </c>
      <c r="O181" s="84">
        <f t="shared" si="68"/>
        <v>2231.7749899429114</v>
      </c>
    </row>
    <row r="182" spans="1:15" x14ac:dyDescent="0.2">
      <c r="A182" s="96" t="s">
        <v>64</v>
      </c>
      <c r="B182" s="81" t="str">
        <f t="shared" si="73"/>
        <v>Q4/2018</v>
      </c>
      <c r="C182" s="82">
        <f t="shared" si="71"/>
        <v>43374</v>
      </c>
      <c r="D182" s="82">
        <f t="shared" si="72"/>
        <v>43465</v>
      </c>
      <c r="E182" s="81">
        <f t="shared" si="69"/>
        <v>92</v>
      </c>
      <c r="F182" s="83">
        <f>VLOOKUP(D182,'FERC Interest Rate'!$A:$B,2,TRUE)</f>
        <v>5.2822580000000001E-2</v>
      </c>
      <c r="G182" s="84">
        <f t="shared" si="70"/>
        <v>2231.7749899429114</v>
      </c>
      <c r="H182" s="84">
        <v>0</v>
      </c>
      <c r="I182" s="109">
        <f t="shared" si="75"/>
        <v>16.642132160741642</v>
      </c>
      <c r="J182" s="85">
        <f t="shared" si="74"/>
        <v>29.714264085588482</v>
      </c>
      <c r="K182" s="129">
        <f t="shared" si="65"/>
        <v>46.356396246330121</v>
      </c>
      <c r="L182" s="85">
        <f t="shared" si="76"/>
        <v>206.53536683354963</v>
      </c>
      <c r="M182" s="130">
        <f t="shared" si="66"/>
        <v>252.89176307987975</v>
      </c>
      <c r="N182" s="8">
        <f t="shared" si="67"/>
        <v>2261.4892540285</v>
      </c>
      <c r="O182" s="84">
        <f t="shared" si="68"/>
        <v>2008.5974909486201</v>
      </c>
    </row>
    <row r="183" spans="1:15" x14ac:dyDescent="0.2">
      <c r="A183" s="96" t="s">
        <v>65</v>
      </c>
      <c r="B183" s="81" t="str">
        <f t="shared" si="73"/>
        <v>Q1/2019</v>
      </c>
      <c r="C183" s="82">
        <f t="shared" si="71"/>
        <v>43466</v>
      </c>
      <c r="D183" s="82">
        <f t="shared" si="72"/>
        <v>43555</v>
      </c>
      <c r="E183" s="81">
        <f t="shared" si="69"/>
        <v>90</v>
      </c>
      <c r="F183" s="83">
        <f>VLOOKUP(D183,'FERC Interest Rate'!$A:$B,2,TRUE)</f>
        <v>5.5296770000000002E-2</v>
      </c>
      <c r="G183" s="84">
        <f t="shared" si="70"/>
        <v>2008.5974909486201</v>
      </c>
      <c r="H183" s="84">
        <v>0</v>
      </c>
      <c r="I183" s="109">
        <f t="shared" si="75"/>
        <v>16.642132160741642</v>
      </c>
      <c r="J183" s="85">
        <f t="shared" si="74"/>
        <v>27.386865241536064</v>
      </c>
      <c r="K183" s="129">
        <f t="shared" si="65"/>
        <v>44.02899740227771</v>
      </c>
      <c r="L183" s="85">
        <f t="shared" si="76"/>
        <v>206.53536683354963</v>
      </c>
      <c r="M183" s="130">
        <f t="shared" si="66"/>
        <v>250.56436423582733</v>
      </c>
      <c r="N183" s="8">
        <f t="shared" si="67"/>
        <v>2035.9843561901562</v>
      </c>
      <c r="O183" s="84">
        <f t="shared" si="68"/>
        <v>1785.4199919543289</v>
      </c>
    </row>
    <row r="184" spans="1:15" x14ac:dyDescent="0.2">
      <c r="A184" s="96" t="s">
        <v>66</v>
      </c>
      <c r="B184" s="81" t="str">
        <f t="shared" si="73"/>
        <v>Q2/2019</v>
      </c>
      <c r="C184" s="82">
        <f t="shared" si="71"/>
        <v>43556</v>
      </c>
      <c r="D184" s="82">
        <f t="shared" si="72"/>
        <v>43646</v>
      </c>
      <c r="E184" s="81">
        <f t="shared" si="69"/>
        <v>91</v>
      </c>
      <c r="F184" s="83">
        <f>VLOOKUP(D184,'FERC Interest Rate'!$A:$B,2,TRUE)</f>
        <v>5.7999999999999996E-2</v>
      </c>
      <c r="G184" s="84">
        <f t="shared" si="70"/>
        <v>1785.4199919543289</v>
      </c>
      <c r="H184" s="84">
        <v>0</v>
      </c>
      <c r="I184" s="109">
        <f t="shared" si="75"/>
        <v>16.642132160741642</v>
      </c>
      <c r="J184" s="85">
        <f t="shared" si="74"/>
        <v>25.817662239821775</v>
      </c>
      <c r="K184" s="129">
        <f t="shared" si="65"/>
        <v>42.459794400563418</v>
      </c>
      <c r="L184" s="85">
        <f t="shared" si="76"/>
        <v>206.53536683354963</v>
      </c>
      <c r="M184" s="130">
        <f t="shared" si="66"/>
        <v>248.99516123411306</v>
      </c>
      <c r="N184" s="8">
        <f t="shared" si="67"/>
        <v>1811.2376541941508</v>
      </c>
      <c r="O184" s="84">
        <f t="shared" si="68"/>
        <v>1562.2424929600377</v>
      </c>
    </row>
    <row r="185" spans="1:15" x14ac:dyDescent="0.2">
      <c r="A185" s="96" t="s">
        <v>67</v>
      </c>
      <c r="B185" s="81" t="str">
        <f t="shared" si="73"/>
        <v>Q3/2019</v>
      </c>
      <c r="C185" s="82">
        <f t="shared" si="71"/>
        <v>43647</v>
      </c>
      <c r="D185" s="82">
        <f t="shared" si="72"/>
        <v>43738</v>
      </c>
      <c r="E185" s="81">
        <f t="shared" si="69"/>
        <v>92</v>
      </c>
      <c r="F185" s="83">
        <f>VLOOKUP(D185,'FERC Interest Rate'!$A:$B,2,TRUE)</f>
        <v>0.06</v>
      </c>
      <c r="G185" s="84">
        <f t="shared" si="70"/>
        <v>1562.2424929600377</v>
      </c>
      <c r="H185" s="84">
        <v>0</v>
      </c>
      <c r="I185" s="109">
        <f t="shared" si="75"/>
        <v>16.642132160741642</v>
      </c>
      <c r="J185" s="85">
        <f t="shared" si="74"/>
        <v>23.626242633258652</v>
      </c>
      <c r="K185" s="129">
        <f t="shared" si="65"/>
        <v>40.268374794000295</v>
      </c>
      <c r="L185" s="85">
        <f t="shared" si="76"/>
        <v>206.53536683354963</v>
      </c>
      <c r="M185" s="130">
        <f t="shared" si="66"/>
        <v>246.80374162754993</v>
      </c>
      <c r="N185" s="8">
        <f t="shared" si="67"/>
        <v>1585.8687355932964</v>
      </c>
      <c r="O185" s="84">
        <f t="shared" si="68"/>
        <v>1339.0649939657465</v>
      </c>
    </row>
    <row r="186" spans="1:15" x14ac:dyDescent="0.2">
      <c r="A186" s="96" t="s">
        <v>68</v>
      </c>
      <c r="B186" s="81" t="str">
        <f t="shared" si="73"/>
        <v>Q4/2019</v>
      </c>
      <c r="C186" s="82">
        <f t="shared" si="71"/>
        <v>43739</v>
      </c>
      <c r="D186" s="82">
        <f t="shared" si="72"/>
        <v>43830</v>
      </c>
      <c r="E186" s="81">
        <f t="shared" si="69"/>
        <v>92</v>
      </c>
      <c r="F186" s="83">
        <f>VLOOKUP(D186,'FERC Interest Rate'!$A:$B,2,TRUE)</f>
        <v>6.0349460000000001E-2</v>
      </c>
      <c r="G186" s="84">
        <f t="shared" si="70"/>
        <v>1339.0649939657465</v>
      </c>
      <c r="H186" s="84">
        <v>0</v>
      </c>
      <c r="I186" s="109">
        <f t="shared" si="75"/>
        <v>16.642132160741642</v>
      </c>
      <c r="J186" s="85">
        <f t="shared" si="74"/>
        <v>20.369014067801967</v>
      </c>
      <c r="K186" s="129">
        <f t="shared" si="65"/>
        <v>37.011146228543609</v>
      </c>
      <c r="L186" s="85">
        <f t="shared" si="76"/>
        <v>206.53536683354963</v>
      </c>
      <c r="M186" s="130">
        <f t="shared" si="66"/>
        <v>243.54651306209325</v>
      </c>
      <c r="N186" s="8">
        <f t="shared" si="67"/>
        <v>1359.4340080335485</v>
      </c>
      <c r="O186" s="84">
        <f t="shared" si="68"/>
        <v>1115.8874949714552</v>
      </c>
    </row>
    <row r="187" spans="1:15" x14ac:dyDescent="0.2">
      <c r="A187" s="96" t="s">
        <v>69</v>
      </c>
      <c r="B187" s="81" t="str">
        <f t="shared" si="73"/>
        <v>Q1/2020</v>
      </c>
      <c r="C187" s="82">
        <f t="shared" si="71"/>
        <v>43831</v>
      </c>
      <c r="D187" s="82">
        <f t="shared" si="72"/>
        <v>43921</v>
      </c>
      <c r="E187" s="81">
        <f t="shared" si="69"/>
        <v>91</v>
      </c>
      <c r="F187" s="83">
        <f>VLOOKUP(D187,'FERC Interest Rate'!$A:$B,2,TRUE)</f>
        <v>6.2501040000000008E-2</v>
      </c>
      <c r="G187" s="84">
        <f t="shared" si="70"/>
        <v>1115.8874949714552</v>
      </c>
      <c r="H187" s="84">
        <v>0</v>
      </c>
      <c r="I187" s="109">
        <f t="shared" si="75"/>
        <v>16.642132160741642</v>
      </c>
      <c r="J187" s="85">
        <f t="shared" si="74"/>
        <v>17.34075337497999</v>
      </c>
      <c r="K187" s="129">
        <f t="shared" si="65"/>
        <v>33.982885535721636</v>
      </c>
      <c r="L187" s="85">
        <f t="shared" si="76"/>
        <v>206.53536683354963</v>
      </c>
      <c r="M187" s="130">
        <f t="shared" si="66"/>
        <v>240.51825236927127</v>
      </c>
      <c r="N187" s="8">
        <f t="shared" si="67"/>
        <v>1133.2282483464353</v>
      </c>
      <c r="O187" s="84">
        <f t="shared" si="68"/>
        <v>892.70999597716389</v>
      </c>
    </row>
    <row r="188" spans="1:15" x14ac:dyDescent="0.2">
      <c r="A188" s="96" t="s">
        <v>70</v>
      </c>
      <c r="B188" s="81" t="str">
        <f t="shared" si="73"/>
        <v>Q2/2020</v>
      </c>
      <c r="C188" s="82">
        <f t="shared" si="71"/>
        <v>43922</v>
      </c>
      <c r="D188" s="82">
        <f t="shared" si="72"/>
        <v>44012</v>
      </c>
      <c r="E188" s="81">
        <f t="shared" si="69"/>
        <v>91</v>
      </c>
      <c r="F188" s="83">
        <f>VLOOKUP(D188,'FERC Interest Rate'!$A:$B,2,TRUE)</f>
        <v>6.3055559999999997E-2</v>
      </c>
      <c r="G188" s="84">
        <f t="shared" si="70"/>
        <v>892.70999597716389</v>
      </c>
      <c r="H188" s="84">
        <v>0</v>
      </c>
      <c r="I188" s="109">
        <f t="shared" si="75"/>
        <v>16.642132160741642</v>
      </c>
      <c r="J188" s="85">
        <f t="shared" si="74"/>
        <v>13.995682822317871</v>
      </c>
      <c r="K188" s="129">
        <f t="shared" si="65"/>
        <v>30.637814983059513</v>
      </c>
      <c r="L188" s="85">
        <f t="shared" si="76"/>
        <v>206.53536683354963</v>
      </c>
      <c r="M188" s="130">
        <f t="shared" si="66"/>
        <v>237.17318181660914</v>
      </c>
      <c r="N188" s="8">
        <f t="shared" si="67"/>
        <v>906.7056787994818</v>
      </c>
      <c r="O188" s="84">
        <f t="shared" si="68"/>
        <v>669.53249698287266</v>
      </c>
    </row>
    <row r="189" spans="1:15" x14ac:dyDescent="0.2">
      <c r="A189" s="96" t="s">
        <v>71</v>
      </c>
      <c r="B189" s="81" t="str">
        <f t="shared" si="73"/>
        <v>Q3/2020</v>
      </c>
      <c r="C189" s="82">
        <f t="shared" si="71"/>
        <v>44013</v>
      </c>
      <c r="D189" s="82">
        <f t="shared" si="72"/>
        <v>44104</v>
      </c>
      <c r="E189" s="81">
        <f t="shared" si="69"/>
        <v>92</v>
      </c>
      <c r="F189" s="83">
        <f>VLOOKUP(D189,'FERC Interest Rate'!$A:$B,2,TRUE)</f>
        <v>6.5000000000000002E-2</v>
      </c>
      <c r="G189" s="84">
        <f t="shared" si="70"/>
        <v>669.53249698287266</v>
      </c>
      <c r="H189" s="84">
        <v>0</v>
      </c>
      <c r="I189" s="109">
        <f t="shared" si="75"/>
        <v>16.642132160741642</v>
      </c>
      <c r="J189" s="85">
        <f t="shared" si="74"/>
        <v>10.939356098244751</v>
      </c>
      <c r="K189" s="129">
        <f t="shared" si="65"/>
        <v>27.581488258986393</v>
      </c>
      <c r="L189" s="85">
        <f t="shared" si="76"/>
        <v>206.53536683354963</v>
      </c>
      <c r="M189" s="130">
        <f t="shared" si="66"/>
        <v>234.11685509253601</v>
      </c>
      <c r="N189" s="8">
        <f t="shared" si="67"/>
        <v>680.47185308111739</v>
      </c>
      <c r="O189" s="84">
        <f t="shared" si="68"/>
        <v>446.35499798858137</v>
      </c>
    </row>
    <row r="190" spans="1:15" x14ac:dyDescent="0.2">
      <c r="A190" s="96" t="s">
        <v>72</v>
      </c>
      <c r="B190" s="81" t="str">
        <f t="shared" si="73"/>
        <v>Q4/2020</v>
      </c>
      <c r="C190" s="82">
        <f t="shared" si="71"/>
        <v>44105</v>
      </c>
      <c r="D190" s="82">
        <f t="shared" si="72"/>
        <v>44196</v>
      </c>
      <c r="E190" s="81">
        <f t="shared" si="69"/>
        <v>92</v>
      </c>
      <c r="F190" s="83">
        <f>VLOOKUP(D190,'FERC Interest Rate'!$A:$B,2,TRUE)</f>
        <v>6.5000000000000002E-2</v>
      </c>
      <c r="G190" s="84">
        <f t="shared" si="70"/>
        <v>446.35499798858137</v>
      </c>
      <c r="H190" s="84">
        <v>0</v>
      </c>
      <c r="I190" s="109">
        <f t="shared" si="75"/>
        <v>16.642132160741642</v>
      </c>
      <c r="J190" s="85">
        <f t="shared" si="74"/>
        <v>7.2929040654964936</v>
      </c>
      <c r="K190" s="129">
        <f t="shared" si="65"/>
        <v>23.935036226238136</v>
      </c>
      <c r="L190" s="85">
        <f t="shared" si="76"/>
        <v>206.53536683354963</v>
      </c>
      <c r="M190" s="130">
        <f t="shared" si="66"/>
        <v>230.47040305978777</v>
      </c>
      <c r="N190" s="8">
        <f t="shared" si="67"/>
        <v>453.64790205407786</v>
      </c>
      <c r="O190" s="84">
        <f t="shared" si="68"/>
        <v>223.17749899429009</v>
      </c>
    </row>
    <row r="191" spans="1:15" x14ac:dyDescent="0.2">
      <c r="A191" s="96" t="s">
        <v>73</v>
      </c>
      <c r="B191" s="81" t="str">
        <f t="shared" si="73"/>
        <v>Q1/2021</v>
      </c>
      <c r="C191" s="82">
        <f t="shared" si="71"/>
        <v>44197</v>
      </c>
      <c r="D191" s="82">
        <f t="shared" si="72"/>
        <v>44286</v>
      </c>
      <c r="E191" s="81">
        <f t="shared" si="69"/>
        <v>90</v>
      </c>
      <c r="F191" s="83">
        <f>VLOOKUP(D191,'FERC Interest Rate'!$A:$B,2,TRUE)</f>
        <v>6.5000000000000002E-2</v>
      </c>
      <c r="G191" s="84">
        <f t="shared" si="70"/>
        <v>223.17749899429009</v>
      </c>
      <c r="H191" s="84">
        <v>0</v>
      </c>
      <c r="I191" s="109">
        <f t="shared" si="75"/>
        <v>16.642132160741642</v>
      </c>
      <c r="J191" s="85">
        <f t="shared" si="74"/>
        <v>3.5769544359358822</v>
      </c>
      <c r="K191" s="129">
        <f t="shared" si="65"/>
        <v>20.219086596677524</v>
      </c>
      <c r="L191" s="85">
        <f t="shared" si="76"/>
        <v>206.53536683354963</v>
      </c>
      <c r="M191" s="130">
        <f t="shared" si="66"/>
        <v>226.75445343022716</v>
      </c>
      <c r="N191" s="8">
        <f t="shared" si="67"/>
        <v>226.75445343022596</v>
      </c>
      <c r="O191" s="84">
        <f t="shared" si="68"/>
        <v>-1.1830536550405668E-12</v>
      </c>
    </row>
    <row r="192" spans="1:15" x14ac:dyDescent="0.2">
      <c r="A192" s="96"/>
      <c r="B192" s="81"/>
      <c r="C192" s="82"/>
      <c r="D192" s="82"/>
      <c r="E192" s="81"/>
      <c r="F192" s="83"/>
      <c r="G192" s="84"/>
      <c r="H192" s="84"/>
      <c r="I192" s="109"/>
      <c r="J192" s="85"/>
      <c r="K192" s="129"/>
      <c r="L192" s="85"/>
      <c r="M192" s="130"/>
      <c r="N192" s="8"/>
      <c r="O192" s="84"/>
    </row>
    <row r="193" spans="1:15" ht="13.5" thickBot="1" x14ac:dyDescent="0.25">
      <c r="A193" s="151"/>
      <c r="B193" s="152"/>
      <c r="C193" s="153"/>
      <c r="D193" s="153"/>
      <c r="E193" s="154"/>
      <c r="F193" s="152"/>
      <c r="G193" s="137">
        <f>SUM(G166:G192)</f>
        <v>72995.956819199491</v>
      </c>
      <c r="H193" s="137">
        <f>SUM(H166:H192)</f>
        <v>332.84264321483283</v>
      </c>
      <c r="I193" s="138">
        <f t="shared" ref="I193:O193" si="77">SUM(I166:I192)</f>
        <v>332.84264321483295</v>
      </c>
      <c r="J193" s="137">
        <f t="shared" si="77"/>
        <v>409.10780374374372</v>
      </c>
      <c r="K193" s="137">
        <f t="shared" si="77"/>
        <v>741.95044695857644</v>
      </c>
      <c r="L193" s="137">
        <f t="shared" si="77"/>
        <v>4130.7073366709928</v>
      </c>
      <c r="M193" s="139">
        <f t="shared" si="77"/>
        <v>4872.6577836295683</v>
      </c>
      <c r="N193" s="137">
        <f t="shared" si="77"/>
        <v>73737.907266158058</v>
      </c>
      <c r="O193" s="137">
        <f t="shared" si="77"/>
        <v>68865.249482528496</v>
      </c>
    </row>
    <row r="194" spans="1:15" ht="13.5" thickTop="1" x14ac:dyDescent="0.2">
      <c r="B194" s="117"/>
      <c r="C194" s="117"/>
      <c r="D194" s="117"/>
      <c r="E194" s="117"/>
      <c r="F194" s="117"/>
      <c r="G194" s="117"/>
      <c r="H194" s="117"/>
      <c r="I194" s="116"/>
      <c r="J194" s="117"/>
      <c r="K194" s="117"/>
      <c r="L194" s="117"/>
      <c r="M194" s="131"/>
      <c r="O194" s="117"/>
    </row>
    <row r="195" spans="1:15" ht="38.25" x14ac:dyDescent="0.2">
      <c r="A195" s="90" t="s">
        <v>53</v>
      </c>
      <c r="B195" s="90" t="s">
        <v>3</v>
      </c>
      <c r="C195" s="90" t="s">
        <v>4</v>
      </c>
      <c r="D195" s="90" t="s">
        <v>5</v>
      </c>
      <c r="E195" s="90" t="s">
        <v>6</v>
      </c>
      <c r="F195" s="90" t="s">
        <v>7</v>
      </c>
      <c r="G195" s="90" t="s">
        <v>93</v>
      </c>
      <c r="H195" s="90" t="s">
        <v>94</v>
      </c>
      <c r="I195" s="105" t="s">
        <v>95</v>
      </c>
      <c r="J195" s="106" t="s">
        <v>96</v>
      </c>
      <c r="K195" s="106" t="s">
        <v>97</v>
      </c>
      <c r="L195" s="106" t="s">
        <v>98</v>
      </c>
      <c r="M195" s="107" t="s">
        <v>99</v>
      </c>
      <c r="N195" s="90" t="s">
        <v>100</v>
      </c>
      <c r="O195" s="90" t="s">
        <v>101</v>
      </c>
    </row>
    <row r="196" spans="1:15" x14ac:dyDescent="0.2">
      <c r="A196" s="309" t="s">
        <v>15</v>
      </c>
      <c r="B196" s="309"/>
      <c r="C196" s="282">
        <f>VLOOKUP(B197,A$1:F$19,2,FALSE)</f>
        <v>42058</v>
      </c>
      <c r="D196" s="282">
        <f>DATE(YEAR(C196),IF(MONTH(C196)&lt;=3,3,IF(MONTH(C196)&lt;=6,6,IF(MONTH(C196)&lt;=9,9,12))),IF(OR(MONTH(C196)&lt;=3,MONTH(C196)&gt;=10),31,30))</f>
        <v>42094</v>
      </c>
      <c r="E196" s="283">
        <f>D196-C196+1</f>
        <v>37</v>
      </c>
      <c r="F196" s="284">
        <f>VLOOKUP(D196,'FERC Interest Rate'!$A:$B,2,TRUE)</f>
        <v>3.2500000000000001E-2</v>
      </c>
      <c r="G196" s="167">
        <f>VLOOKUP(B197,$A$1:$F$23,5,FALSE)</f>
        <v>3923.479325050992</v>
      </c>
      <c r="H196" s="167">
        <f t="shared" ref="H196:H204" si="78">G196*F196*(E196/(DATE(YEAR(D196),12,31)-DATE(YEAR(D196),1,1)+1))</f>
        <v>12.925983255818679</v>
      </c>
      <c r="I196" s="291">
        <v>0</v>
      </c>
      <c r="J196" s="286">
        <v>0</v>
      </c>
      <c r="K196" s="129">
        <f t="shared" ref="K196:K220" si="79">+SUM(I196:J196)</f>
        <v>0</v>
      </c>
      <c r="L196" s="286">
        <v>0</v>
      </c>
      <c r="M196" s="130">
        <f t="shared" ref="M196:M220" si="80">+SUM(K196:L196)</f>
        <v>0</v>
      </c>
      <c r="N196" s="8">
        <f t="shared" ref="N196:N220" si="81">+G196+H196+J196</f>
        <v>3936.4053083068106</v>
      </c>
      <c r="O196" s="167">
        <f t="shared" ref="O196:O220" si="82">G196+H196-L196-I196</f>
        <v>3936.4053083068106</v>
      </c>
    </row>
    <row r="197" spans="1:15" x14ac:dyDescent="0.2">
      <c r="A197" s="275" t="s">
        <v>38</v>
      </c>
      <c r="B197" s="276" t="s">
        <v>58</v>
      </c>
      <c r="C197" s="282">
        <f>D196+1</f>
        <v>42095</v>
      </c>
      <c r="D197" s="282">
        <f>EOMONTH(D196,3)</f>
        <v>42185</v>
      </c>
      <c r="E197" s="283">
        <f t="shared" ref="E197:E220" si="83">D197-C197+1</f>
        <v>91</v>
      </c>
      <c r="F197" s="284">
        <f>VLOOKUP(D197,'FERC Interest Rate'!$A:$B,2,TRUE)</f>
        <v>3.2500000000000001E-2</v>
      </c>
      <c r="G197" s="167">
        <f t="shared" ref="G197:G220" si="84">O196</f>
        <v>3936.4053083068106</v>
      </c>
      <c r="H197" s="167">
        <f t="shared" si="78"/>
        <v>31.895667669362719</v>
      </c>
      <c r="I197" s="291">
        <v>0</v>
      </c>
      <c r="J197" s="286">
        <v>0</v>
      </c>
      <c r="K197" s="129">
        <f t="shared" si="79"/>
        <v>0</v>
      </c>
      <c r="L197" s="286">
        <v>0</v>
      </c>
      <c r="M197" s="130">
        <f t="shared" si="80"/>
        <v>0</v>
      </c>
      <c r="N197" s="8">
        <f t="shared" si="81"/>
        <v>3968.3009759761735</v>
      </c>
      <c r="O197" s="167">
        <f t="shared" si="82"/>
        <v>3968.3009759761735</v>
      </c>
    </row>
    <row r="198" spans="1:15" x14ac:dyDescent="0.2">
      <c r="B198" s="283"/>
      <c r="C198" s="282">
        <f t="shared" ref="C198:C220" si="85">D197+1</f>
        <v>42186</v>
      </c>
      <c r="D198" s="282">
        <f t="shared" ref="D198:D220" si="86">EOMONTH(D197,3)</f>
        <v>42277</v>
      </c>
      <c r="E198" s="283">
        <f t="shared" si="83"/>
        <v>92</v>
      </c>
      <c r="F198" s="284">
        <f>VLOOKUP(D198,'FERC Interest Rate'!$A:$B,2,TRUE)</f>
        <v>3.2500000000000001E-2</v>
      </c>
      <c r="G198" s="167">
        <f t="shared" si="84"/>
        <v>3968.3009759761735</v>
      </c>
      <c r="H198" s="167">
        <f t="shared" si="78"/>
        <v>32.507451830599344</v>
      </c>
      <c r="I198" s="291">
        <v>0</v>
      </c>
      <c r="J198" s="286">
        <v>0</v>
      </c>
      <c r="K198" s="129">
        <f t="shared" si="79"/>
        <v>0</v>
      </c>
      <c r="L198" s="286">
        <v>0</v>
      </c>
      <c r="M198" s="130">
        <f t="shared" si="80"/>
        <v>0</v>
      </c>
      <c r="N198" s="8">
        <f t="shared" si="81"/>
        <v>4000.8084278067727</v>
      </c>
      <c r="O198" s="167">
        <f t="shared" si="82"/>
        <v>4000.8084278067727</v>
      </c>
    </row>
    <row r="199" spans="1:15" x14ac:dyDescent="0.2">
      <c r="B199" s="283"/>
      <c r="C199" s="282">
        <f t="shared" si="85"/>
        <v>42278</v>
      </c>
      <c r="D199" s="282">
        <f t="shared" si="86"/>
        <v>42369</v>
      </c>
      <c r="E199" s="283">
        <f t="shared" si="83"/>
        <v>92</v>
      </c>
      <c r="F199" s="284">
        <f>VLOOKUP(D199,'FERC Interest Rate'!$A:$B,2,TRUE)</f>
        <v>3.2500000000000001E-2</v>
      </c>
      <c r="G199" s="167">
        <f t="shared" si="84"/>
        <v>4000.8084278067727</v>
      </c>
      <c r="H199" s="167">
        <f t="shared" si="78"/>
        <v>32.773745751074664</v>
      </c>
      <c r="I199" s="291">
        <v>0</v>
      </c>
      <c r="J199" s="286">
        <v>0</v>
      </c>
      <c r="K199" s="129">
        <f t="shared" si="79"/>
        <v>0</v>
      </c>
      <c r="L199" s="286">
        <v>0</v>
      </c>
      <c r="M199" s="130">
        <f t="shared" si="80"/>
        <v>0</v>
      </c>
      <c r="N199" s="8">
        <f t="shared" si="81"/>
        <v>4033.5821735578475</v>
      </c>
      <c r="O199" s="167">
        <f t="shared" si="82"/>
        <v>4033.5821735578475</v>
      </c>
    </row>
    <row r="200" spans="1:15" x14ac:dyDescent="0.2">
      <c r="B200" s="283"/>
      <c r="C200" s="282">
        <f t="shared" si="85"/>
        <v>42370</v>
      </c>
      <c r="D200" s="282">
        <f t="shared" si="86"/>
        <v>42460</v>
      </c>
      <c r="E200" s="283">
        <f t="shared" si="83"/>
        <v>91</v>
      </c>
      <c r="F200" s="284">
        <f>VLOOKUP(D200,'FERC Interest Rate'!$A:$B,2,TRUE)</f>
        <v>3.2500000000000001E-2</v>
      </c>
      <c r="G200" s="167">
        <f t="shared" si="84"/>
        <v>4033.5821735578475</v>
      </c>
      <c r="H200" s="167">
        <f t="shared" si="78"/>
        <v>32.593768519938074</v>
      </c>
      <c r="I200" s="291">
        <v>0</v>
      </c>
      <c r="J200" s="286">
        <v>0</v>
      </c>
      <c r="K200" s="129">
        <f t="shared" si="79"/>
        <v>0</v>
      </c>
      <c r="L200" s="286">
        <v>0</v>
      </c>
      <c r="M200" s="130">
        <f t="shared" si="80"/>
        <v>0</v>
      </c>
      <c r="N200" s="8">
        <f t="shared" si="81"/>
        <v>4066.1759420777857</v>
      </c>
      <c r="O200" s="167">
        <f t="shared" si="82"/>
        <v>4066.1759420777857</v>
      </c>
    </row>
    <row r="201" spans="1:15" x14ac:dyDescent="0.2">
      <c r="A201" s="96"/>
      <c r="B201" s="81"/>
      <c r="C201" s="82">
        <f t="shared" si="85"/>
        <v>42461</v>
      </c>
      <c r="D201" s="82">
        <f t="shared" si="86"/>
        <v>42551</v>
      </c>
      <c r="E201" s="81">
        <f t="shared" si="83"/>
        <v>91</v>
      </c>
      <c r="F201" s="83">
        <f>VLOOKUP(D201,'FERC Interest Rate'!$A:$B,2,TRUE)</f>
        <v>3.4599999999999999E-2</v>
      </c>
      <c r="G201" s="84">
        <f t="shared" si="84"/>
        <v>4066.1759420777857</v>
      </c>
      <c r="H201" s="167">
        <f t="shared" si="78"/>
        <v>34.980222872202496</v>
      </c>
      <c r="I201" s="173">
        <v>0</v>
      </c>
      <c r="J201" s="286">
        <v>0</v>
      </c>
      <c r="K201" s="129">
        <f t="shared" si="79"/>
        <v>0</v>
      </c>
      <c r="L201" s="85">
        <v>0</v>
      </c>
      <c r="M201" s="130">
        <f t="shared" si="80"/>
        <v>0</v>
      </c>
      <c r="N201" s="8">
        <f t="shared" si="81"/>
        <v>4101.1561649499881</v>
      </c>
      <c r="O201" s="84">
        <f t="shared" si="82"/>
        <v>4101.1561649499881</v>
      </c>
    </row>
    <row r="202" spans="1:15" x14ac:dyDescent="0.2">
      <c r="A202" s="274"/>
      <c r="B202" s="81"/>
      <c r="C202" s="82">
        <f t="shared" si="85"/>
        <v>42552</v>
      </c>
      <c r="D202" s="82">
        <f t="shared" si="86"/>
        <v>42643</v>
      </c>
      <c r="E202" s="81">
        <f t="shared" si="83"/>
        <v>92</v>
      </c>
      <c r="F202" s="83">
        <f>VLOOKUP(D202,'FERC Interest Rate'!$A:$B,2,TRUE)</f>
        <v>3.5000000000000003E-2</v>
      </c>
      <c r="G202" s="84">
        <f t="shared" si="84"/>
        <v>4101.1561649499881</v>
      </c>
      <c r="H202" s="84">
        <f t="shared" si="78"/>
        <v>36.081209975789513</v>
      </c>
      <c r="I202" s="173">
        <v>0</v>
      </c>
      <c r="J202" s="85">
        <v>0</v>
      </c>
      <c r="K202" s="129">
        <f t="shared" si="79"/>
        <v>0</v>
      </c>
      <c r="L202" s="85">
        <v>0</v>
      </c>
      <c r="M202" s="130">
        <f t="shared" si="80"/>
        <v>0</v>
      </c>
      <c r="N202" s="8">
        <f t="shared" si="81"/>
        <v>4137.2373749257777</v>
      </c>
      <c r="O202" s="84">
        <f t="shared" si="82"/>
        <v>4137.2373749257777</v>
      </c>
    </row>
    <row r="203" spans="1:15" x14ac:dyDescent="0.2">
      <c r="A203" s="96"/>
      <c r="B203" s="81"/>
      <c r="C203" s="82">
        <f t="shared" si="85"/>
        <v>42644</v>
      </c>
      <c r="D203" s="82">
        <f t="shared" si="86"/>
        <v>42735</v>
      </c>
      <c r="E203" s="81">
        <f t="shared" si="83"/>
        <v>92</v>
      </c>
      <c r="F203" s="83">
        <f>VLOOKUP(D203,'FERC Interest Rate'!$A:$B,2,TRUE)</f>
        <v>3.5000000000000003E-2</v>
      </c>
      <c r="G203" s="84">
        <f t="shared" si="84"/>
        <v>4137.2373749257777</v>
      </c>
      <c r="H203" s="84">
        <f t="shared" si="78"/>
        <v>36.398645757543733</v>
      </c>
      <c r="I203" s="173">
        <v>0</v>
      </c>
      <c r="J203" s="85">
        <v>0</v>
      </c>
      <c r="K203" s="129">
        <f t="shared" si="79"/>
        <v>0</v>
      </c>
      <c r="L203" s="85">
        <v>0</v>
      </c>
      <c r="M203" s="130">
        <f t="shared" si="80"/>
        <v>0</v>
      </c>
      <c r="N203" s="8">
        <f t="shared" si="81"/>
        <v>4173.6360206833215</v>
      </c>
      <c r="O203" s="84">
        <f t="shared" si="82"/>
        <v>4173.6360206833215</v>
      </c>
    </row>
    <row r="204" spans="1:15" x14ac:dyDescent="0.2">
      <c r="A204" s="96" t="s">
        <v>102</v>
      </c>
      <c r="B204" s="81" t="str">
        <f t="shared" ref="B204:B220" si="87">+IF(MONTH(C204)&lt;4,"Q1",IF(MONTH(C204)&lt;7,"Q2",IF(MONTH(C204)&lt;10,"Q3","Q4")))&amp;"/"&amp;YEAR(C204)</f>
        <v>Q1/2017</v>
      </c>
      <c r="C204" s="82">
        <f t="shared" si="85"/>
        <v>42736</v>
      </c>
      <c r="D204" s="82">
        <f t="shared" si="86"/>
        <v>42825</v>
      </c>
      <c r="E204" s="81">
        <f t="shared" si="83"/>
        <v>90</v>
      </c>
      <c r="F204" s="83">
        <f>VLOOKUP(D204,'FERC Interest Rate'!$A:$B,2,TRUE)</f>
        <v>3.5000000000000003E-2</v>
      </c>
      <c r="G204" s="84">
        <f t="shared" si="84"/>
        <v>4173.6360206833215</v>
      </c>
      <c r="H204" s="84">
        <f t="shared" si="78"/>
        <v>36.0190505894588</v>
      </c>
      <c r="I204" s="173">
        <f>SUM($H$196:$H$221)/20*4</f>
        <v>57.235149244357601</v>
      </c>
      <c r="J204" s="85">
        <f t="shared" ref="J204:J220" si="88">G204*F204*(E204/(DATE(YEAR(D204),12,31)-DATE(YEAR(D204),1,1)+1))</f>
        <v>36.0190505894588</v>
      </c>
      <c r="K204" s="129">
        <f t="shared" si="79"/>
        <v>93.254199833816401</v>
      </c>
      <c r="L204" s="85">
        <f>VLOOKUP($B$197,A$1:F$19,5,FALSE)/20*4</f>
        <v>784.69586501019842</v>
      </c>
      <c r="M204" s="130">
        <f t="shared" si="80"/>
        <v>877.95006484401483</v>
      </c>
      <c r="N204" s="8">
        <f t="shared" si="81"/>
        <v>4245.6741218622392</v>
      </c>
      <c r="O204" s="84">
        <f t="shared" si="82"/>
        <v>3367.7240570182244</v>
      </c>
    </row>
    <row r="205" spans="1:15" x14ac:dyDescent="0.2">
      <c r="A205" s="96" t="s">
        <v>58</v>
      </c>
      <c r="B205" s="81" t="str">
        <f t="shared" si="87"/>
        <v>Q2/2017</v>
      </c>
      <c r="C205" s="82">
        <f t="shared" si="85"/>
        <v>42826</v>
      </c>
      <c r="D205" s="82">
        <f t="shared" si="86"/>
        <v>42916</v>
      </c>
      <c r="E205" s="81">
        <f t="shared" si="83"/>
        <v>91</v>
      </c>
      <c r="F205" s="83">
        <f>VLOOKUP(D205,'FERC Interest Rate'!$A:$B,2,TRUE)</f>
        <v>3.7100000000000001E-2</v>
      </c>
      <c r="G205" s="84">
        <f t="shared" si="84"/>
        <v>3367.7240570182244</v>
      </c>
      <c r="H205" s="84">
        <v>0</v>
      </c>
      <c r="I205" s="109">
        <f>SUM($H$196:$H$221)/20</f>
        <v>14.3087873110894</v>
      </c>
      <c r="J205" s="85">
        <f t="shared" si="88"/>
        <v>31.15006353123076</v>
      </c>
      <c r="K205" s="129">
        <f t="shared" si="79"/>
        <v>45.45885084232016</v>
      </c>
      <c r="L205" s="85">
        <f t="shared" ref="L205:L220" si="89">VLOOKUP($B$197,A$1:F$19,5,FALSE)/20</f>
        <v>196.1739662525496</v>
      </c>
      <c r="M205" s="130">
        <f t="shared" si="80"/>
        <v>241.63281709486978</v>
      </c>
      <c r="N205" s="8">
        <f t="shared" si="81"/>
        <v>3398.8741205494553</v>
      </c>
      <c r="O205" s="84">
        <f t="shared" si="82"/>
        <v>3157.2413034545852</v>
      </c>
    </row>
    <row r="206" spans="1:15" x14ac:dyDescent="0.2">
      <c r="A206" s="96" t="s">
        <v>59</v>
      </c>
      <c r="B206" s="81" t="str">
        <f t="shared" si="87"/>
        <v>Q3/2017</v>
      </c>
      <c r="C206" s="82">
        <f t="shared" si="85"/>
        <v>42917</v>
      </c>
      <c r="D206" s="82">
        <f t="shared" si="86"/>
        <v>43008</v>
      </c>
      <c r="E206" s="81">
        <f t="shared" si="83"/>
        <v>92</v>
      </c>
      <c r="F206" s="83">
        <f>VLOOKUP(D206,'FERC Interest Rate'!$A:$B,2,TRUE)</f>
        <v>3.9600000000000003E-2</v>
      </c>
      <c r="G206" s="84">
        <f t="shared" si="84"/>
        <v>3157.2413034545852</v>
      </c>
      <c r="H206" s="84">
        <v>0</v>
      </c>
      <c r="I206" s="109">
        <f>SUM($H$196:$H$221)/20</f>
        <v>14.3087873110894</v>
      </c>
      <c r="J206" s="85">
        <f t="shared" si="88"/>
        <v>31.51359319656369</v>
      </c>
      <c r="K206" s="129">
        <f t="shared" si="79"/>
        <v>45.822380507653094</v>
      </c>
      <c r="L206" s="85">
        <f t="shared" si="89"/>
        <v>196.1739662525496</v>
      </c>
      <c r="M206" s="130">
        <f t="shared" si="80"/>
        <v>241.9963467602027</v>
      </c>
      <c r="N206" s="8">
        <f t="shared" si="81"/>
        <v>3188.754896651149</v>
      </c>
      <c r="O206" s="84">
        <f t="shared" si="82"/>
        <v>2946.7585498909461</v>
      </c>
    </row>
    <row r="207" spans="1:15" x14ac:dyDescent="0.2">
      <c r="A207" s="96" t="s">
        <v>60</v>
      </c>
      <c r="B207" s="81" t="str">
        <f t="shared" si="87"/>
        <v>Q4/2017</v>
      </c>
      <c r="C207" s="82">
        <f t="shared" si="85"/>
        <v>43009</v>
      </c>
      <c r="D207" s="82">
        <f t="shared" si="86"/>
        <v>43100</v>
      </c>
      <c r="E207" s="81">
        <f t="shared" si="83"/>
        <v>92</v>
      </c>
      <c r="F207" s="83">
        <f>VLOOKUP(D207,'FERC Interest Rate'!$A:$B,2,TRUE)</f>
        <v>4.2099999999999999E-2</v>
      </c>
      <c r="G207" s="84">
        <f t="shared" si="84"/>
        <v>2946.7585498909461</v>
      </c>
      <c r="H207" s="84">
        <v>0</v>
      </c>
      <c r="I207" s="109">
        <f t="shared" ref="I207:I220" si="90">SUM($H$196:$H$221)/20</f>
        <v>14.3087873110894</v>
      </c>
      <c r="J207" s="85">
        <f t="shared" si="88"/>
        <v>31.269548535445516</v>
      </c>
      <c r="K207" s="129">
        <f t="shared" si="79"/>
        <v>45.578335846534912</v>
      </c>
      <c r="L207" s="85">
        <f t="shared" si="89"/>
        <v>196.1739662525496</v>
      </c>
      <c r="M207" s="130">
        <f t="shared" si="80"/>
        <v>241.75230209908452</v>
      </c>
      <c r="N207" s="8">
        <f t="shared" si="81"/>
        <v>2978.0280984263918</v>
      </c>
      <c r="O207" s="84">
        <f t="shared" si="82"/>
        <v>2736.275796327307</v>
      </c>
    </row>
    <row r="208" spans="1:15" x14ac:dyDescent="0.2">
      <c r="A208" s="96" t="s">
        <v>61</v>
      </c>
      <c r="B208" s="81" t="str">
        <f t="shared" si="87"/>
        <v>Q1/2018</v>
      </c>
      <c r="C208" s="82">
        <f t="shared" si="85"/>
        <v>43101</v>
      </c>
      <c r="D208" s="82">
        <f t="shared" si="86"/>
        <v>43190</v>
      </c>
      <c r="E208" s="81">
        <f t="shared" si="83"/>
        <v>90</v>
      </c>
      <c r="F208" s="83">
        <f>VLOOKUP(D208,'FERC Interest Rate'!$A:$B,2,TRUE)</f>
        <v>4.2500000000000003E-2</v>
      </c>
      <c r="G208" s="84">
        <f t="shared" si="84"/>
        <v>2736.275796327307</v>
      </c>
      <c r="H208" s="84">
        <v>0</v>
      </c>
      <c r="I208" s="109">
        <f t="shared" si="90"/>
        <v>14.3087873110894</v>
      </c>
      <c r="J208" s="85">
        <f t="shared" si="88"/>
        <v>28.674671016306711</v>
      </c>
      <c r="K208" s="129">
        <f t="shared" si="79"/>
        <v>42.983458327396107</v>
      </c>
      <c r="L208" s="85">
        <f t="shared" si="89"/>
        <v>196.1739662525496</v>
      </c>
      <c r="M208" s="130">
        <f t="shared" si="80"/>
        <v>239.15742457994571</v>
      </c>
      <c r="N208" s="8">
        <f t="shared" si="81"/>
        <v>2764.9504673436136</v>
      </c>
      <c r="O208" s="84">
        <f t="shared" si="82"/>
        <v>2525.7930427636679</v>
      </c>
    </row>
    <row r="209" spans="1:15" x14ac:dyDescent="0.2">
      <c r="A209" s="96" t="s">
        <v>62</v>
      </c>
      <c r="B209" s="81" t="str">
        <f t="shared" si="87"/>
        <v>Q2/2018</v>
      </c>
      <c r="C209" s="82">
        <f t="shared" si="85"/>
        <v>43191</v>
      </c>
      <c r="D209" s="82">
        <f t="shared" si="86"/>
        <v>43281</v>
      </c>
      <c r="E209" s="81">
        <f t="shared" si="83"/>
        <v>91</v>
      </c>
      <c r="F209" s="83">
        <f>VLOOKUP(D209,'FERC Interest Rate'!$A:$B,2,TRUE)</f>
        <v>4.4699999999999997E-2</v>
      </c>
      <c r="G209" s="84">
        <f t="shared" si="84"/>
        <v>2525.7930427636679</v>
      </c>
      <c r="H209" s="84">
        <v>0</v>
      </c>
      <c r="I209" s="109">
        <f t="shared" si="90"/>
        <v>14.3087873110894</v>
      </c>
      <c r="J209" s="85">
        <f t="shared" si="88"/>
        <v>28.148406465889785</v>
      </c>
      <c r="K209" s="129">
        <f t="shared" si="79"/>
        <v>42.457193776979182</v>
      </c>
      <c r="L209" s="85">
        <f t="shared" si="89"/>
        <v>196.1739662525496</v>
      </c>
      <c r="M209" s="130">
        <f t="shared" si="80"/>
        <v>238.63116002952879</v>
      </c>
      <c r="N209" s="8">
        <f t="shared" si="81"/>
        <v>2553.9414492295577</v>
      </c>
      <c r="O209" s="84">
        <f t="shared" si="82"/>
        <v>2315.3102892000288</v>
      </c>
    </row>
    <row r="210" spans="1:15" x14ac:dyDescent="0.2">
      <c r="A210" s="96" t="s">
        <v>63</v>
      </c>
      <c r="B210" s="81" t="str">
        <f t="shared" si="87"/>
        <v>Q3/2018</v>
      </c>
      <c r="C210" s="82">
        <f t="shared" si="85"/>
        <v>43282</v>
      </c>
      <c r="D210" s="82">
        <f t="shared" si="86"/>
        <v>43373</v>
      </c>
      <c r="E210" s="81">
        <f t="shared" si="83"/>
        <v>92</v>
      </c>
      <c r="F210" s="83">
        <f>VLOOKUP(D210,'FERC Interest Rate'!$A:$B,2,TRUE)</f>
        <v>5.011111E-2</v>
      </c>
      <c r="G210" s="84">
        <f t="shared" si="84"/>
        <v>2315.3102892000288</v>
      </c>
      <c r="H210" s="84">
        <v>0</v>
      </c>
      <c r="I210" s="109">
        <f t="shared" si="90"/>
        <v>14.3087873110894</v>
      </c>
      <c r="J210" s="85">
        <f t="shared" si="88"/>
        <v>29.244095095708413</v>
      </c>
      <c r="K210" s="129">
        <f t="shared" si="79"/>
        <v>43.552882406797814</v>
      </c>
      <c r="L210" s="85">
        <f t="shared" si="89"/>
        <v>196.1739662525496</v>
      </c>
      <c r="M210" s="130">
        <f t="shared" si="80"/>
        <v>239.72684865934741</v>
      </c>
      <c r="N210" s="8">
        <f t="shared" si="81"/>
        <v>2344.5543842957372</v>
      </c>
      <c r="O210" s="84">
        <f t="shared" si="82"/>
        <v>2104.8275356363897</v>
      </c>
    </row>
    <row r="211" spans="1:15" x14ac:dyDescent="0.2">
      <c r="A211" s="96" t="s">
        <v>64</v>
      </c>
      <c r="B211" s="81" t="str">
        <f t="shared" si="87"/>
        <v>Q4/2018</v>
      </c>
      <c r="C211" s="82">
        <f t="shared" si="85"/>
        <v>43374</v>
      </c>
      <c r="D211" s="82">
        <f t="shared" si="86"/>
        <v>43465</v>
      </c>
      <c r="E211" s="81">
        <f t="shared" si="83"/>
        <v>92</v>
      </c>
      <c r="F211" s="83">
        <f>VLOOKUP(D211,'FERC Interest Rate'!$A:$B,2,TRUE)</f>
        <v>5.2822580000000001E-2</v>
      </c>
      <c r="G211" s="84">
        <f t="shared" si="84"/>
        <v>2104.8275356363897</v>
      </c>
      <c r="H211" s="84">
        <v>0</v>
      </c>
      <c r="I211" s="109">
        <f t="shared" si="90"/>
        <v>14.3087873110894</v>
      </c>
      <c r="J211" s="85">
        <f t="shared" si="88"/>
        <v>28.024062251059608</v>
      </c>
      <c r="K211" s="129">
        <f t="shared" si="79"/>
        <v>42.332849562149008</v>
      </c>
      <c r="L211" s="85">
        <f t="shared" si="89"/>
        <v>196.1739662525496</v>
      </c>
      <c r="M211" s="130">
        <f t="shared" si="80"/>
        <v>238.5068158146986</v>
      </c>
      <c r="N211" s="8">
        <f t="shared" si="81"/>
        <v>2132.8515978874493</v>
      </c>
      <c r="O211" s="84">
        <f t="shared" si="82"/>
        <v>1894.3447820727506</v>
      </c>
    </row>
    <row r="212" spans="1:15" x14ac:dyDescent="0.2">
      <c r="A212" s="96" t="s">
        <v>65</v>
      </c>
      <c r="B212" s="81" t="str">
        <f t="shared" si="87"/>
        <v>Q1/2019</v>
      </c>
      <c r="C212" s="82">
        <f t="shared" si="85"/>
        <v>43466</v>
      </c>
      <c r="D212" s="82">
        <f t="shared" si="86"/>
        <v>43555</v>
      </c>
      <c r="E212" s="81">
        <f t="shared" si="83"/>
        <v>90</v>
      </c>
      <c r="F212" s="83">
        <f>VLOOKUP(D212,'FERC Interest Rate'!$A:$B,2,TRUE)</f>
        <v>5.5296770000000002E-2</v>
      </c>
      <c r="G212" s="84">
        <f t="shared" si="84"/>
        <v>1894.3447820727506</v>
      </c>
      <c r="H212" s="84">
        <v>0</v>
      </c>
      <c r="I212" s="109">
        <f t="shared" si="90"/>
        <v>14.3087873110894</v>
      </c>
      <c r="J212" s="85">
        <f t="shared" si="88"/>
        <v>25.829050121501183</v>
      </c>
      <c r="K212" s="129">
        <f t="shared" si="79"/>
        <v>40.137837432590587</v>
      </c>
      <c r="L212" s="85">
        <f t="shared" si="89"/>
        <v>196.1739662525496</v>
      </c>
      <c r="M212" s="130">
        <f t="shared" si="80"/>
        <v>236.31180368514021</v>
      </c>
      <c r="N212" s="8">
        <f t="shared" si="81"/>
        <v>1920.1738321942519</v>
      </c>
      <c r="O212" s="84">
        <f t="shared" si="82"/>
        <v>1683.8620285091115</v>
      </c>
    </row>
    <row r="213" spans="1:15" x14ac:dyDescent="0.2">
      <c r="A213" s="96" t="s">
        <v>66</v>
      </c>
      <c r="B213" s="81" t="str">
        <f t="shared" si="87"/>
        <v>Q2/2019</v>
      </c>
      <c r="C213" s="82">
        <f t="shared" si="85"/>
        <v>43556</v>
      </c>
      <c r="D213" s="82">
        <f t="shared" si="86"/>
        <v>43646</v>
      </c>
      <c r="E213" s="81">
        <f t="shared" si="83"/>
        <v>91</v>
      </c>
      <c r="F213" s="83">
        <f>VLOOKUP(D213,'FERC Interest Rate'!$A:$B,2,TRUE)</f>
        <v>5.7999999999999996E-2</v>
      </c>
      <c r="G213" s="84">
        <f t="shared" si="84"/>
        <v>1683.8620285091115</v>
      </c>
      <c r="H213" s="84">
        <v>0</v>
      </c>
      <c r="I213" s="109">
        <f t="shared" si="90"/>
        <v>14.3087873110894</v>
      </c>
      <c r="J213" s="85">
        <f t="shared" si="88"/>
        <v>24.349106264304353</v>
      </c>
      <c r="K213" s="129">
        <f t="shared" si="79"/>
        <v>38.657893575393757</v>
      </c>
      <c r="L213" s="85">
        <f t="shared" si="89"/>
        <v>196.1739662525496</v>
      </c>
      <c r="M213" s="130">
        <f t="shared" si="80"/>
        <v>234.83185982794336</v>
      </c>
      <c r="N213" s="8">
        <f t="shared" si="81"/>
        <v>1708.2111347734158</v>
      </c>
      <c r="O213" s="84">
        <f t="shared" si="82"/>
        <v>1473.3792749454724</v>
      </c>
    </row>
    <row r="214" spans="1:15" x14ac:dyDescent="0.2">
      <c r="A214" s="96" t="s">
        <v>67</v>
      </c>
      <c r="B214" s="81" t="str">
        <f t="shared" si="87"/>
        <v>Q3/2019</v>
      </c>
      <c r="C214" s="82">
        <f t="shared" si="85"/>
        <v>43647</v>
      </c>
      <c r="D214" s="82">
        <f t="shared" si="86"/>
        <v>43738</v>
      </c>
      <c r="E214" s="81">
        <f t="shared" si="83"/>
        <v>92</v>
      </c>
      <c r="F214" s="83">
        <f>VLOOKUP(D214,'FERC Interest Rate'!$A:$B,2,TRUE)</f>
        <v>0.06</v>
      </c>
      <c r="G214" s="84">
        <f t="shared" si="84"/>
        <v>1473.3792749454724</v>
      </c>
      <c r="H214" s="84">
        <v>0</v>
      </c>
      <c r="I214" s="109">
        <f t="shared" si="90"/>
        <v>14.3087873110894</v>
      </c>
      <c r="J214" s="85">
        <f t="shared" si="88"/>
        <v>22.282338623832899</v>
      </c>
      <c r="K214" s="129">
        <f t="shared" si="79"/>
        <v>36.591125934922303</v>
      </c>
      <c r="L214" s="85">
        <f t="shared" si="89"/>
        <v>196.1739662525496</v>
      </c>
      <c r="M214" s="130">
        <f t="shared" si="80"/>
        <v>232.76509218747191</v>
      </c>
      <c r="N214" s="8">
        <f t="shared" si="81"/>
        <v>1495.6616135693052</v>
      </c>
      <c r="O214" s="84">
        <f t="shared" si="82"/>
        <v>1262.8965213818333</v>
      </c>
    </row>
    <row r="215" spans="1:15" x14ac:dyDescent="0.2">
      <c r="A215" s="96" t="s">
        <v>68</v>
      </c>
      <c r="B215" s="81" t="str">
        <f t="shared" si="87"/>
        <v>Q4/2019</v>
      </c>
      <c r="C215" s="82">
        <f t="shared" si="85"/>
        <v>43739</v>
      </c>
      <c r="D215" s="82">
        <f t="shared" si="86"/>
        <v>43830</v>
      </c>
      <c r="E215" s="81">
        <f t="shared" si="83"/>
        <v>92</v>
      </c>
      <c r="F215" s="83">
        <f>VLOOKUP(D215,'FERC Interest Rate'!$A:$B,2,TRUE)</f>
        <v>6.0349460000000001E-2</v>
      </c>
      <c r="G215" s="84">
        <f t="shared" si="84"/>
        <v>1262.8965213818333</v>
      </c>
      <c r="H215" s="84">
        <v>0</v>
      </c>
      <c r="I215" s="109">
        <f t="shared" si="90"/>
        <v>14.3087873110894</v>
      </c>
      <c r="J215" s="85">
        <f t="shared" si="88"/>
        <v>19.210387192649407</v>
      </c>
      <c r="K215" s="129">
        <f t="shared" si="79"/>
        <v>33.51917450373881</v>
      </c>
      <c r="L215" s="85">
        <f t="shared" si="89"/>
        <v>196.1739662525496</v>
      </c>
      <c r="M215" s="130">
        <f t="shared" si="80"/>
        <v>229.69314075628841</v>
      </c>
      <c r="N215" s="8">
        <f t="shared" si="81"/>
        <v>1282.1069085744828</v>
      </c>
      <c r="O215" s="84">
        <f t="shared" si="82"/>
        <v>1052.4137678181942</v>
      </c>
    </row>
    <row r="216" spans="1:15" x14ac:dyDescent="0.2">
      <c r="A216" s="96" t="s">
        <v>69</v>
      </c>
      <c r="B216" s="81" t="str">
        <f t="shared" si="87"/>
        <v>Q1/2020</v>
      </c>
      <c r="C216" s="82">
        <f t="shared" si="85"/>
        <v>43831</v>
      </c>
      <c r="D216" s="82">
        <f t="shared" si="86"/>
        <v>43921</v>
      </c>
      <c r="E216" s="81">
        <f t="shared" si="83"/>
        <v>91</v>
      </c>
      <c r="F216" s="83">
        <f>VLOOKUP(D216,'FERC Interest Rate'!$A:$B,2,TRUE)</f>
        <v>6.2501040000000008E-2</v>
      </c>
      <c r="G216" s="84">
        <f t="shared" si="84"/>
        <v>1052.4137678181942</v>
      </c>
      <c r="H216" s="84">
        <v>0</v>
      </c>
      <c r="I216" s="109">
        <f t="shared" si="90"/>
        <v>14.3087873110894</v>
      </c>
      <c r="J216" s="85">
        <f t="shared" si="88"/>
        <v>16.354379521598268</v>
      </c>
      <c r="K216" s="129">
        <f t="shared" si="79"/>
        <v>30.663166832687669</v>
      </c>
      <c r="L216" s="85">
        <f t="shared" si="89"/>
        <v>196.1739662525496</v>
      </c>
      <c r="M216" s="130">
        <f t="shared" si="80"/>
        <v>226.83713308523727</v>
      </c>
      <c r="N216" s="8">
        <f t="shared" si="81"/>
        <v>1068.7681473397924</v>
      </c>
      <c r="O216" s="84">
        <f t="shared" si="82"/>
        <v>841.93101425455518</v>
      </c>
    </row>
    <row r="217" spans="1:15" x14ac:dyDescent="0.2">
      <c r="A217" s="96" t="s">
        <v>70</v>
      </c>
      <c r="B217" s="81" t="str">
        <f t="shared" si="87"/>
        <v>Q2/2020</v>
      </c>
      <c r="C217" s="82">
        <f t="shared" si="85"/>
        <v>43922</v>
      </c>
      <c r="D217" s="82">
        <f t="shared" si="86"/>
        <v>44012</v>
      </c>
      <c r="E217" s="81">
        <f t="shared" si="83"/>
        <v>91</v>
      </c>
      <c r="F217" s="83">
        <f>VLOOKUP(D217,'FERC Interest Rate'!$A:$B,2,TRUE)</f>
        <v>6.3055559999999997E-2</v>
      </c>
      <c r="G217" s="84">
        <f t="shared" si="84"/>
        <v>841.93101425455518</v>
      </c>
      <c r="H217" s="84">
        <v>0</v>
      </c>
      <c r="I217" s="109">
        <f t="shared" si="90"/>
        <v>14.3087873110894</v>
      </c>
      <c r="J217" s="85">
        <f t="shared" si="88"/>
        <v>13.199582716536051</v>
      </c>
      <c r="K217" s="129">
        <f t="shared" si="79"/>
        <v>27.508370027625453</v>
      </c>
      <c r="L217" s="85">
        <f t="shared" si="89"/>
        <v>196.1739662525496</v>
      </c>
      <c r="M217" s="130">
        <f t="shared" si="80"/>
        <v>223.68233628017506</v>
      </c>
      <c r="N217" s="8">
        <f t="shared" si="81"/>
        <v>855.13059697109122</v>
      </c>
      <c r="O217" s="84">
        <f t="shared" si="82"/>
        <v>631.44826069091619</v>
      </c>
    </row>
    <row r="218" spans="1:15" x14ac:dyDescent="0.2">
      <c r="A218" s="96" t="s">
        <v>71</v>
      </c>
      <c r="B218" s="81" t="str">
        <f t="shared" si="87"/>
        <v>Q3/2020</v>
      </c>
      <c r="C218" s="82">
        <f t="shared" si="85"/>
        <v>44013</v>
      </c>
      <c r="D218" s="82">
        <f t="shared" si="86"/>
        <v>44104</v>
      </c>
      <c r="E218" s="81">
        <f t="shared" si="83"/>
        <v>92</v>
      </c>
      <c r="F218" s="83">
        <f>VLOOKUP(D218,'FERC Interest Rate'!$A:$B,2,TRUE)</f>
        <v>6.5000000000000002E-2</v>
      </c>
      <c r="G218" s="84">
        <f t="shared" si="84"/>
        <v>631.44826069091619</v>
      </c>
      <c r="H218" s="84">
        <v>0</v>
      </c>
      <c r="I218" s="109">
        <f t="shared" si="90"/>
        <v>14.3087873110894</v>
      </c>
      <c r="J218" s="85">
        <f t="shared" si="88"/>
        <v>10.317105461561964</v>
      </c>
      <c r="K218" s="129">
        <f t="shared" si="79"/>
        <v>24.625892772651362</v>
      </c>
      <c r="L218" s="85">
        <f t="shared" si="89"/>
        <v>196.1739662525496</v>
      </c>
      <c r="M218" s="130">
        <f t="shared" si="80"/>
        <v>220.79985902520096</v>
      </c>
      <c r="N218" s="8">
        <f t="shared" si="81"/>
        <v>641.76536615247812</v>
      </c>
      <c r="O218" s="84">
        <f t="shared" si="82"/>
        <v>420.96550712727719</v>
      </c>
    </row>
    <row r="219" spans="1:15" x14ac:dyDescent="0.2">
      <c r="A219" s="96" t="s">
        <v>72</v>
      </c>
      <c r="B219" s="81" t="str">
        <f t="shared" si="87"/>
        <v>Q4/2020</v>
      </c>
      <c r="C219" s="82">
        <f t="shared" si="85"/>
        <v>44105</v>
      </c>
      <c r="D219" s="82">
        <f t="shared" si="86"/>
        <v>44196</v>
      </c>
      <c r="E219" s="81">
        <f t="shared" si="83"/>
        <v>92</v>
      </c>
      <c r="F219" s="83">
        <f>VLOOKUP(D219,'FERC Interest Rate'!$A:$B,2,TRUE)</f>
        <v>6.5000000000000002E-2</v>
      </c>
      <c r="G219" s="84">
        <f t="shared" si="84"/>
        <v>420.96550712727719</v>
      </c>
      <c r="H219" s="84">
        <v>0</v>
      </c>
      <c r="I219" s="109">
        <f t="shared" si="90"/>
        <v>14.3087873110894</v>
      </c>
      <c r="J219" s="85">
        <f t="shared" si="88"/>
        <v>6.8780703077079721</v>
      </c>
      <c r="K219" s="129">
        <f t="shared" si="79"/>
        <v>21.186857618797372</v>
      </c>
      <c r="L219" s="85">
        <f t="shared" si="89"/>
        <v>196.1739662525496</v>
      </c>
      <c r="M219" s="130">
        <f t="shared" si="80"/>
        <v>217.36082387134698</v>
      </c>
      <c r="N219" s="8">
        <f t="shared" si="81"/>
        <v>427.84357743498515</v>
      </c>
      <c r="O219" s="84">
        <f t="shared" si="82"/>
        <v>210.4827535636382</v>
      </c>
    </row>
    <row r="220" spans="1:15" x14ac:dyDescent="0.2">
      <c r="A220" s="96" t="s">
        <v>73</v>
      </c>
      <c r="B220" s="81" t="str">
        <f t="shared" si="87"/>
        <v>Q1/2021</v>
      </c>
      <c r="C220" s="82">
        <f t="shared" si="85"/>
        <v>44197</v>
      </c>
      <c r="D220" s="82">
        <f t="shared" si="86"/>
        <v>44286</v>
      </c>
      <c r="E220" s="81">
        <f t="shared" si="83"/>
        <v>90</v>
      </c>
      <c r="F220" s="83">
        <f>VLOOKUP(D220,'FERC Interest Rate'!$A:$B,2,TRUE)</f>
        <v>6.5000000000000002E-2</v>
      </c>
      <c r="G220" s="84">
        <f t="shared" si="84"/>
        <v>210.4827535636382</v>
      </c>
      <c r="H220" s="84">
        <v>0</v>
      </c>
      <c r="I220" s="109">
        <f t="shared" si="90"/>
        <v>14.3087873110894</v>
      </c>
      <c r="J220" s="85">
        <f t="shared" si="88"/>
        <v>3.3734907078007765</v>
      </c>
      <c r="K220" s="129">
        <f t="shared" si="79"/>
        <v>17.682278018890177</v>
      </c>
      <c r="L220" s="85">
        <f t="shared" si="89"/>
        <v>196.1739662525496</v>
      </c>
      <c r="M220" s="130">
        <f t="shared" si="80"/>
        <v>213.85624427143978</v>
      </c>
      <c r="N220" s="8">
        <f t="shared" si="81"/>
        <v>213.85624427143898</v>
      </c>
      <c r="O220" s="84">
        <f t="shared" si="82"/>
        <v>-8.0646600508771371E-13</v>
      </c>
    </row>
    <row r="221" spans="1:15" x14ac:dyDescent="0.2">
      <c r="A221" s="96"/>
      <c r="B221" s="81"/>
      <c r="C221" s="82"/>
      <c r="D221" s="82"/>
      <c r="E221" s="81"/>
      <c r="F221" s="83"/>
      <c r="G221" s="84"/>
      <c r="H221" s="84"/>
      <c r="I221" s="109"/>
      <c r="J221" s="85"/>
      <c r="K221" s="129"/>
      <c r="L221" s="85"/>
      <c r="M221" s="130"/>
      <c r="N221" s="8"/>
      <c r="O221" s="84"/>
    </row>
    <row r="222" spans="1:15" ht="13.5" thickBot="1" x14ac:dyDescent="0.25">
      <c r="A222" s="151"/>
      <c r="B222" s="152"/>
      <c r="C222" s="153"/>
      <c r="D222" s="153"/>
      <c r="E222" s="154"/>
      <c r="F222" s="152"/>
      <c r="G222" s="140">
        <f t="shared" ref="G222:O222" si="91">+SUM(G196:G221)</f>
        <v>64966.436197990362</v>
      </c>
      <c r="H222" s="140">
        <f t="shared" si="91"/>
        <v>286.17574622178802</v>
      </c>
      <c r="I222" s="141">
        <f t="shared" si="91"/>
        <v>286.17574622178796</v>
      </c>
      <c r="J222" s="140">
        <f t="shared" si="91"/>
        <v>385.83700159915617</v>
      </c>
      <c r="K222" s="140">
        <f t="shared" si="91"/>
        <v>672.01274782094424</v>
      </c>
      <c r="L222" s="140">
        <f t="shared" si="91"/>
        <v>3923.4793250509933</v>
      </c>
      <c r="M222" s="142">
        <f t="shared" si="91"/>
        <v>4595.4920728719371</v>
      </c>
      <c r="N222" s="140">
        <f t="shared" si="91"/>
        <v>65638.448945811295</v>
      </c>
      <c r="O222" s="140">
        <f t="shared" si="91"/>
        <v>61042.95687293938</v>
      </c>
    </row>
    <row r="223" spans="1:15" ht="13.5" thickTop="1" x14ac:dyDescent="0.2">
      <c r="B223" s="117"/>
      <c r="C223" s="117"/>
      <c r="D223" s="117"/>
      <c r="E223" s="117"/>
      <c r="F223" s="117"/>
      <c r="G223" s="117"/>
      <c r="H223" s="117"/>
      <c r="I223" s="116"/>
      <c r="J223" s="117"/>
      <c r="K223" s="117"/>
      <c r="L223" s="117"/>
      <c r="M223" s="131"/>
      <c r="O223" s="117"/>
    </row>
    <row r="224" spans="1:15" ht="38.25" x14ac:dyDescent="0.2">
      <c r="A224" s="90" t="s">
        <v>53</v>
      </c>
      <c r="B224" s="90" t="s">
        <v>3</v>
      </c>
      <c r="C224" s="90" t="s">
        <v>4</v>
      </c>
      <c r="D224" s="90" t="s">
        <v>5</v>
      </c>
      <c r="E224" s="90" t="s">
        <v>6</v>
      </c>
      <c r="F224" s="90" t="s">
        <v>7</v>
      </c>
      <c r="G224" s="90" t="s">
        <v>93</v>
      </c>
      <c r="H224" s="90" t="s">
        <v>94</v>
      </c>
      <c r="I224" s="105" t="s">
        <v>95</v>
      </c>
      <c r="J224" s="106" t="s">
        <v>96</v>
      </c>
      <c r="K224" s="106" t="s">
        <v>97</v>
      </c>
      <c r="L224" s="106" t="s">
        <v>98</v>
      </c>
      <c r="M224" s="107" t="s">
        <v>99</v>
      </c>
      <c r="N224" s="90" t="s">
        <v>100</v>
      </c>
      <c r="O224" s="90" t="s">
        <v>101</v>
      </c>
    </row>
    <row r="225" spans="1:15" x14ac:dyDescent="0.2">
      <c r="A225" s="309" t="s">
        <v>15</v>
      </c>
      <c r="B225" s="309"/>
      <c r="C225" s="282">
        <f>VLOOKUP(B226,A$1:F$19,2,FALSE)</f>
        <v>42143</v>
      </c>
      <c r="D225" s="282">
        <f>DATE(YEAR(C225),IF(MONTH(C225)&lt;=3,3,IF(MONTH(C225)&lt;=6,6,IF(MONTH(C225)&lt;=9,9,12))),IF(OR(MONTH(C225)&lt;=3,MONTH(C225)&gt;=10),31,30))</f>
        <v>42185</v>
      </c>
      <c r="E225" s="283">
        <f>D225-C225+1</f>
        <v>43</v>
      </c>
      <c r="F225" s="284">
        <f>VLOOKUP(D225,'FERC Interest Rate'!$A:$B,2,TRUE)</f>
        <v>3.2500000000000001E-2</v>
      </c>
      <c r="G225" s="167">
        <f>VLOOKUP(B226,$A$1:$F$23,5,FALSE)</f>
        <v>2637.7044316706842</v>
      </c>
      <c r="H225" s="167">
        <f t="shared" ref="H225:H232" si="92">G225*F225*(E225/(DATE(YEAR(D225),12,31)-DATE(YEAR(D225),1,1)+1))</f>
        <v>10.099156008930906</v>
      </c>
      <c r="I225" s="291">
        <v>0</v>
      </c>
      <c r="J225" s="286">
        <v>0</v>
      </c>
      <c r="K225" s="288">
        <f t="shared" ref="K225:K248" si="93">+SUM(I225:J225)</f>
        <v>0</v>
      </c>
      <c r="L225" s="286">
        <v>0</v>
      </c>
      <c r="M225" s="289">
        <f t="shared" ref="M225:M248" si="94">+SUM(K225:L225)</f>
        <v>0</v>
      </c>
      <c r="N225" s="290">
        <f t="shared" ref="N225:N248" si="95">+G225+H225+J225</f>
        <v>2647.8035876796152</v>
      </c>
      <c r="O225" s="167">
        <f t="shared" ref="O225:O248" si="96">G225+H225-L225-I225</f>
        <v>2647.8035876796152</v>
      </c>
    </row>
    <row r="226" spans="1:15" x14ac:dyDescent="0.2">
      <c r="A226" s="275" t="s">
        <v>38</v>
      </c>
      <c r="B226" s="276" t="s">
        <v>59</v>
      </c>
      <c r="C226" s="282">
        <f>D225+1</f>
        <v>42186</v>
      </c>
      <c r="D226" s="282">
        <f>EOMONTH(D225,3)</f>
        <v>42277</v>
      </c>
      <c r="E226" s="283">
        <f t="shared" ref="E226:E248" si="97">D226-C226+1</f>
        <v>92</v>
      </c>
      <c r="F226" s="284">
        <f>VLOOKUP(D226,'FERC Interest Rate'!$A:$B,2,TRUE)</f>
        <v>3.2500000000000001E-2</v>
      </c>
      <c r="G226" s="167">
        <f t="shared" ref="G226:G248" si="98">O225</f>
        <v>2647.8035876796152</v>
      </c>
      <c r="H226" s="167">
        <f t="shared" si="92"/>
        <v>21.690226649759044</v>
      </c>
      <c r="I226" s="291">
        <v>0</v>
      </c>
      <c r="J226" s="286">
        <v>0</v>
      </c>
      <c r="K226" s="288">
        <f t="shared" si="93"/>
        <v>0</v>
      </c>
      <c r="L226" s="286">
        <v>0</v>
      </c>
      <c r="M226" s="289">
        <f t="shared" si="94"/>
        <v>0</v>
      </c>
      <c r="N226" s="290">
        <f t="shared" si="95"/>
        <v>2669.4938143293743</v>
      </c>
      <c r="O226" s="167">
        <f t="shared" si="96"/>
        <v>2669.4938143293743</v>
      </c>
    </row>
    <row r="227" spans="1:15" x14ac:dyDescent="0.2">
      <c r="B227" s="283"/>
      <c r="C227" s="282">
        <f t="shared" ref="C227:C248" si="99">D226+1</f>
        <v>42278</v>
      </c>
      <c r="D227" s="282">
        <f t="shared" ref="D227:D248" si="100">EOMONTH(D226,3)</f>
        <v>42369</v>
      </c>
      <c r="E227" s="283">
        <f t="shared" si="97"/>
        <v>92</v>
      </c>
      <c r="F227" s="284">
        <f>VLOOKUP(D227,'FERC Interest Rate'!$A:$B,2,TRUE)</f>
        <v>3.2500000000000001E-2</v>
      </c>
      <c r="G227" s="167">
        <f t="shared" si="98"/>
        <v>2669.4938143293743</v>
      </c>
      <c r="H227" s="167">
        <f t="shared" si="92"/>
        <v>21.867908232451587</v>
      </c>
      <c r="I227" s="291">
        <v>0</v>
      </c>
      <c r="J227" s="286">
        <v>0</v>
      </c>
      <c r="K227" s="288">
        <f t="shared" si="93"/>
        <v>0</v>
      </c>
      <c r="L227" s="286">
        <v>0</v>
      </c>
      <c r="M227" s="289">
        <f t="shared" si="94"/>
        <v>0</v>
      </c>
      <c r="N227" s="290">
        <f t="shared" si="95"/>
        <v>2691.3617225618259</v>
      </c>
      <c r="O227" s="167">
        <f t="shared" si="96"/>
        <v>2691.3617225618259</v>
      </c>
    </row>
    <row r="228" spans="1:15" x14ac:dyDescent="0.2">
      <c r="B228" s="283"/>
      <c r="C228" s="282">
        <f t="shared" si="99"/>
        <v>42370</v>
      </c>
      <c r="D228" s="282">
        <f t="shared" si="100"/>
        <v>42460</v>
      </c>
      <c r="E228" s="283">
        <f t="shared" si="97"/>
        <v>91</v>
      </c>
      <c r="F228" s="284">
        <f>VLOOKUP(D228,'FERC Interest Rate'!$A:$B,2,TRUE)</f>
        <v>3.2500000000000001E-2</v>
      </c>
      <c r="G228" s="167">
        <f t="shared" si="98"/>
        <v>2691.3617225618259</v>
      </c>
      <c r="H228" s="167">
        <f t="shared" si="92"/>
        <v>21.747820476712022</v>
      </c>
      <c r="I228" s="291">
        <v>0</v>
      </c>
      <c r="J228" s="286">
        <v>0</v>
      </c>
      <c r="K228" s="288">
        <f t="shared" si="93"/>
        <v>0</v>
      </c>
      <c r="L228" s="286">
        <v>0</v>
      </c>
      <c r="M228" s="289">
        <f t="shared" si="94"/>
        <v>0</v>
      </c>
      <c r="N228" s="290">
        <f t="shared" si="95"/>
        <v>2713.109543038538</v>
      </c>
      <c r="O228" s="167">
        <f t="shared" si="96"/>
        <v>2713.109543038538</v>
      </c>
    </row>
    <row r="229" spans="1:15" x14ac:dyDescent="0.2">
      <c r="A229" s="96"/>
      <c r="B229" s="81"/>
      <c r="C229" s="82">
        <f t="shared" si="99"/>
        <v>42461</v>
      </c>
      <c r="D229" s="82">
        <f t="shared" si="100"/>
        <v>42551</v>
      </c>
      <c r="E229" s="81">
        <f t="shared" si="97"/>
        <v>91</v>
      </c>
      <c r="F229" s="83">
        <f>VLOOKUP(D229,'FERC Interest Rate'!$A:$B,2,TRUE)</f>
        <v>3.4599999999999999E-2</v>
      </c>
      <c r="G229" s="84">
        <f t="shared" si="98"/>
        <v>2713.109543038538</v>
      </c>
      <c r="H229" s="167">
        <f t="shared" si="92"/>
        <v>23.340154937735356</v>
      </c>
      <c r="I229" s="173">
        <v>0</v>
      </c>
      <c r="J229" s="286">
        <v>0</v>
      </c>
      <c r="K229" s="129">
        <f t="shared" si="93"/>
        <v>0</v>
      </c>
      <c r="L229" s="85">
        <v>0</v>
      </c>
      <c r="M229" s="130">
        <f t="shared" si="94"/>
        <v>0</v>
      </c>
      <c r="N229" s="8">
        <f t="shared" si="95"/>
        <v>2736.4496979762735</v>
      </c>
      <c r="O229" s="84">
        <f t="shared" si="96"/>
        <v>2736.4496979762735</v>
      </c>
    </row>
    <row r="230" spans="1:15" x14ac:dyDescent="0.2">
      <c r="A230" s="274"/>
      <c r="B230" s="81"/>
      <c r="C230" s="82">
        <f t="shared" si="99"/>
        <v>42552</v>
      </c>
      <c r="D230" s="82">
        <f t="shared" si="100"/>
        <v>42643</v>
      </c>
      <c r="E230" s="81">
        <f t="shared" si="97"/>
        <v>92</v>
      </c>
      <c r="F230" s="83">
        <f>VLOOKUP(D230,'FERC Interest Rate'!$A:$B,2,TRUE)</f>
        <v>3.5000000000000003E-2</v>
      </c>
      <c r="G230" s="84">
        <f t="shared" si="98"/>
        <v>2736.4496979762735</v>
      </c>
      <c r="H230" s="84">
        <f t="shared" si="92"/>
        <v>24.074776031375958</v>
      </c>
      <c r="I230" s="173">
        <v>0</v>
      </c>
      <c r="J230" s="85">
        <v>0</v>
      </c>
      <c r="K230" s="129">
        <f t="shared" si="93"/>
        <v>0</v>
      </c>
      <c r="L230" s="85">
        <v>0</v>
      </c>
      <c r="M230" s="130">
        <f t="shared" si="94"/>
        <v>0</v>
      </c>
      <c r="N230" s="8">
        <f t="shared" si="95"/>
        <v>2760.5244740076496</v>
      </c>
      <c r="O230" s="84">
        <f t="shared" si="96"/>
        <v>2760.5244740076496</v>
      </c>
    </row>
    <row r="231" spans="1:15" x14ac:dyDescent="0.2">
      <c r="A231" s="96"/>
      <c r="B231" s="81"/>
      <c r="C231" s="82">
        <f t="shared" si="99"/>
        <v>42644</v>
      </c>
      <c r="D231" s="82">
        <f t="shared" si="100"/>
        <v>42735</v>
      </c>
      <c r="E231" s="81">
        <f t="shared" si="97"/>
        <v>92</v>
      </c>
      <c r="F231" s="83">
        <f>VLOOKUP(D231,'FERC Interest Rate'!$A:$B,2,TRUE)</f>
        <v>3.5000000000000003E-2</v>
      </c>
      <c r="G231" s="84">
        <f t="shared" si="98"/>
        <v>2760.5244740076496</v>
      </c>
      <c r="H231" s="84">
        <f t="shared" si="92"/>
        <v>24.286581437990801</v>
      </c>
      <c r="I231" s="173">
        <v>0</v>
      </c>
      <c r="J231" s="85">
        <v>0</v>
      </c>
      <c r="K231" s="129">
        <f t="shared" si="93"/>
        <v>0</v>
      </c>
      <c r="L231" s="85">
        <v>0</v>
      </c>
      <c r="M231" s="130">
        <f t="shared" si="94"/>
        <v>0</v>
      </c>
      <c r="N231" s="8">
        <f t="shared" si="95"/>
        <v>2784.8110554456402</v>
      </c>
      <c r="O231" s="84">
        <f t="shared" si="96"/>
        <v>2784.8110554456402</v>
      </c>
    </row>
    <row r="232" spans="1:15" x14ac:dyDescent="0.2">
      <c r="A232" s="96" t="s">
        <v>102</v>
      </c>
      <c r="B232" s="81" t="str">
        <f t="shared" ref="B232:B248" si="101">+IF(MONTH(C232)&lt;4,"Q1",IF(MONTH(C232)&lt;7,"Q2",IF(MONTH(C232)&lt;10,"Q3","Q4")))&amp;"/"&amp;YEAR(C232)</f>
        <v>Q1/2017</v>
      </c>
      <c r="C232" s="82">
        <f t="shared" si="99"/>
        <v>42736</v>
      </c>
      <c r="D232" s="82">
        <f t="shared" si="100"/>
        <v>42825</v>
      </c>
      <c r="E232" s="81">
        <f t="shared" si="97"/>
        <v>90</v>
      </c>
      <c r="F232" s="83">
        <f>VLOOKUP(D232,'FERC Interest Rate'!$A:$B,2,TRUE)</f>
        <v>3.5000000000000003E-2</v>
      </c>
      <c r="G232" s="84">
        <f t="shared" si="98"/>
        <v>2784.8110554456402</v>
      </c>
      <c r="H232" s="84">
        <f t="shared" si="92"/>
        <v>24.033300889462375</v>
      </c>
      <c r="I232" s="173">
        <f>SUM($H$225:$H$249)/20*4</f>
        <v>34.227984932883615</v>
      </c>
      <c r="J232" s="85">
        <f t="shared" ref="J232:J248" si="102">G232*F232*(E232/(DATE(YEAR(D232),12,31)-DATE(YEAR(D232),1,1)+1))</f>
        <v>24.033300889462375</v>
      </c>
      <c r="K232" s="129">
        <f t="shared" si="93"/>
        <v>58.26128582234599</v>
      </c>
      <c r="L232" s="85">
        <f>VLOOKUP($B$226,A$1:F$19,5,FALSE)/20*4</f>
        <v>527.54088633413687</v>
      </c>
      <c r="M232" s="130">
        <f t="shared" si="94"/>
        <v>585.80217215648281</v>
      </c>
      <c r="N232" s="8">
        <f t="shared" si="95"/>
        <v>2832.8776572245647</v>
      </c>
      <c r="O232" s="84">
        <f t="shared" si="96"/>
        <v>2247.0754850680819</v>
      </c>
    </row>
    <row r="233" spans="1:15" x14ac:dyDescent="0.2">
      <c r="A233" s="96" t="s">
        <v>58</v>
      </c>
      <c r="B233" s="81" t="str">
        <f t="shared" si="101"/>
        <v>Q2/2017</v>
      </c>
      <c r="C233" s="82">
        <f t="shared" si="99"/>
        <v>42826</v>
      </c>
      <c r="D233" s="82">
        <f t="shared" si="100"/>
        <v>42916</v>
      </c>
      <c r="E233" s="81">
        <f t="shared" si="97"/>
        <v>91</v>
      </c>
      <c r="F233" s="83">
        <f>VLOOKUP(D233,'FERC Interest Rate'!$A:$B,2,TRUE)</f>
        <v>3.7100000000000001E-2</v>
      </c>
      <c r="G233" s="84">
        <f t="shared" si="98"/>
        <v>2247.0754850680819</v>
      </c>
      <c r="H233" s="84">
        <v>0</v>
      </c>
      <c r="I233" s="109">
        <f>SUM($H$225:$H$249)/20</f>
        <v>8.5569962332209037</v>
      </c>
      <c r="J233" s="85">
        <f t="shared" si="102"/>
        <v>20.784524781200961</v>
      </c>
      <c r="K233" s="129">
        <f t="shared" si="93"/>
        <v>29.341521014421865</v>
      </c>
      <c r="L233" s="85">
        <f t="shared" ref="L233:L248" si="103">VLOOKUP($B$226,A$1:F$19,5,FALSE)/20</f>
        <v>131.88522158353422</v>
      </c>
      <c r="M233" s="130">
        <f t="shared" si="94"/>
        <v>161.22674259795608</v>
      </c>
      <c r="N233" s="8">
        <f t="shared" si="95"/>
        <v>2267.860009849283</v>
      </c>
      <c r="O233" s="84">
        <f t="shared" si="96"/>
        <v>2106.6332672513267</v>
      </c>
    </row>
    <row r="234" spans="1:15" x14ac:dyDescent="0.2">
      <c r="A234" s="96" t="s">
        <v>59</v>
      </c>
      <c r="B234" s="81" t="str">
        <f t="shared" si="101"/>
        <v>Q3/2017</v>
      </c>
      <c r="C234" s="82">
        <f t="shared" si="99"/>
        <v>42917</v>
      </c>
      <c r="D234" s="82">
        <f t="shared" si="100"/>
        <v>43008</v>
      </c>
      <c r="E234" s="81">
        <f t="shared" si="97"/>
        <v>92</v>
      </c>
      <c r="F234" s="83">
        <f>VLOOKUP(D234,'FERC Interest Rate'!$A:$B,2,TRUE)</f>
        <v>3.9600000000000003E-2</v>
      </c>
      <c r="G234" s="84">
        <f t="shared" si="98"/>
        <v>2106.6332672513267</v>
      </c>
      <c r="H234" s="84">
        <v>0</v>
      </c>
      <c r="I234" s="109">
        <f>SUM($H$225:$H$249)/20</f>
        <v>8.5569962332209037</v>
      </c>
      <c r="J234" s="85">
        <f t="shared" si="102"/>
        <v>21.027085806164479</v>
      </c>
      <c r="K234" s="129">
        <f t="shared" si="93"/>
        <v>29.584082039385383</v>
      </c>
      <c r="L234" s="85">
        <f t="shared" si="103"/>
        <v>131.88522158353422</v>
      </c>
      <c r="M234" s="130">
        <f t="shared" si="94"/>
        <v>161.4693036229196</v>
      </c>
      <c r="N234" s="8">
        <f t="shared" si="95"/>
        <v>2127.6603530574912</v>
      </c>
      <c r="O234" s="84">
        <f t="shared" si="96"/>
        <v>1966.1910494345716</v>
      </c>
    </row>
    <row r="235" spans="1:15" x14ac:dyDescent="0.2">
      <c r="A235" s="96" t="s">
        <v>60</v>
      </c>
      <c r="B235" s="81" t="str">
        <f t="shared" si="101"/>
        <v>Q4/2017</v>
      </c>
      <c r="C235" s="82">
        <f t="shared" si="99"/>
        <v>43009</v>
      </c>
      <c r="D235" s="82">
        <f t="shared" si="100"/>
        <v>43100</v>
      </c>
      <c r="E235" s="81">
        <f t="shared" si="97"/>
        <v>92</v>
      </c>
      <c r="F235" s="83">
        <f>VLOOKUP(D235,'FERC Interest Rate'!$A:$B,2,TRUE)</f>
        <v>4.2099999999999999E-2</v>
      </c>
      <c r="G235" s="84">
        <f t="shared" si="98"/>
        <v>1966.1910494345716</v>
      </c>
      <c r="H235" s="84">
        <v>0</v>
      </c>
      <c r="I235" s="109">
        <f t="shared" ref="I235:I248" si="104">SUM($H$225:$H$249)/20</f>
        <v>8.5569962332209037</v>
      </c>
      <c r="J235" s="85">
        <f t="shared" si="102"/>
        <v>20.864249788136942</v>
      </c>
      <c r="K235" s="129">
        <f t="shared" si="93"/>
        <v>29.421246021357845</v>
      </c>
      <c r="L235" s="85">
        <f t="shared" si="103"/>
        <v>131.88522158353422</v>
      </c>
      <c r="M235" s="130">
        <f t="shared" si="94"/>
        <v>161.30646760489208</v>
      </c>
      <c r="N235" s="8">
        <f t="shared" si="95"/>
        <v>1987.0552992227085</v>
      </c>
      <c r="O235" s="84">
        <f t="shared" si="96"/>
        <v>1825.7488316178164</v>
      </c>
    </row>
    <row r="236" spans="1:15" x14ac:dyDescent="0.2">
      <c r="A236" s="96" t="s">
        <v>61</v>
      </c>
      <c r="B236" s="81" t="str">
        <f t="shared" si="101"/>
        <v>Q1/2018</v>
      </c>
      <c r="C236" s="82">
        <f t="shared" si="99"/>
        <v>43101</v>
      </c>
      <c r="D236" s="82">
        <f t="shared" si="100"/>
        <v>43190</v>
      </c>
      <c r="E236" s="81">
        <f t="shared" si="97"/>
        <v>90</v>
      </c>
      <c r="F236" s="83">
        <f>VLOOKUP(D236,'FERC Interest Rate'!$A:$B,2,TRUE)</f>
        <v>4.2500000000000003E-2</v>
      </c>
      <c r="G236" s="84">
        <f t="shared" si="98"/>
        <v>1825.7488316178164</v>
      </c>
      <c r="H236" s="84">
        <v>0</v>
      </c>
      <c r="I236" s="109">
        <f t="shared" si="104"/>
        <v>8.5569962332209037</v>
      </c>
      <c r="J236" s="85">
        <f t="shared" si="102"/>
        <v>19.132847345036023</v>
      </c>
      <c r="K236" s="129">
        <f t="shared" si="93"/>
        <v>27.689843578256927</v>
      </c>
      <c r="L236" s="85">
        <f t="shared" si="103"/>
        <v>131.88522158353422</v>
      </c>
      <c r="M236" s="130">
        <f t="shared" si="94"/>
        <v>159.57506516179114</v>
      </c>
      <c r="N236" s="8">
        <f t="shared" si="95"/>
        <v>1844.8816789628524</v>
      </c>
      <c r="O236" s="84">
        <f t="shared" si="96"/>
        <v>1685.3066138010613</v>
      </c>
    </row>
    <row r="237" spans="1:15" x14ac:dyDescent="0.2">
      <c r="A237" s="96" t="s">
        <v>62</v>
      </c>
      <c r="B237" s="81" t="str">
        <f t="shared" si="101"/>
        <v>Q2/2018</v>
      </c>
      <c r="C237" s="82">
        <f t="shared" si="99"/>
        <v>43191</v>
      </c>
      <c r="D237" s="82">
        <f t="shared" si="100"/>
        <v>43281</v>
      </c>
      <c r="E237" s="81">
        <f t="shared" si="97"/>
        <v>91</v>
      </c>
      <c r="F237" s="83">
        <f>VLOOKUP(D237,'FERC Interest Rate'!$A:$B,2,TRUE)</f>
        <v>4.4699999999999997E-2</v>
      </c>
      <c r="G237" s="84">
        <f t="shared" si="98"/>
        <v>1685.3066138010613</v>
      </c>
      <c r="H237" s="84">
        <v>0</v>
      </c>
      <c r="I237" s="109">
        <f t="shared" si="104"/>
        <v>8.5569962332209037</v>
      </c>
      <c r="J237" s="85">
        <f t="shared" si="102"/>
        <v>18.781703323174185</v>
      </c>
      <c r="K237" s="129">
        <f t="shared" si="93"/>
        <v>27.338699556395088</v>
      </c>
      <c r="L237" s="85">
        <f t="shared" si="103"/>
        <v>131.88522158353422</v>
      </c>
      <c r="M237" s="130">
        <f t="shared" si="94"/>
        <v>159.2239211399293</v>
      </c>
      <c r="N237" s="8">
        <f t="shared" si="95"/>
        <v>1704.0883171242356</v>
      </c>
      <c r="O237" s="84">
        <f t="shared" si="96"/>
        <v>1544.8643959843062</v>
      </c>
    </row>
    <row r="238" spans="1:15" x14ac:dyDescent="0.2">
      <c r="A238" s="96" t="s">
        <v>63</v>
      </c>
      <c r="B238" s="81" t="str">
        <f t="shared" si="101"/>
        <v>Q3/2018</v>
      </c>
      <c r="C238" s="82">
        <f t="shared" si="99"/>
        <v>43282</v>
      </c>
      <c r="D238" s="82">
        <f t="shared" si="100"/>
        <v>43373</v>
      </c>
      <c r="E238" s="81">
        <f t="shared" si="97"/>
        <v>92</v>
      </c>
      <c r="F238" s="83">
        <f>VLOOKUP(D238,'FERC Interest Rate'!$A:$B,2,TRUE)</f>
        <v>5.011111E-2</v>
      </c>
      <c r="G238" s="84">
        <f t="shared" si="98"/>
        <v>1544.8643959843062</v>
      </c>
      <c r="H238" s="84">
        <v>0</v>
      </c>
      <c r="I238" s="109">
        <f t="shared" si="104"/>
        <v>8.5569962332209037</v>
      </c>
      <c r="J238" s="85">
        <f t="shared" si="102"/>
        <v>19.512789070595311</v>
      </c>
      <c r="K238" s="129">
        <f t="shared" si="93"/>
        <v>28.069785303816214</v>
      </c>
      <c r="L238" s="85">
        <f t="shared" si="103"/>
        <v>131.88522158353422</v>
      </c>
      <c r="M238" s="130">
        <f t="shared" si="94"/>
        <v>159.95500688735044</v>
      </c>
      <c r="N238" s="8">
        <f t="shared" si="95"/>
        <v>1564.3771850549015</v>
      </c>
      <c r="O238" s="84">
        <f t="shared" si="96"/>
        <v>1404.422178167551</v>
      </c>
    </row>
    <row r="239" spans="1:15" x14ac:dyDescent="0.2">
      <c r="A239" s="96" t="s">
        <v>64</v>
      </c>
      <c r="B239" s="81" t="str">
        <f t="shared" si="101"/>
        <v>Q4/2018</v>
      </c>
      <c r="C239" s="82">
        <f t="shared" si="99"/>
        <v>43374</v>
      </c>
      <c r="D239" s="82">
        <f t="shared" si="100"/>
        <v>43465</v>
      </c>
      <c r="E239" s="81">
        <f t="shared" si="97"/>
        <v>92</v>
      </c>
      <c r="F239" s="83">
        <f>VLOOKUP(D239,'FERC Interest Rate'!$A:$B,2,TRUE)</f>
        <v>5.2822580000000001E-2</v>
      </c>
      <c r="G239" s="84">
        <f t="shared" si="98"/>
        <v>1404.422178167551</v>
      </c>
      <c r="H239" s="84">
        <v>0</v>
      </c>
      <c r="I239" s="109">
        <f t="shared" si="104"/>
        <v>8.5569962332209037</v>
      </c>
      <c r="J239" s="85">
        <f t="shared" si="102"/>
        <v>18.698736063349958</v>
      </c>
      <c r="K239" s="129">
        <f t="shared" si="93"/>
        <v>27.255732296570862</v>
      </c>
      <c r="L239" s="85">
        <f t="shared" si="103"/>
        <v>131.88522158353422</v>
      </c>
      <c r="M239" s="130">
        <f t="shared" si="94"/>
        <v>159.14095388010509</v>
      </c>
      <c r="N239" s="8">
        <f t="shared" si="95"/>
        <v>1423.120914230901</v>
      </c>
      <c r="O239" s="84">
        <f t="shared" si="96"/>
        <v>1263.9799603507959</v>
      </c>
    </row>
    <row r="240" spans="1:15" x14ac:dyDescent="0.2">
      <c r="A240" s="96" t="s">
        <v>65</v>
      </c>
      <c r="B240" s="81" t="str">
        <f t="shared" si="101"/>
        <v>Q1/2019</v>
      </c>
      <c r="C240" s="82">
        <f t="shared" si="99"/>
        <v>43466</v>
      </c>
      <c r="D240" s="82">
        <f t="shared" si="100"/>
        <v>43555</v>
      </c>
      <c r="E240" s="81">
        <f t="shared" si="97"/>
        <v>90</v>
      </c>
      <c r="F240" s="83">
        <f>VLOOKUP(D240,'FERC Interest Rate'!$A:$B,2,TRUE)</f>
        <v>5.5296770000000002E-2</v>
      </c>
      <c r="G240" s="84">
        <f t="shared" si="98"/>
        <v>1263.9799603507959</v>
      </c>
      <c r="H240" s="84">
        <v>0</v>
      </c>
      <c r="I240" s="109">
        <f t="shared" si="104"/>
        <v>8.5569962332209037</v>
      </c>
      <c r="J240" s="85">
        <f t="shared" si="102"/>
        <v>17.234139242990238</v>
      </c>
      <c r="K240" s="129">
        <f t="shared" si="93"/>
        <v>25.791135476211142</v>
      </c>
      <c r="L240" s="85">
        <f t="shared" si="103"/>
        <v>131.88522158353422</v>
      </c>
      <c r="M240" s="130">
        <f t="shared" si="94"/>
        <v>157.67635705974536</v>
      </c>
      <c r="N240" s="8">
        <f t="shared" si="95"/>
        <v>1281.2140995937862</v>
      </c>
      <c r="O240" s="84">
        <f t="shared" si="96"/>
        <v>1123.5377425340407</v>
      </c>
    </row>
    <row r="241" spans="1:15" x14ac:dyDescent="0.2">
      <c r="A241" s="96" t="s">
        <v>66</v>
      </c>
      <c r="B241" s="81" t="str">
        <f t="shared" si="101"/>
        <v>Q2/2019</v>
      </c>
      <c r="C241" s="82">
        <f t="shared" si="99"/>
        <v>43556</v>
      </c>
      <c r="D241" s="82">
        <f t="shared" si="100"/>
        <v>43646</v>
      </c>
      <c r="E241" s="81">
        <f t="shared" si="97"/>
        <v>91</v>
      </c>
      <c r="F241" s="83">
        <f>VLOOKUP(D241,'FERC Interest Rate'!$A:$B,2,TRUE)</f>
        <v>5.7999999999999996E-2</v>
      </c>
      <c r="G241" s="84">
        <f t="shared" si="98"/>
        <v>1123.5377425340407</v>
      </c>
      <c r="H241" s="84">
        <v>0</v>
      </c>
      <c r="I241" s="109">
        <f t="shared" si="104"/>
        <v>8.5569962332209037</v>
      </c>
      <c r="J241" s="85">
        <f t="shared" si="102"/>
        <v>16.246663575601829</v>
      </c>
      <c r="K241" s="129">
        <f t="shared" si="93"/>
        <v>24.803659808822733</v>
      </c>
      <c r="L241" s="85">
        <f t="shared" si="103"/>
        <v>131.88522158353422</v>
      </c>
      <c r="M241" s="130">
        <f t="shared" si="94"/>
        <v>156.68888139235696</v>
      </c>
      <c r="N241" s="8">
        <f t="shared" si="95"/>
        <v>1139.7844061096425</v>
      </c>
      <c r="O241" s="84">
        <f t="shared" si="96"/>
        <v>983.09552471728557</v>
      </c>
    </row>
    <row r="242" spans="1:15" x14ac:dyDescent="0.2">
      <c r="A242" s="96" t="s">
        <v>67</v>
      </c>
      <c r="B242" s="81" t="str">
        <f t="shared" si="101"/>
        <v>Q3/2019</v>
      </c>
      <c r="C242" s="82">
        <f t="shared" si="99"/>
        <v>43647</v>
      </c>
      <c r="D242" s="82">
        <f t="shared" si="100"/>
        <v>43738</v>
      </c>
      <c r="E242" s="81">
        <f t="shared" si="97"/>
        <v>92</v>
      </c>
      <c r="F242" s="83">
        <f>VLOOKUP(D242,'FERC Interest Rate'!$A:$B,2,TRUE)</f>
        <v>0.06</v>
      </c>
      <c r="G242" s="84">
        <f t="shared" si="98"/>
        <v>983.09552471728557</v>
      </c>
      <c r="H242" s="84">
        <v>0</v>
      </c>
      <c r="I242" s="109">
        <f t="shared" si="104"/>
        <v>8.5569962332209037</v>
      </c>
      <c r="J242" s="85">
        <f t="shared" si="102"/>
        <v>14.867636428601141</v>
      </c>
      <c r="K242" s="129">
        <f t="shared" si="93"/>
        <v>23.424632661822045</v>
      </c>
      <c r="L242" s="85">
        <f t="shared" si="103"/>
        <v>131.88522158353422</v>
      </c>
      <c r="M242" s="130">
        <f t="shared" si="94"/>
        <v>155.30985424535626</v>
      </c>
      <c r="N242" s="8">
        <f t="shared" si="95"/>
        <v>997.96316114588672</v>
      </c>
      <c r="O242" s="84">
        <f t="shared" si="96"/>
        <v>842.65330690053042</v>
      </c>
    </row>
    <row r="243" spans="1:15" x14ac:dyDescent="0.2">
      <c r="A243" s="96" t="s">
        <v>68</v>
      </c>
      <c r="B243" s="81" t="str">
        <f t="shared" si="101"/>
        <v>Q4/2019</v>
      </c>
      <c r="C243" s="82">
        <f t="shared" si="99"/>
        <v>43739</v>
      </c>
      <c r="D243" s="82">
        <f t="shared" si="100"/>
        <v>43830</v>
      </c>
      <c r="E243" s="81">
        <f t="shared" si="97"/>
        <v>92</v>
      </c>
      <c r="F243" s="83">
        <f>VLOOKUP(D243,'FERC Interest Rate'!$A:$B,2,TRUE)</f>
        <v>6.0349460000000001E-2</v>
      </c>
      <c r="G243" s="84">
        <f t="shared" si="98"/>
        <v>842.65330690053042</v>
      </c>
      <c r="H243" s="84">
        <v>0</v>
      </c>
      <c r="I243" s="109">
        <f t="shared" si="104"/>
        <v>8.5569962332209037</v>
      </c>
      <c r="J243" s="85">
        <f t="shared" si="102"/>
        <v>12.817911856320107</v>
      </c>
      <c r="K243" s="129">
        <f t="shared" si="93"/>
        <v>21.374908089541009</v>
      </c>
      <c r="L243" s="85">
        <f t="shared" si="103"/>
        <v>131.88522158353422</v>
      </c>
      <c r="M243" s="130">
        <f t="shared" si="94"/>
        <v>153.26012967307523</v>
      </c>
      <c r="N243" s="8">
        <f t="shared" si="95"/>
        <v>855.47121875685048</v>
      </c>
      <c r="O243" s="84">
        <f t="shared" si="96"/>
        <v>702.21108908377528</v>
      </c>
    </row>
    <row r="244" spans="1:15" x14ac:dyDescent="0.2">
      <c r="A244" s="96" t="s">
        <v>69</v>
      </c>
      <c r="B244" s="81" t="str">
        <f t="shared" si="101"/>
        <v>Q1/2020</v>
      </c>
      <c r="C244" s="82">
        <f t="shared" si="99"/>
        <v>43831</v>
      </c>
      <c r="D244" s="82">
        <f t="shared" si="100"/>
        <v>43921</v>
      </c>
      <c r="E244" s="81">
        <f t="shared" si="97"/>
        <v>91</v>
      </c>
      <c r="F244" s="83">
        <f>VLOOKUP(D244,'FERC Interest Rate'!$A:$B,2,TRUE)</f>
        <v>6.2501040000000008E-2</v>
      </c>
      <c r="G244" s="84">
        <f t="shared" si="98"/>
        <v>702.21108908377528</v>
      </c>
      <c r="H244" s="84">
        <v>0</v>
      </c>
      <c r="I244" s="109">
        <f t="shared" si="104"/>
        <v>8.5569962332209037</v>
      </c>
      <c r="J244" s="85">
        <f t="shared" si="102"/>
        <v>10.912273296233453</v>
      </c>
      <c r="K244" s="129">
        <f t="shared" si="93"/>
        <v>19.469269529454358</v>
      </c>
      <c r="L244" s="85">
        <f t="shared" si="103"/>
        <v>131.88522158353422</v>
      </c>
      <c r="M244" s="130">
        <f t="shared" si="94"/>
        <v>151.35449111298857</v>
      </c>
      <c r="N244" s="8">
        <f t="shared" si="95"/>
        <v>713.12336238000876</v>
      </c>
      <c r="O244" s="84">
        <f t="shared" si="96"/>
        <v>561.76887126702013</v>
      </c>
    </row>
    <row r="245" spans="1:15" x14ac:dyDescent="0.2">
      <c r="A245" s="96" t="s">
        <v>70</v>
      </c>
      <c r="B245" s="81" t="str">
        <f t="shared" si="101"/>
        <v>Q2/2020</v>
      </c>
      <c r="C245" s="82">
        <f t="shared" si="99"/>
        <v>43922</v>
      </c>
      <c r="D245" s="82">
        <f t="shared" si="100"/>
        <v>44012</v>
      </c>
      <c r="E245" s="81">
        <f t="shared" si="97"/>
        <v>91</v>
      </c>
      <c r="F245" s="83">
        <f>VLOOKUP(D245,'FERC Interest Rate'!$A:$B,2,TRUE)</f>
        <v>6.3055559999999997E-2</v>
      </c>
      <c r="G245" s="84">
        <f t="shared" si="98"/>
        <v>561.76887126702013</v>
      </c>
      <c r="H245" s="84">
        <v>0</v>
      </c>
      <c r="I245" s="109">
        <f t="shared" si="104"/>
        <v>8.5569962332209037</v>
      </c>
      <c r="J245" s="85">
        <f t="shared" si="102"/>
        <v>8.8072710926672073</v>
      </c>
      <c r="K245" s="129">
        <f t="shared" si="93"/>
        <v>17.364267325888111</v>
      </c>
      <c r="L245" s="85">
        <f t="shared" si="103"/>
        <v>131.88522158353422</v>
      </c>
      <c r="M245" s="130">
        <f t="shared" si="94"/>
        <v>149.24948890942233</v>
      </c>
      <c r="N245" s="8">
        <f t="shared" si="95"/>
        <v>570.57614235968731</v>
      </c>
      <c r="O245" s="84">
        <f t="shared" si="96"/>
        <v>421.32665345026504</v>
      </c>
    </row>
    <row r="246" spans="1:15" x14ac:dyDescent="0.2">
      <c r="A246" s="96" t="s">
        <v>71</v>
      </c>
      <c r="B246" s="81" t="str">
        <f t="shared" si="101"/>
        <v>Q3/2020</v>
      </c>
      <c r="C246" s="82">
        <f t="shared" si="99"/>
        <v>44013</v>
      </c>
      <c r="D246" s="82">
        <f t="shared" si="100"/>
        <v>44104</v>
      </c>
      <c r="E246" s="81">
        <f t="shared" si="97"/>
        <v>92</v>
      </c>
      <c r="F246" s="83">
        <f>VLOOKUP(D246,'FERC Interest Rate'!$A:$B,2,TRUE)</f>
        <v>6.5000000000000002E-2</v>
      </c>
      <c r="G246" s="84">
        <f t="shared" si="98"/>
        <v>421.32665345026504</v>
      </c>
      <c r="H246" s="84">
        <v>0</v>
      </c>
      <c r="I246" s="109">
        <f t="shared" si="104"/>
        <v>8.5569962332209037</v>
      </c>
      <c r="J246" s="85">
        <f t="shared" si="102"/>
        <v>6.8839710044606148</v>
      </c>
      <c r="K246" s="129">
        <f t="shared" si="93"/>
        <v>15.440967237681519</v>
      </c>
      <c r="L246" s="85">
        <f t="shared" si="103"/>
        <v>131.88522158353422</v>
      </c>
      <c r="M246" s="130">
        <f t="shared" si="94"/>
        <v>147.32618882121574</v>
      </c>
      <c r="N246" s="8">
        <f t="shared" si="95"/>
        <v>428.21062445472563</v>
      </c>
      <c r="O246" s="84">
        <f t="shared" si="96"/>
        <v>280.8844356335099</v>
      </c>
    </row>
    <row r="247" spans="1:15" x14ac:dyDescent="0.2">
      <c r="A247" s="96" t="s">
        <v>72</v>
      </c>
      <c r="B247" s="81" t="str">
        <f t="shared" si="101"/>
        <v>Q4/2020</v>
      </c>
      <c r="C247" s="82">
        <f t="shared" si="99"/>
        <v>44105</v>
      </c>
      <c r="D247" s="82">
        <f t="shared" si="100"/>
        <v>44196</v>
      </c>
      <c r="E247" s="81">
        <f t="shared" si="97"/>
        <v>92</v>
      </c>
      <c r="F247" s="83">
        <f>VLOOKUP(D247,'FERC Interest Rate'!$A:$B,2,TRUE)</f>
        <v>6.5000000000000002E-2</v>
      </c>
      <c r="G247" s="84">
        <f t="shared" si="98"/>
        <v>280.8844356335099</v>
      </c>
      <c r="H247" s="84">
        <v>0</v>
      </c>
      <c r="I247" s="109">
        <f t="shared" si="104"/>
        <v>8.5569962332209037</v>
      </c>
      <c r="J247" s="85">
        <f t="shared" si="102"/>
        <v>4.5893140029737411</v>
      </c>
      <c r="K247" s="129">
        <f t="shared" si="93"/>
        <v>13.146310236194644</v>
      </c>
      <c r="L247" s="85">
        <f t="shared" si="103"/>
        <v>131.88522158353422</v>
      </c>
      <c r="M247" s="130">
        <f t="shared" si="94"/>
        <v>145.03153181972885</v>
      </c>
      <c r="N247" s="8">
        <f t="shared" si="95"/>
        <v>285.47374963648366</v>
      </c>
      <c r="O247" s="84">
        <f t="shared" si="96"/>
        <v>140.44221781675478</v>
      </c>
    </row>
    <row r="248" spans="1:15" x14ac:dyDescent="0.2">
      <c r="A248" s="96" t="s">
        <v>73</v>
      </c>
      <c r="B248" s="81" t="str">
        <f t="shared" si="101"/>
        <v>Q1/2021</v>
      </c>
      <c r="C248" s="82">
        <f t="shared" si="99"/>
        <v>44197</v>
      </c>
      <c r="D248" s="82">
        <f t="shared" si="100"/>
        <v>44286</v>
      </c>
      <c r="E248" s="81">
        <f t="shared" si="97"/>
        <v>90</v>
      </c>
      <c r="F248" s="83">
        <f>VLOOKUP(D248,'FERC Interest Rate'!$A:$B,2,TRUE)</f>
        <v>6.5000000000000002E-2</v>
      </c>
      <c r="G248" s="84">
        <f t="shared" si="98"/>
        <v>140.44221781675478</v>
      </c>
      <c r="H248" s="84">
        <v>0</v>
      </c>
      <c r="I248" s="109">
        <f t="shared" si="104"/>
        <v>8.5569962332209037</v>
      </c>
      <c r="J248" s="85">
        <f t="shared" si="102"/>
        <v>2.2509232170630562</v>
      </c>
      <c r="K248" s="129">
        <f t="shared" si="93"/>
        <v>10.80791945028396</v>
      </c>
      <c r="L248" s="85">
        <f t="shared" si="103"/>
        <v>131.88522158353422</v>
      </c>
      <c r="M248" s="130">
        <f t="shared" si="94"/>
        <v>142.69314103381816</v>
      </c>
      <c r="N248" s="8">
        <f t="shared" si="95"/>
        <v>142.69314103381782</v>
      </c>
      <c r="O248" s="84">
        <f t="shared" si="96"/>
        <v>-3.4461322684364859E-13</v>
      </c>
    </row>
    <row r="249" spans="1:15" x14ac:dyDescent="0.2">
      <c r="A249" s="96"/>
      <c r="B249" s="81"/>
      <c r="C249" s="82"/>
      <c r="D249" s="82"/>
      <c r="E249" s="81"/>
      <c r="F249" s="83"/>
      <c r="G249" s="84"/>
      <c r="H249" s="84"/>
      <c r="I249" s="109"/>
      <c r="J249" s="85"/>
      <c r="K249" s="129"/>
      <c r="L249" s="85"/>
      <c r="M249" s="130"/>
      <c r="N249" s="8"/>
      <c r="O249" s="84"/>
    </row>
    <row r="250" spans="1:15" ht="13.5" thickBot="1" x14ac:dyDescent="0.25">
      <c r="A250" s="151"/>
      <c r="B250" s="152"/>
      <c r="C250" s="153"/>
      <c r="D250" s="153"/>
      <c r="E250" s="154"/>
      <c r="F250" s="152"/>
      <c r="G250" s="140">
        <f t="shared" ref="G250:O250" si="105">+SUM(G225:G249)</f>
        <v>40741.399949788283</v>
      </c>
      <c r="H250" s="140">
        <f t="shared" si="105"/>
        <v>171.13992466441806</v>
      </c>
      <c r="I250" s="141">
        <f t="shared" si="105"/>
        <v>171.13992466441803</v>
      </c>
      <c r="J250" s="140">
        <f t="shared" si="105"/>
        <v>257.44534078403166</v>
      </c>
      <c r="K250" s="140">
        <f t="shared" si="105"/>
        <v>428.58526544844977</v>
      </c>
      <c r="L250" s="140">
        <f t="shared" si="105"/>
        <v>2637.7044316706842</v>
      </c>
      <c r="M250" s="142">
        <f t="shared" si="105"/>
        <v>3066.2896971191349</v>
      </c>
      <c r="N250" s="140">
        <f t="shared" si="105"/>
        <v>41169.985215236738</v>
      </c>
      <c r="O250" s="140">
        <f t="shared" si="105"/>
        <v>38103.695518117602</v>
      </c>
    </row>
    <row r="251" spans="1:15" ht="13.5" thickTop="1" x14ac:dyDescent="0.2">
      <c r="B251" s="117"/>
      <c r="C251" s="117"/>
      <c r="D251" s="117"/>
      <c r="E251" s="117"/>
      <c r="F251" s="117"/>
      <c r="G251" s="117"/>
      <c r="H251" s="117"/>
      <c r="I251" s="116"/>
      <c r="J251" s="117"/>
      <c r="K251" s="117"/>
      <c r="L251" s="117"/>
      <c r="M251" s="131"/>
      <c r="O251" s="117"/>
    </row>
    <row r="252" spans="1:15" ht="38.25" x14ac:dyDescent="0.2">
      <c r="A252" s="90" t="s">
        <v>53</v>
      </c>
      <c r="B252" s="90" t="s">
        <v>3</v>
      </c>
      <c r="C252" s="90" t="s">
        <v>4</v>
      </c>
      <c r="D252" s="90" t="s">
        <v>5</v>
      </c>
      <c r="E252" s="90" t="s">
        <v>6</v>
      </c>
      <c r="F252" s="90" t="s">
        <v>7</v>
      </c>
      <c r="G252" s="90" t="s">
        <v>93</v>
      </c>
      <c r="H252" s="90" t="s">
        <v>94</v>
      </c>
      <c r="I252" s="105" t="s">
        <v>95</v>
      </c>
      <c r="J252" s="106" t="s">
        <v>96</v>
      </c>
      <c r="K252" s="106" t="s">
        <v>97</v>
      </c>
      <c r="L252" s="106" t="s">
        <v>98</v>
      </c>
      <c r="M252" s="107" t="s">
        <v>99</v>
      </c>
      <c r="N252" s="90" t="s">
        <v>100</v>
      </c>
      <c r="O252" s="90" t="s">
        <v>101</v>
      </c>
    </row>
    <row r="253" spans="1:15" x14ac:dyDescent="0.2">
      <c r="A253" s="309" t="s">
        <v>15</v>
      </c>
      <c r="B253" s="309"/>
      <c r="C253" s="282">
        <f>VLOOKUP(B254,A$1:F$19,2,FALSE)</f>
        <v>42242</v>
      </c>
      <c r="D253" s="282">
        <f>DATE(YEAR(C253),IF(MONTH(C253)&lt;=3,3,IF(MONTH(C253)&lt;=6,6,IF(MONTH(C253)&lt;=9,9,12))),IF(OR(MONTH(C253)&lt;=3,MONTH(C253)&gt;=10),31,30))</f>
        <v>42277</v>
      </c>
      <c r="E253" s="283">
        <f>D253-C253+1</f>
        <v>36</v>
      </c>
      <c r="F253" s="284">
        <f>VLOOKUP(D253,'FERC Interest Rate'!$A:$B,2,TRUE)</f>
        <v>3.2500000000000001E-2</v>
      </c>
      <c r="G253" s="167">
        <f>VLOOKUP(B254,$A$1:$F$23,5,FALSE)</f>
        <v>1397.7289078435008</v>
      </c>
      <c r="H253" s="167">
        <f t="shared" ref="H253:H259" si="106">G253*F253*(E253/(DATE(YEAR(D253),12,31)-DATE(YEAR(D253),1,1)+1))</f>
        <v>4.4803912936353312</v>
      </c>
      <c r="I253" s="291">
        <v>0</v>
      </c>
      <c r="J253" s="286">
        <v>0</v>
      </c>
      <c r="K253" s="288">
        <f t="shared" ref="K253:K275" si="107">+SUM(I253:J253)</f>
        <v>0</v>
      </c>
      <c r="L253" s="286">
        <v>0</v>
      </c>
      <c r="M253" s="289">
        <f t="shared" ref="M253:M275" si="108">+SUM(K253:L253)</f>
        <v>0</v>
      </c>
      <c r="N253" s="290">
        <f t="shared" ref="N253:N275" si="109">+G253+H253+J253</f>
        <v>1402.2092991371362</v>
      </c>
      <c r="O253" s="167">
        <f t="shared" ref="O253:O275" si="110">G253+H253-L253-I253</f>
        <v>1402.2092991371362</v>
      </c>
    </row>
    <row r="254" spans="1:15" x14ac:dyDescent="0.2">
      <c r="A254" s="275" t="s">
        <v>38</v>
      </c>
      <c r="B254" s="276" t="s">
        <v>60</v>
      </c>
      <c r="C254" s="282">
        <f>D253+1</f>
        <v>42278</v>
      </c>
      <c r="D254" s="282">
        <f>EOMONTH(D253,3)</f>
        <v>42369</v>
      </c>
      <c r="E254" s="283">
        <f t="shared" ref="E254:E275" si="111">D254-C254+1</f>
        <v>92</v>
      </c>
      <c r="F254" s="284">
        <f>VLOOKUP(D254,'FERC Interest Rate'!$A:$B,2,TRUE)</f>
        <v>3.2500000000000001E-2</v>
      </c>
      <c r="G254" s="167">
        <f t="shared" ref="G254:G275" si="112">O253</f>
        <v>1402.2092991371362</v>
      </c>
      <c r="H254" s="167">
        <f t="shared" si="106"/>
        <v>11.486591244986405</v>
      </c>
      <c r="I254" s="291">
        <v>0</v>
      </c>
      <c r="J254" s="286">
        <v>0</v>
      </c>
      <c r="K254" s="288">
        <f t="shared" si="107"/>
        <v>0</v>
      </c>
      <c r="L254" s="286">
        <v>0</v>
      </c>
      <c r="M254" s="289">
        <f t="shared" si="108"/>
        <v>0</v>
      </c>
      <c r="N254" s="290">
        <f t="shared" si="109"/>
        <v>1413.6958903821226</v>
      </c>
      <c r="O254" s="167">
        <f t="shared" si="110"/>
        <v>1413.6958903821226</v>
      </c>
    </row>
    <row r="255" spans="1:15" x14ac:dyDescent="0.2">
      <c r="B255" s="283"/>
      <c r="C255" s="282">
        <f t="shared" ref="C255:C275" si="113">D254+1</f>
        <v>42370</v>
      </c>
      <c r="D255" s="282">
        <f t="shared" ref="D255:D275" si="114">EOMONTH(D254,3)</f>
        <v>42460</v>
      </c>
      <c r="E255" s="283">
        <f t="shared" si="111"/>
        <v>91</v>
      </c>
      <c r="F255" s="284">
        <f>VLOOKUP(D255,'FERC Interest Rate'!$A:$B,2,TRUE)</f>
        <v>3.2500000000000001E-2</v>
      </c>
      <c r="G255" s="167">
        <f t="shared" si="112"/>
        <v>1413.6958903821226</v>
      </c>
      <c r="H255" s="167">
        <f t="shared" si="106"/>
        <v>11.423512556844612</v>
      </c>
      <c r="I255" s="291">
        <v>0</v>
      </c>
      <c r="J255" s="286">
        <v>0</v>
      </c>
      <c r="K255" s="288">
        <f t="shared" si="107"/>
        <v>0</v>
      </c>
      <c r="L255" s="286">
        <v>0</v>
      </c>
      <c r="M255" s="289">
        <f t="shared" si="108"/>
        <v>0</v>
      </c>
      <c r="N255" s="290">
        <f t="shared" si="109"/>
        <v>1425.1194029389671</v>
      </c>
      <c r="O255" s="167">
        <f t="shared" si="110"/>
        <v>1425.1194029389671</v>
      </c>
    </row>
    <row r="256" spans="1:15" x14ac:dyDescent="0.2">
      <c r="A256" s="96"/>
      <c r="B256" s="81"/>
      <c r="C256" s="82">
        <f t="shared" si="113"/>
        <v>42461</v>
      </c>
      <c r="D256" s="82">
        <f t="shared" si="114"/>
        <v>42551</v>
      </c>
      <c r="E256" s="81">
        <f t="shared" si="111"/>
        <v>91</v>
      </c>
      <c r="F256" s="83">
        <f>VLOOKUP(D256,'FERC Interest Rate'!$A:$B,2,TRUE)</f>
        <v>3.4599999999999999E-2</v>
      </c>
      <c r="G256" s="84">
        <f t="shared" si="112"/>
        <v>1425.1194029389671</v>
      </c>
      <c r="H256" s="167">
        <f t="shared" si="106"/>
        <v>12.259920634135607</v>
      </c>
      <c r="I256" s="173">
        <v>0</v>
      </c>
      <c r="J256" s="286">
        <v>0</v>
      </c>
      <c r="K256" s="129">
        <f t="shared" si="107"/>
        <v>0</v>
      </c>
      <c r="L256" s="85">
        <v>0</v>
      </c>
      <c r="M256" s="130">
        <f t="shared" si="108"/>
        <v>0</v>
      </c>
      <c r="N256" s="8">
        <f t="shared" si="109"/>
        <v>1437.3793235731027</v>
      </c>
      <c r="O256" s="84">
        <f t="shared" si="110"/>
        <v>1437.3793235731027</v>
      </c>
    </row>
    <row r="257" spans="1:15" x14ac:dyDescent="0.2">
      <c r="A257" s="274"/>
      <c r="B257" s="81"/>
      <c r="C257" s="82">
        <f t="shared" si="113"/>
        <v>42552</v>
      </c>
      <c r="D257" s="82">
        <f t="shared" si="114"/>
        <v>42643</v>
      </c>
      <c r="E257" s="81">
        <f t="shared" si="111"/>
        <v>92</v>
      </c>
      <c r="F257" s="83">
        <f>VLOOKUP(D257,'FERC Interest Rate'!$A:$B,2,TRUE)</f>
        <v>3.5000000000000003E-2</v>
      </c>
      <c r="G257" s="84">
        <f t="shared" si="112"/>
        <v>1437.3793235731027</v>
      </c>
      <c r="H257" s="84">
        <f t="shared" si="106"/>
        <v>12.645796234714183</v>
      </c>
      <c r="I257" s="173">
        <v>0</v>
      </c>
      <c r="J257" s="85">
        <v>0</v>
      </c>
      <c r="K257" s="129">
        <f t="shared" si="107"/>
        <v>0</v>
      </c>
      <c r="L257" s="85">
        <v>0</v>
      </c>
      <c r="M257" s="130">
        <f t="shared" si="108"/>
        <v>0</v>
      </c>
      <c r="N257" s="8">
        <f t="shared" si="109"/>
        <v>1450.025119807817</v>
      </c>
      <c r="O257" s="84">
        <f t="shared" si="110"/>
        <v>1450.025119807817</v>
      </c>
    </row>
    <row r="258" spans="1:15" x14ac:dyDescent="0.2">
      <c r="A258" s="96"/>
      <c r="B258" s="81"/>
      <c r="C258" s="82">
        <f t="shared" si="113"/>
        <v>42644</v>
      </c>
      <c r="D258" s="82">
        <f t="shared" si="114"/>
        <v>42735</v>
      </c>
      <c r="E258" s="81">
        <f t="shared" si="111"/>
        <v>92</v>
      </c>
      <c r="F258" s="83">
        <f>VLOOKUP(D258,'FERC Interest Rate'!$A:$B,2,TRUE)</f>
        <v>3.5000000000000003E-2</v>
      </c>
      <c r="G258" s="84">
        <f t="shared" si="112"/>
        <v>1450.025119807817</v>
      </c>
      <c r="H258" s="84">
        <f t="shared" si="106"/>
        <v>12.757051600495002</v>
      </c>
      <c r="I258" s="173">
        <v>0</v>
      </c>
      <c r="J258" s="85">
        <v>0</v>
      </c>
      <c r="K258" s="129">
        <f t="shared" si="107"/>
        <v>0</v>
      </c>
      <c r="L258" s="85">
        <v>0</v>
      </c>
      <c r="M258" s="130">
        <f t="shared" si="108"/>
        <v>0</v>
      </c>
      <c r="N258" s="8">
        <f t="shared" si="109"/>
        <v>1462.782171408312</v>
      </c>
      <c r="O258" s="84">
        <f t="shared" si="110"/>
        <v>1462.782171408312</v>
      </c>
    </row>
    <row r="259" spans="1:15" x14ac:dyDescent="0.2">
      <c r="A259" s="96" t="s">
        <v>102</v>
      </c>
      <c r="B259" s="81" t="str">
        <f t="shared" ref="B259:B275" si="115">+IF(MONTH(C259)&lt;4,"Q1",IF(MONTH(C259)&lt;7,"Q2",IF(MONTH(C259)&lt;10,"Q3","Q4")))&amp;"/"&amp;YEAR(C259)</f>
        <v>Q1/2017</v>
      </c>
      <c r="C259" s="82">
        <f t="shared" si="113"/>
        <v>42736</v>
      </c>
      <c r="D259" s="82">
        <f t="shared" si="114"/>
        <v>42825</v>
      </c>
      <c r="E259" s="81">
        <f t="shared" si="111"/>
        <v>90</v>
      </c>
      <c r="F259" s="83">
        <f>VLOOKUP(D259,'FERC Interest Rate'!$A:$B,2,TRUE)</f>
        <v>3.5000000000000003E-2</v>
      </c>
      <c r="G259" s="84">
        <f t="shared" si="112"/>
        <v>1462.782171408312</v>
      </c>
      <c r="H259" s="84">
        <f t="shared" si="106"/>
        <v>12.624010520373105</v>
      </c>
      <c r="I259" s="173">
        <f>SUM($H$253:$H$276)/20*4</f>
        <v>15.53545481703685</v>
      </c>
      <c r="J259" s="85">
        <f t="shared" ref="J259:J275" si="116">G259*F259*(E259/(DATE(YEAR(D259),12,31)-DATE(YEAR(D259),1,1)+1))</f>
        <v>12.624010520373105</v>
      </c>
      <c r="K259" s="129">
        <f t="shared" si="107"/>
        <v>28.159465337409955</v>
      </c>
      <c r="L259" s="85">
        <f>VLOOKUP($B$254,A$1:F$19,5,FALSE)/20*4</f>
        <v>279.54578156870014</v>
      </c>
      <c r="M259" s="130">
        <f t="shared" si="108"/>
        <v>307.70524690611012</v>
      </c>
      <c r="N259" s="8">
        <f t="shared" si="109"/>
        <v>1488.0301924490582</v>
      </c>
      <c r="O259" s="84">
        <f t="shared" si="110"/>
        <v>1180.3249455429479</v>
      </c>
    </row>
    <row r="260" spans="1:15" x14ac:dyDescent="0.2">
      <c r="A260" s="96" t="s">
        <v>58</v>
      </c>
      <c r="B260" s="81" t="str">
        <f t="shared" si="115"/>
        <v>Q2/2017</v>
      </c>
      <c r="C260" s="82">
        <f t="shared" si="113"/>
        <v>42826</v>
      </c>
      <c r="D260" s="82">
        <f t="shared" si="114"/>
        <v>42916</v>
      </c>
      <c r="E260" s="81">
        <f t="shared" si="111"/>
        <v>91</v>
      </c>
      <c r="F260" s="83">
        <f>VLOOKUP(D260,'FERC Interest Rate'!$A:$B,2,TRUE)</f>
        <v>3.7100000000000001E-2</v>
      </c>
      <c r="G260" s="84">
        <f t="shared" si="112"/>
        <v>1180.3249455429479</v>
      </c>
      <c r="H260" s="84">
        <v>0</v>
      </c>
      <c r="I260" s="173">
        <f>SUM($H$253:$H$276)/20</f>
        <v>3.8838637042592126</v>
      </c>
      <c r="J260" s="85">
        <f t="shared" si="116"/>
        <v>10.917520681226156</v>
      </c>
      <c r="K260" s="129">
        <f t="shared" si="107"/>
        <v>14.801384385485369</v>
      </c>
      <c r="L260" s="85">
        <f t="shared" ref="L260:L275" si="117">VLOOKUP($B$254,A$1:F$19,5,FALSE)/20</f>
        <v>69.886445392175034</v>
      </c>
      <c r="M260" s="130">
        <f t="shared" si="108"/>
        <v>84.687829777660397</v>
      </c>
      <c r="N260" s="8">
        <f t="shared" si="109"/>
        <v>1191.242466224174</v>
      </c>
      <c r="O260" s="84">
        <f t="shared" si="110"/>
        <v>1106.5546364465135</v>
      </c>
    </row>
    <row r="261" spans="1:15" x14ac:dyDescent="0.2">
      <c r="A261" s="96" t="s">
        <v>59</v>
      </c>
      <c r="B261" s="81" t="str">
        <f t="shared" si="115"/>
        <v>Q3/2017</v>
      </c>
      <c r="C261" s="82">
        <f t="shared" si="113"/>
        <v>42917</v>
      </c>
      <c r="D261" s="82">
        <f t="shared" si="114"/>
        <v>43008</v>
      </c>
      <c r="E261" s="81">
        <f t="shared" si="111"/>
        <v>92</v>
      </c>
      <c r="F261" s="83">
        <f>VLOOKUP(D261,'FERC Interest Rate'!$A:$B,2,TRUE)</f>
        <v>3.9600000000000003E-2</v>
      </c>
      <c r="G261" s="84">
        <f t="shared" si="112"/>
        <v>1106.5546364465135</v>
      </c>
      <c r="H261" s="84">
        <v>0</v>
      </c>
      <c r="I261" s="109">
        <f>SUM($H$253:$H$276)/20</f>
        <v>3.8838637042592126</v>
      </c>
      <c r="J261" s="85">
        <f t="shared" si="116"/>
        <v>11.044931100005313</v>
      </c>
      <c r="K261" s="129">
        <f t="shared" si="107"/>
        <v>14.928794804264525</v>
      </c>
      <c r="L261" s="85">
        <f t="shared" si="117"/>
        <v>69.886445392175034</v>
      </c>
      <c r="M261" s="130">
        <f t="shared" si="108"/>
        <v>84.815240196439561</v>
      </c>
      <c r="N261" s="8">
        <f t="shared" si="109"/>
        <v>1117.5995675465188</v>
      </c>
      <c r="O261" s="84">
        <f t="shared" si="110"/>
        <v>1032.7843273500791</v>
      </c>
    </row>
    <row r="262" spans="1:15" x14ac:dyDescent="0.2">
      <c r="A262" s="96" t="s">
        <v>60</v>
      </c>
      <c r="B262" s="81" t="str">
        <f t="shared" si="115"/>
        <v>Q4/2017</v>
      </c>
      <c r="C262" s="82">
        <f t="shared" si="113"/>
        <v>43009</v>
      </c>
      <c r="D262" s="82">
        <f t="shared" si="114"/>
        <v>43100</v>
      </c>
      <c r="E262" s="81">
        <f t="shared" si="111"/>
        <v>92</v>
      </c>
      <c r="F262" s="83">
        <f>VLOOKUP(D262,'FERC Interest Rate'!$A:$B,2,TRUE)</f>
        <v>4.2099999999999999E-2</v>
      </c>
      <c r="G262" s="84">
        <f t="shared" si="112"/>
        <v>1032.7843273500791</v>
      </c>
      <c r="H262" s="84">
        <v>0</v>
      </c>
      <c r="I262" s="109">
        <f>SUM($H$253:$H$276)/20</f>
        <v>3.8838637042592126</v>
      </c>
      <c r="J262" s="85">
        <f t="shared" si="116"/>
        <v>10.959397963540621</v>
      </c>
      <c r="K262" s="129">
        <f t="shared" si="107"/>
        <v>14.843261667799833</v>
      </c>
      <c r="L262" s="85">
        <f t="shared" si="117"/>
        <v>69.886445392175034</v>
      </c>
      <c r="M262" s="130">
        <f t="shared" si="108"/>
        <v>84.729707059974871</v>
      </c>
      <c r="N262" s="8">
        <f t="shared" si="109"/>
        <v>1043.7437253136197</v>
      </c>
      <c r="O262" s="84">
        <f t="shared" si="110"/>
        <v>959.01401825364496</v>
      </c>
    </row>
    <row r="263" spans="1:15" x14ac:dyDescent="0.2">
      <c r="A263" s="96" t="s">
        <v>61</v>
      </c>
      <c r="B263" s="81" t="str">
        <f t="shared" si="115"/>
        <v>Q1/2018</v>
      </c>
      <c r="C263" s="82">
        <f t="shared" si="113"/>
        <v>43101</v>
      </c>
      <c r="D263" s="82">
        <f t="shared" si="114"/>
        <v>43190</v>
      </c>
      <c r="E263" s="81">
        <f t="shared" si="111"/>
        <v>90</v>
      </c>
      <c r="F263" s="83">
        <f>VLOOKUP(D263,'FERC Interest Rate'!$A:$B,2,TRUE)</f>
        <v>4.2500000000000003E-2</v>
      </c>
      <c r="G263" s="84">
        <f t="shared" si="112"/>
        <v>959.01401825364496</v>
      </c>
      <c r="H263" s="84">
        <v>0</v>
      </c>
      <c r="I263" s="109">
        <f t="shared" ref="I263:I275" si="118">SUM($H$253:$H$276)/20</f>
        <v>3.8838637042592126</v>
      </c>
      <c r="J263" s="85">
        <f t="shared" si="116"/>
        <v>10.04994142416491</v>
      </c>
      <c r="K263" s="129">
        <f t="shared" si="107"/>
        <v>13.933805128424122</v>
      </c>
      <c r="L263" s="85">
        <f t="shared" si="117"/>
        <v>69.886445392175034</v>
      </c>
      <c r="M263" s="130">
        <f t="shared" si="108"/>
        <v>83.82025052059916</v>
      </c>
      <c r="N263" s="8">
        <f t="shared" si="109"/>
        <v>969.06395967780986</v>
      </c>
      <c r="O263" s="84">
        <f t="shared" si="110"/>
        <v>885.24370915721079</v>
      </c>
    </row>
    <row r="264" spans="1:15" x14ac:dyDescent="0.2">
      <c r="A264" s="96" t="s">
        <v>62</v>
      </c>
      <c r="B264" s="81" t="str">
        <f t="shared" si="115"/>
        <v>Q2/2018</v>
      </c>
      <c r="C264" s="82">
        <f t="shared" si="113"/>
        <v>43191</v>
      </c>
      <c r="D264" s="82">
        <f t="shared" si="114"/>
        <v>43281</v>
      </c>
      <c r="E264" s="81">
        <f t="shared" si="111"/>
        <v>91</v>
      </c>
      <c r="F264" s="83">
        <f>VLOOKUP(D264,'FERC Interest Rate'!$A:$B,2,TRUE)</f>
        <v>4.4699999999999997E-2</v>
      </c>
      <c r="G264" s="84">
        <f t="shared" si="112"/>
        <v>885.24370915721079</v>
      </c>
      <c r="H264" s="84">
        <v>0</v>
      </c>
      <c r="I264" s="109">
        <f t="shared" si="118"/>
        <v>3.8838637042592126</v>
      </c>
      <c r="J264" s="85">
        <f t="shared" si="116"/>
        <v>9.8654954403802364</v>
      </c>
      <c r="K264" s="129">
        <f t="shared" si="107"/>
        <v>13.749359144639449</v>
      </c>
      <c r="L264" s="85">
        <f t="shared" si="117"/>
        <v>69.886445392175034</v>
      </c>
      <c r="M264" s="130">
        <f t="shared" si="108"/>
        <v>83.635804536814476</v>
      </c>
      <c r="N264" s="8">
        <f t="shared" si="109"/>
        <v>895.10920459759097</v>
      </c>
      <c r="O264" s="84">
        <f t="shared" si="110"/>
        <v>811.47340006077661</v>
      </c>
    </row>
    <row r="265" spans="1:15" x14ac:dyDescent="0.2">
      <c r="A265" s="96" t="s">
        <v>63</v>
      </c>
      <c r="B265" s="81" t="str">
        <f t="shared" si="115"/>
        <v>Q3/2018</v>
      </c>
      <c r="C265" s="82">
        <f t="shared" si="113"/>
        <v>43282</v>
      </c>
      <c r="D265" s="82">
        <f t="shared" si="114"/>
        <v>43373</v>
      </c>
      <c r="E265" s="81">
        <f t="shared" si="111"/>
        <v>92</v>
      </c>
      <c r="F265" s="83">
        <f>VLOOKUP(D265,'FERC Interest Rate'!$A:$B,2,TRUE)</f>
        <v>5.011111E-2</v>
      </c>
      <c r="G265" s="84">
        <f t="shared" si="112"/>
        <v>811.47340006077661</v>
      </c>
      <c r="H265" s="84">
        <v>0</v>
      </c>
      <c r="I265" s="109">
        <f t="shared" si="118"/>
        <v>3.8838637042592126</v>
      </c>
      <c r="J265" s="85">
        <f t="shared" si="116"/>
        <v>10.249514023977541</v>
      </c>
      <c r="K265" s="129">
        <f t="shared" si="107"/>
        <v>14.133377728236754</v>
      </c>
      <c r="L265" s="85">
        <f t="shared" si="117"/>
        <v>69.886445392175034</v>
      </c>
      <c r="M265" s="130">
        <f t="shared" si="108"/>
        <v>84.019823120411786</v>
      </c>
      <c r="N265" s="8">
        <f t="shared" si="109"/>
        <v>821.72291408475417</v>
      </c>
      <c r="O265" s="84">
        <f t="shared" si="110"/>
        <v>737.70309096434244</v>
      </c>
    </row>
    <row r="266" spans="1:15" x14ac:dyDescent="0.2">
      <c r="A266" s="96" t="s">
        <v>64</v>
      </c>
      <c r="B266" s="81" t="str">
        <f t="shared" si="115"/>
        <v>Q4/2018</v>
      </c>
      <c r="C266" s="82">
        <f t="shared" si="113"/>
        <v>43374</v>
      </c>
      <c r="D266" s="82">
        <f t="shared" si="114"/>
        <v>43465</v>
      </c>
      <c r="E266" s="81">
        <f t="shared" si="111"/>
        <v>92</v>
      </c>
      <c r="F266" s="83">
        <f>VLOOKUP(D266,'FERC Interest Rate'!$A:$B,2,TRUE)</f>
        <v>5.2822580000000001E-2</v>
      </c>
      <c r="G266" s="84">
        <f t="shared" si="112"/>
        <v>737.70309096434244</v>
      </c>
      <c r="H266" s="84">
        <v>0</v>
      </c>
      <c r="I266" s="109">
        <f t="shared" si="118"/>
        <v>3.8838637042592126</v>
      </c>
      <c r="J266" s="85">
        <f t="shared" si="116"/>
        <v>9.8219150946888654</v>
      </c>
      <c r="K266" s="129">
        <f t="shared" si="107"/>
        <v>13.705778798948078</v>
      </c>
      <c r="L266" s="85">
        <f t="shared" si="117"/>
        <v>69.886445392175034</v>
      </c>
      <c r="M266" s="130">
        <f t="shared" si="108"/>
        <v>83.592224191123108</v>
      </c>
      <c r="N266" s="8">
        <f t="shared" si="109"/>
        <v>747.52500605903128</v>
      </c>
      <c r="O266" s="84">
        <f t="shared" si="110"/>
        <v>663.93278186790826</v>
      </c>
    </row>
    <row r="267" spans="1:15" x14ac:dyDescent="0.2">
      <c r="A267" s="96" t="s">
        <v>65</v>
      </c>
      <c r="B267" s="81" t="str">
        <f t="shared" si="115"/>
        <v>Q1/2019</v>
      </c>
      <c r="C267" s="82">
        <f t="shared" si="113"/>
        <v>43466</v>
      </c>
      <c r="D267" s="82">
        <f t="shared" si="114"/>
        <v>43555</v>
      </c>
      <c r="E267" s="81">
        <f t="shared" si="111"/>
        <v>90</v>
      </c>
      <c r="F267" s="83">
        <f>VLOOKUP(D267,'FERC Interest Rate'!$A:$B,2,TRUE)</f>
        <v>5.5296770000000002E-2</v>
      </c>
      <c r="G267" s="84">
        <f t="shared" si="112"/>
        <v>663.93278186790826</v>
      </c>
      <c r="H267" s="84">
        <v>0</v>
      </c>
      <c r="I267" s="109">
        <f t="shared" si="118"/>
        <v>3.8838637042592126</v>
      </c>
      <c r="J267" s="85">
        <f t="shared" si="116"/>
        <v>9.0526039728681926</v>
      </c>
      <c r="K267" s="129">
        <f t="shared" si="107"/>
        <v>12.936467677127405</v>
      </c>
      <c r="L267" s="85">
        <f t="shared" si="117"/>
        <v>69.886445392175034</v>
      </c>
      <c r="M267" s="130">
        <f t="shared" si="108"/>
        <v>82.822913069302444</v>
      </c>
      <c r="N267" s="8">
        <f t="shared" si="109"/>
        <v>672.98538584077642</v>
      </c>
      <c r="O267" s="84">
        <f t="shared" si="110"/>
        <v>590.16247277147409</v>
      </c>
    </row>
    <row r="268" spans="1:15" x14ac:dyDescent="0.2">
      <c r="A268" s="96" t="s">
        <v>66</v>
      </c>
      <c r="B268" s="81" t="str">
        <f t="shared" si="115"/>
        <v>Q2/2019</v>
      </c>
      <c r="C268" s="82">
        <f t="shared" si="113"/>
        <v>43556</v>
      </c>
      <c r="D268" s="82">
        <f t="shared" si="114"/>
        <v>43646</v>
      </c>
      <c r="E268" s="81">
        <f t="shared" si="111"/>
        <v>91</v>
      </c>
      <c r="F268" s="83">
        <f>VLOOKUP(D268,'FERC Interest Rate'!$A:$B,2,TRUE)</f>
        <v>5.7999999999999996E-2</v>
      </c>
      <c r="G268" s="84">
        <f t="shared" si="112"/>
        <v>590.16247277147409</v>
      </c>
      <c r="H268" s="84">
        <v>0</v>
      </c>
      <c r="I268" s="109">
        <f t="shared" si="118"/>
        <v>3.8838637042592126</v>
      </c>
      <c r="J268" s="85">
        <f t="shared" si="116"/>
        <v>8.5339110446242206</v>
      </c>
      <c r="K268" s="129">
        <f t="shared" si="107"/>
        <v>12.417774748883433</v>
      </c>
      <c r="L268" s="85">
        <f t="shared" si="117"/>
        <v>69.886445392175034</v>
      </c>
      <c r="M268" s="130">
        <f t="shared" si="108"/>
        <v>82.304220141058465</v>
      </c>
      <c r="N268" s="8">
        <f t="shared" si="109"/>
        <v>598.69638381609832</v>
      </c>
      <c r="O268" s="84">
        <f t="shared" si="110"/>
        <v>516.39216367503991</v>
      </c>
    </row>
    <row r="269" spans="1:15" x14ac:dyDescent="0.2">
      <c r="A269" s="96" t="s">
        <v>67</v>
      </c>
      <c r="B269" s="81" t="str">
        <f t="shared" si="115"/>
        <v>Q3/2019</v>
      </c>
      <c r="C269" s="82">
        <f t="shared" si="113"/>
        <v>43647</v>
      </c>
      <c r="D269" s="82">
        <f t="shared" si="114"/>
        <v>43738</v>
      </c>
      <c r="E269" s="81">
        <f t="shared" si="111"/>
        <v>92</v>
      </c>
      <c r="F269" s="83">
        <f>VLOOKUP(D269,'FERC Interest Rate'!$A:$B,2,TRUE)</f>
        <v>0.06</v>
      </c>
      <c r="G269" s="84">
        <f t="shared" si="112"/>
        <v>516.39216367503991</v>
      </c>
      <c r="H269" s="84">
        <v>0</v>
      </c>
      <c r="I269" s="109">
        <f t="shared" si="118"/>
        <v>3.8838637042592126</v>
      </c>
      <c r="J269" s="85">
        <f t="shared" si="116"/>
        <v>7.8095472424280015</v>
      </c>
      <c r="K269" s="129">
        <f t="shared" si="107"/>
        <v>11.693410946687214</v>
      </c>
      <c r="L269" s="85">
        <f t="shared" si="117"/>
        <v>69.886445392175034</v>
      </c>
      <c r="M269" s="130">
        <f t="shared" si="108"/>
        <v>81.579856338862243</v>
      </c>
      <c r="N269" s="8">
        <f t="shared" si="109"/>
        <v>524.20171091746795</v>
      </c>
      <c r="O269" s="84">
        <f t="shared" si="110"/>
        <v>442.62185457860568</v>
      </c>
    </row>
    <row r="270" spans="1:15" x14ac:dyDescent="0.2">
      <c r="A270" s="96" t="s">
        <v>68</v>
      </c>
      <c r="B270" s="81" t="str">
        <f t="shared" si="115"/>
        <v>Q4/2019</v>
      </c>
      <c r="C270" s="82">
        <f t="shared" si="113"/>
        <v>43739</v>
      </c>
      <c r="D270" s="82">
        <f t="shared" si="114"/>
        <v>43830</v>
      </c>
      <c r="E270" s="81">
        <f t="shared" si="111"/>
        <v>92</v>
      </c>
      <c r="F270" s="83">
        <f>VLOOKUP(D270,'FERC Interest Rate'!$A:$B,2,TRUE)</f>
        <v>6.0349460000000001E-2</v>
      </c>
      <c r="G270" s="84">
        <f t="shared" si="112"/>
        <v>442.62185457860568</v>
      </c>
      <c r="H270" s="84">
        <v>0</v>
      </c>
      <c r="I270" s="109">
        <f t="shared" si="118"/>
        <v>3.8838637042592126</v>
      </c>
      <c r="J270" s="85">
        <f t="shared" si="116"/>
        <v>6.7328851275002712</v>
      </c>
      <c r="K270" s="129">
        <f t="shared" si="107"/>
        <v>10.616748831759484</v>
      </c>
      <c r="L270" s="85">
        <f t="shared" si="117"/>
        <v>69.886445392175034</v>
      </c>
      <c r="M270" s="130">
        <f t="shared" si="108"/>
        <v>80.503194223934514</v>
      </c>
      <c r="N270" s="8">
        <f t="shared" si="109"/>
        <v>449.35473970610593</v>
      </c>
      <c r="O270" s="84">
        <f t="shared" si="110"/>
        <v>368.85154548217139</v>
      </c>
    </row>
    <row r="271" spans="1:15" x14ac:dyDescent="0.2">
      <c r="A271" s="96" t="s">
        <v>69</v>
      </c>
      <c r="B271" s="81" t="str">
        <f t="shared" si="115"/>
        <v>Q1/2020</v>
      </c>
      <c r="C271" s="82">
        <f t="shared" si="113"/>
        <v>43831</v>
      </c>
      <c r="D271" s="82">
        <f t="shared" si="114"/>
        <v>43921</v>
      </c>
      <c r="E271" s="81">
        <f t="shared" si="111"/>
        <v>91</v>
      </c>
      <c r="F271" s="83">
        <f>VLOOKUP(D271,'FERC Interest Rate'!$A:$B,2,TRUE)</f>
        <v>6.2501040000000008E-2</v>
      </c>
      <c r="G271" s="84">
        <f t="shared" si="112"/>
        <v>368.85154548217139</v>
      </c>
      <c r="H271" s="84">
        <v>0</v>
      </c>
      <c r="I271" s="109">
        <f t="shared" si="118"/>
        <v>3.8838637042592126</v>
      </c>
      <c r="J271" s="85">
        <f t="shared" si="116"/>
        <v>5.731907303388291</v>
      </c>
      <c r="K271" s="129">
        <f t="shared" si="107"/>
        <v>9.6157710076475027</v>
      </c>
      <c r="L271" s="85">
        <f t="shared" si="117"/>
        <v>69.886445392175034</v>
      </c>
      <c r="M271" s="130">
        <f t="shared" si="108"/>
        <v>79.502216399822544</v>
      </c>
      <c r="N271" s="8">
        <f t="shared" si="109"/>
        <v>374.5834527855597</v>
      </c>
      <c r="O271" s="84">
        <f t="shared" si="110"/>
        <v>295.0812363857371</v>
      </c>
    </row>
    <row r="272" spans="1:15" x14ac:dyDescent="0.2">
      <c r="A272" s="96" t="s">
        <v>70</v>
      </c>
      <c r="B272" s="81" t="str">
        <f t="shared" si="115"/>
        <v>Q2/2020</v>
      </c>
      <c r="C272" s="82">
        <f t="shared" si="113"/>
        <v>43922</v>
      </c>
      <c r="D272" s="82">
        <f t="shared" si="114"/>
        <v>44012</v>
      </c>
      <c r="E272" s="81">
        <f t="shared" si="111"/>
        <v>91</v>
      </c>
      <c r="F272" s="83">
        <f>VLOOKUP(D272,'FERC Interest Rate'!$A:$B,2,TRUE)</f>
        <v>6.3055559999999997E-2</v>
      </c>
      <c r="G272" s="84">
        <f t="shared" si="112"/>
        <v>295.0812363857371</v>
      </c>
      <c r="H272" s="84">
        <v>0</v>
      </c>
      <c r="I272" s="109">
        <f t="shared" si="118"/>
        <v>3.8838637042592126</v>
      </c>
      <c r="J272" s="85">
        <f t="shared" si="116"/>
        <v>4.6262094183807312</v>
      </c>
      <c r="K272" s="129">
        <f t="shared" si="107"/>
        <v>8.5100731226399446</v>
      </c>
      <c r="L272" s="85">
        <f t="shared" si="117"/>
        <v>69.886445392175034</v>
      </c>
      <c r="M272" s="130">
        <f t="shared" si="108"/>
        <v>78.396518514814971</v>
      </c>
      <c r="N272" s="8">
        <f t="shared" si="109"/>
        <v>299.70744580411781</v>
      </c>
      <c r="O272" s="84">
        <f t="shared" si="110"/>
        <v>221.31092728930287</v>
      </c>
    </row>
    <row r="273" spans="1:15" x14ac:dyDescent="0.2">
      <c r="A273" s="96" t="s">
        <v>71</v>
      </c>
      <c r="B273" s="81" t="str">
        <f t="shared" si="115"/>
        <v>Q3/2020</v>
      </c>
      <c r="C273" s="82">
        <f t="shared" si="113"/>
        <v>44013</v>
      </c>
      <c r="D273" s="82">
        <f t="shared" si="114"/>
        <v>44104</v>
      </c>
      <c r="E273" s="81">
        <f t="shared" si="111"/>
        <v>92</v>
      </c>
      <c r="F273" s="83">
        <f>VLOOKUP(D273,'FERC Interest Rate'!$A:$B,2,TRUE)</f>
        <v>6.5000000000000002E-2</v>
      </c>
      <c r="G273" s="84">
        <f t="shared" si="112"/>
        <v>221.31092728930287</v>
      </c>
      <c r="H273" s="84">
        <v>0</v>
      </c>
      <c r="I273" s="109">
        <f t="shared" si="118"/>
        <v>3.8838637042592126</v>
      </c>
      <c r="J273" s="85">
        <f t="shared" si="116"/>
        <v>3.61595449505473</v>
      </c>
      <c r="K273" s="129">
        <f t="shared" si="107"/>
        <v>7.4998181993139426</v>
      </c>
      <c r="L273" s="85">
        <f t="shared" si="117"/>
        <v>69.886445392175034</v>
      </c>
      <c r="M273" s="130">
        <f t="shared" si="108"/>
        <v>77.386263591488984</v>
      </c>
      <c r="N273" s="8">
        <f t="shared" si="109"/>
        <v>224.92688178435759</v>
      </c>
      <c r="O273" s="84">
        <f t="shared" si="110"/>
        <v>147.54061819286864</v>
      </c>
    </row>
    <row r="274" spans="1:15" x14ac:dyDescent="0.2">
      <c r="A274" s="96" t="s">
        <v>72</v>
      </c>
      <c r="B274" s="81" t="str">
        <f t="shared" si="115"/>
        <v>Q4/2020</v>
      </c>
      <c r="C274" s="82">
        <f t="shared" si="113"/>
        <v>44105</v>
      </c>
      <c r="D274" s="82">
        <f t="shared" si="114"/>
        <v>44196</v>
      </c>
      <c r="E274" s="81">
        <f t="shared" si="111"/>
        <v>92</v>
      </c>
      <c r="F274" s="83">
        <f>VLOOKUP(D274,'FERC Interest Rate'!$A:$B,2,TRUE)</f>
        <v>6.5000000000000002E-2</v>
      </c>
      <c r="G274" s="84">
        <f t="shared" si="112"/>
        <v>147.54061819286864</v>
      </c>
      <c r="H274" s="84">
        <v>0</v>
      </c>
      <c r="I274" s="109">
        <f t="shared" si="118"/>
        <v>3.8838637042592126</v>
      </c>
      <c r="J274" s="85">
        <f t="shared" si="116"/>
        <v>2.4106363300364877</v>
      </c>
      <c r="K274" s="129">
        <f t="shared" si="107"/>
        <v>6.2945000342956998</v>
      </c>
      <c r="L274" s="85">
        <f t="shared" si="117"/>
        <v>69.886445392175034</v>
      </c>
      <c r="M274" s="130">
        <f t="shared" si="108"/>
        <v>76.180945426470728</v>
      </c>
      <c r="N274" s="8">
        <f t="shared" si="109"/>
        <v>149.95125452290512</v>
      </c>
      <c r="O274" s="84">
        <f t="shared" si="110"/>
        <v>73.770309096434389</v>
      </c>
    </row>
    <row r="275" spans="1:15" x14ac:dyDescent="0.2">
      <c r="A275" s="96" t="s">
        <v>73</v>
      </c>
      <c r="B275" s="81" t="str">
        <f t="shared" si="115"/>
        <v>Q1/2021</v>
      </c>
      <c r="C275" s="82">
        <f t="shared" si="113"/>
        <v>44197</v>
      </c>
      <c r="D275" s="82">
        <f t="shared" si="114"/>
        <v>44286</v>
      </c>
      <c r="E275" s="81">
        <f t="shared" si="111"/>
        <v>90</v>
      </c>
      <c r="F275" s="83">
        <f>VLOOKUP(D275,'FERC Interest Rate'!$A:$B,2,TRUE)</f>
        <v>6.5000000000000002E-2</v>
      </c>
      <c r="G275" s="84">
        <f t="shared" si="112"/>
        <v>73.770309096434389</v>
      </c>
      <c r="H275" s="84">
        <v>0</v>
      </c>
      <c r="I275" s="109">
        <f t="shared" si="118"/>
        <v>3.8838637042592126</v>
      </c>
      <c r="J275" s="85">
        <f t="shared" si="116"/>
        <v>1.1823460499017566</v>
      </c>
      <c r="K275" s="129">
        <f t="shared" si="107"/>
        <v>5.066209754160969</v>
      </c>
      <c r="L275" s="85">
        <f t="shared" si="117"/>
        <v>69.886445392175034</v>
      </c>
      <c r="M275" s="130">
        <f t="shared" si="108"/>
        <v>74.952655146335999</v>
      </c>
      <c r="N275" s="8">
        <f t="shared" si="109"/>
        <v>74.952655146336141</v>
      </c>
      <c r="O275" s="84">
        <f t="shared" si="110"/>
        <v>1.4210854715202004E-13</v>
      </c>
    </row>
    <row r="276" spans="1:15" x14ac:dyDescent="0.2">
      <c r="A276" s="96"/>
      <c r="B276" s="81"/>
      <c r="C276" s="82"/>
      <c r="D276" s="82"/>
      <c r="E276" s="81"/>
      <c r="F276" s="83"/>
      <c r="G276" s="84"/>
      <c r="H276" s="84"/>
      <c r="I276" s="109"/>
      <c r="J276" s="85"/>
      <c r="K276" s="129"/>
      <c r="L276" s="85"/>
      <c r="M276" s="130"/>
      <c r="N276" s="8"/>
      <c r="O276" s="84"/>
    </row>
    <row r="277" spans="1:15" ht="13.5" thickBot="1" x14ac:dyDescent="0.25">
      <c r="A277" s="151"/>
      <c r="B277" s="152"/>
      <c r="C277" s="153"/>
      <c r="D277" s="153"/>
      <c r="E277" s="154"/>
      <c r="F277" s="152"/>
      <c r="G277" s="140">
        <f t="shared" ref="G277:O277" si="119">+SUM(G253:G276)</f>
        <v>20021.702152206017</v>
      </c>
      <c r="H277" s="140">
        <f t="shared" si="119"/>
        <v>77.677274085184251</v>
      </c>
      <c r="I277" s="141">
        <f t="shared" si="119"/>
        <v>77.677274085184251</v>
      </c>
      <c r="J277" s="140">
        <f t="shared" si="119"/>
        <v>135.2287272325394</v>
      </c>
      <c r="K277" s="140">
        <f t="shared" si="119"/>
        <v>212.90600131772371</v>
      </c>
      <c r="L277" s="140">
        <f t="shared" si="119"/>
        <v>1397.7289078435008</v>
      </c>
      <c r="M277" s="142">
        <f t="shared" si="119"/>
        <v>1610.6349091612246</v>
      </c>
      <c r="N277" s="140">
        <f t="shared" si="119"/>
        <v>20234.608153523732</v>
      </c>
      <c r="O277" s="140">
        <f t="shared" si="119"/>
        <v>18623.973244362514</v>
      </c>
    </row>
    <row r="278" spans="1:15" ht="13.5" thickTop="1" x14ac:dyDescent="0.2">
      <c r="B278" s="117"/>
      <c r="C278" s="117"/>
      <c r="D278" s="117"/>
      <c r="E278" s="117"/>
      <c r="F278" s="117"/>
      <c r="G278" s="117"/>
      <c r="H278" s="117"/>
      <c r="I278" s="116"/>
      <c r="J278" s="117"/>
      <c r="K278" s="117"/>
      <c r="L278" s="117"/>
      <c r="M278" s="131"/>
      <c r="O278" s="117"/>
    </row>
    <row r="279" spans="1:15" ht="38.25" x14ac:dyDescent="0.2">
      <c r="A279" s="90" t="s">
        <v>53</v>
      </c>
      <c r="B279" s="90" t="s">
        <v>3</v>
      </c>
      <c r="C279" s="90" t="s">
        <v>4</v>
      </c>
      <c r="D279" s="90" t="s">
        <v>5</v>
      </c>
      <c r="E279" s="90" t="s">
        <v>6</v>
      </c>
      <c r="F279" s="90" t="s">
        <v>7</v>
      </c>
      <c r="G279" s="90" t="s">
        <v>93</v>
      </c>
      <c r="H279" s="90" t="s">
        <v>94</v>
      </c>
      <c r="I279" s="105" t="s">
        <v>95</v>
      </c>
      <c r="J279" s="106" t="s">
        <v>96</v>
      </c>
      <c r="K279" s="106" t="s">
        <v>97</v>
      </c>
      <c r="L279" s="106" t="s">
        <v>98</v>
      </c>
      <c r="M279" s="107" t="s">
        <v>99</v>
      </c>
      <c r="N279" s="90" t="s">
        <v>100</v>
      </c>
      <c r="O279" s="90" t="s">
        <v>101</v>
      </c>
    </row>
    <row r="280" spans="1:15" x14ac:dyDescent="0.2">
      <c r="A280" s="309" t="s">
        <v>15</v>
      </c>
      <c r="B280" s="309"/>
      <c r="C280" s="282">
        <f>VLOOKUP(B281,A$1:F$23,2,FALSE)</f>
        <v>42333</v>
      </c>
      <c r="D280" s="282">
        <f>DATE(YEAR(C280),IF(MONTH(C280)&lt;=3,3,IF(MONTH(C280)&lt;=6,6,IF(MONTH(C280)&lt;=9,9,12))),IF(OR(MONTH(C280)&lt;=3,MONTH(C280)&gt;=10),31,30))</f>
        <v>42369</v>
      </c>
      <c r="E280" s="283">
        <f>D280-C280+1</f>
        <v>37</v>
      </c>
      <c r="F280" s="284">
        <f>VLOOKUP(D280,'FERC Interest Rate'!$A:$B,2,TRUE)</f>
        <v>3.2500000000000001E-2</v>
      </c>
      <c r="G280" s="167">
        <f>VLOOKUP(B281,$A$1:$F$23,5,FALSE)</f>
        <v>657.58847889239132</v>
      </c>
      <c r="H280" s="167">
        <f t="shared" ref="H280:H285" si="120">G280*F280*(E280/(DATE(YEAR(D280),12,31)-DATE(YEAR(D280),1,1)+1))</f>
        <v>2.1664387558030156</v>
      </c>
      <c r="I280" s="291">
        <v>0</v>
      </c>
      <c r="J280" s="286">
        <v>0</v>
      </c>
      <c r="K280" s="288">
        <f t="shared" ref="K280:K301" si="121">+SUM(I280:J280)</f>
        <v>0</v>
      </c>
      <c r="L280" s="286">
        <v>0</v>
      </c>
      <c r="M280" s="289">
        <f t="shared" ref="M280:M301" si="122">+SUM(K280:L280)</f>
        <v>0</v>
      </c>
      <c r="N280" s="290">
        <f t="shared" ref="N280:N301" si="123">+G280+H280+J280</f>
        <v>659.75491764819435</v>
      </c>
      <c r="O280" s="167">
        <f t="shared" ref="O280:O301" si="124">G280+H280-L280-I280</f>
        <v>659.75491764819435</v>
      </c>
    </row>
    <row r="281" spans="1:15" x14ac:dyDescent="0.2">
      <c r="A281" s="275" t="s">
        <v>38</v>
      </c>
      <c r="B281" s="276" t="s">
        <v>61</v>
      </c>
      <c r="C281" s="282">
        <f>D280+1</f>
        <v>42370</v>
      </c>
      <c r="D281" s="282">
        <f>EOMONTH(D280,3)</f>
        <v>42460</v>
      </c>
      <c r="E281" s="283">
        <f t="shared" ref="E281:E301" si="125">D281-C281+1</f>
        <v>91</v>
      </c>
      <c r="F281" s="284">
        <f>VLOOKUP(D281,'FERC Interest Rate'!$A:$B,2,TRUE)</f>
        <v>3.2500000000000001E-2</v>
      </c>
      <c r="G281" s="167">
        <f t="shared" ref="G281:G301" si="126">O280</f>
        <v>659.75491764819435</v>
      </c>
      <c r="H281" s="167">
        <f t="shared" si="120"/>
        <v>5.3312163085916255</v>
      </c>
      <c r="I281" s="291">
        <v>0</v>
      </c>
      <c r="J281" s="286">
        <v>0</v>
      </c>
      <c r="K281" s="288">
        <f t="shared" si="121"/>
        <v>0</v>
      </c>
      <c r="L281" s="286">
        <v>0</v>
      </c>
      <c r="M281" s="289">
        <f t="shared" si="122"/>
        <v>0</v>
      </c>
      <c r="N281" s="290">
        <f t="shared" si="123"/>
        <v>665.08613395678594</v>
      </c>
      <c r="O281" s="167">
        <f t="shared" si="124"/>
        <v>665.08613395678594</v>
      </c>
    </row>
    <row r="282" spans="1:15" x14ac:dyDescent="0.2">
      <c r="A282" s="96"/>
      <c r="B282" s="81"/>
      <c r="C282" s="82">
        <f t="shared" ref="C282:C301" si="127">D281+1</f>
        <v>42461</v>
      </c>
      <c r="D282" s="82">
        <f t="shared" ref="D282:D301" si="128">EOMONTH(D281,3)</f>
        <v>42551</v>
      </c>
      <c r="E282" s="81">
        <f t="shared" si="125"/>
        <v>91</v>
      </c>
      <c r="F282" s="83">
        <f>VLOOKUP(D282,'FERC Interest Rate'!$A:$B,2,TRUE)</f>
        <v>3.4599999999999999E-2</v>
      </c>
      <c r="G282" s="84">
        <f t="shared" si="126"/>
        <v>665.08613395678594</v>
      </c>
      <c r="H282" s="167">
        <f t="shared" si="120"/>
        <v>5.7215579272577495</v>
      </c>
      <c r="I282" s="173">
        <v>0</v>
      </c>
      <c r="J282" s="286">
        <v>0</v>
      </c>
      <c r="K282" s="129">
        <f t="shared" si="121"/>
        <v>0</v>
      </c>
      <c r="L282" s="85">
        <v>0</v>
      </c>
      <c r="M282" s="130">
        <f t="shared" si="122"/>
        <v>0</v>
      </c>
      <c r="N282" s="8">
        <f t="shared" si="123"/>
        <v>670.80769188404372</v>
      </c>
      <c r="O282" s="84">
        <f t="shared" si="124"/>
        <v>670.80769188404372</v>
      </c>
    </row>
    <row r="283" spans="1:15" x14ac:dyDescent="0.2">
      <c r="A283" s="274"/>
      <c r="B283" s="81"/>
      <c r="C283" s="82">
        <f t="shared" si="127"/>
        <v>42552</v>
      </c>
      <c r="D283" s="82">
        <f t="shared" si="128"/>
        <v>42643</v>
      </c>
      <c r="E283" s="81">
        <f t="shared" si="125"/>
        <v>92</v>
      </c>
      <c r="F283" s="83">
        <f>VLOOKUP(D283,'FERC Interest Rate'!$A:$B,2,TRUE)</f>
        <v>3.5000000000000003E-2</v>
      </c>
      <c r="G283" s="84">
        <f t="shared" si="126"/>
        <v>670.80769188404372</v>
      </c>
      <c r="H283" s="84">
        <f t="shared" si="120"/>
        <v>5.9016414422585282</v>
      </c>
      <c r="I283" s="173">
        <v>0</v>
      </c>
      <c r="J283" s="85">
        <v>0</v>
      </c>
      <c r="K283" s="129">
        <f t="shared" si="121"/>
        <v>0</v>
      </c>
      <c r="L283" s="85">
        <v>0</v>
      </c>
      <c r="M283" s="130">
        <f t="shared" si="122"/>
        <v>0</v>
      </c>
      <c r="N283" s="8">
        <f t="shared" si="123"/>
        <v>676.70933332630227</v>
      </c>
      <c r="O283" s="84">
        <f t="shared" si="124"/>
        <v>676.70933332630227</v>
      </c>
    </row>
    <row r="284" spans="1:15" x14ac:dyDescent="0.2">
      <c r="A284" s="96"/>
      <c r="B284" s="81"/>
      <c r="C284" s="82">
        <f t="shared" si="127"/>
        <v>42644</v>
      </c>
      <c r="D284" s="82">
        <f t="shared" si="128"/>
        <v>42735</v>
      </c>
      <c r="E284" s="81">
        <f t="shared" si="125"/>
        <v>92</v>
      </c>
      <c r="F284" s="83">
        <f>VLOOKUP(D284,'FERC Interest Rate'!$A:$B,2,TRUE)</f>
        <v>3.5000000000000003E-2</v>
      </c>
      <c r="G284" s="84">
        <f t="shared" si="126"/>
        <v>676.70933332630227</v>
      </c>
      <c r="H284" s="84">
        <f t="shared" si="120"/>
        <v>5.953562987187687</v>
      </c>
      <c r="I284" s="173">
        <v>0</v>
      </c>
      <c r="J284" s="85">
        <v>0</v>
      </c>
      <c r="K284" s="129">
        <f t="shared" si="121"/>
        <v>0</v>
      </c>
      <c r="L284" s="85">
        <v>0</v>
      </c>
      <c r="M284" s="130">
        <f t="shared" si="122"/>
        <v>0</v>
      </c>
      <c r="N284" s="8">
        <f t="shared" si="123"/>
        <v>682.66289631348991</v>
      </c>
      <c r="O284" s="84">
        <f t="shared" si="124"/>
        <v>682.66289631348991</v>
      </c>
    </row>
    <row r="285" spans="1:15" x14ac:dyDescent="0.2">
      <c r="A285" s="96" t="s">
        <v>102</v>
      </c>
      <c r="B285" s="81" t="str">
        <f t="shared" ref="B285:B301" si="129">+IF(MONTH(C285)&lt;4,"Q1",IF(MONTH(C285)&lt;7,"Q2",IF(MONTH(C285)&lt;10,"Q3","Q4")))&amp;"/"&amp;YEAR(C285)</f>
        <v>Q1/2017</v>
      </c>
      <c r="C285" s="82">
        <f t="shared" si="127"/>
        <v>42736</v>
      </c>
      <c r="D285" s="82">
        <f t="shared" si="128"/>
        <v>42825</v>
      </c>
      <c r="E285" s="81">
        <f t="shared" si="125"/>
        <v>90</v>
      </c>
      <c r="F285" s="83">
        <f>VLOOKUP(D285,'FERC Interest Rate'!$A:$B,2,TRUE)</f>
        <v>3.5000000000000003E-2</v>
      </c>
      <c r="G285" s="84">
        <f t="shared" si="126"/>
        <v>682.66289631348991</v>
      </c>
      <c r="H285" s="84">
        <f t="shared" si="120"/>
        <v>5.8914743106506666</v>
      </c>
      <c r="I285" s="173">
        <f>SUM($H$280:$H$302)/20*4</f>
        <v>6.1931783463498551</v>
      </c>
      <c r="J285" s="85">
        <f t="shared" ref="J285:J301" si="130">G285*F285*(E285/(DATE(YEAR(D285),12,31)-DATE(YEAR(D285),1,1)+1))</f>
        <v>5.8914743106506666</v>
      </c>
      <c r="K285" s="129">
        <f t="shared" si="121"/>
        <v>12.084652657000522</v>
      </c>
      <c r="L285" s="85">
        <f>VLOOKUP($B$281,A$1:F$19,5,FALSE)/20*4</f>
        <v>131.51769577847827</v>
      </c>
      <c r="M285" s="130">
        <f t="shared" si="122"/>
        <v>143.6023484354788</v>
      </c>
      <c r="N285" s="8">
        <f t="shared" si="123"/>
        <v>694.44584493479124</v>
      </c>
      <c r="O285" s="84">
        <f t="shared" si="124"/>
        <v>550.84349649931244</v>
      </c>
    </row>
    <row r="286" spans="1:15" x14ac:dyDescent="0.2">
      <c r="A286" s="96" t="s">
        <v>58</v>
      </c>
      <c r="B286" s="81" t="str">
        <f t="shared" si="129"/>
        <v>Q2/2017</v>
      </c>
      <c r="C286" s="82">
        <f t="shared" si="127"/>
        <v>42826</v>
      </c>
      <c r="D286" s="82">
        <f t="shared" si="128"/>
        <v>42916</v>
      </c>
      <c r="E286" s="81">
        <f t="shared" si="125"/>
        <v>91</v>
      </c>
      <c r="F286" s="83">
        <f>VLOOKUP(D286,'FERC Interest Rate'!$A:$B,2,TRUE)</f>
        <v>3.7100000000000001E-2</v>
      </c>
      <c r="G286" s="84">
        <f t="shared" si="126"/>
        <v>550.84349649931244</v>
      </c>
      <c r="H286" s="84">
        <v>0</v>
      </c>
      <c r="I286" s="173">
        <f t="shared" ref="I286:I289" si="131">SUM($H$280:$H$302)/20</f>
        <v>1.5482945865874638</v>
      </c>
      <c r="J286" s="85">
        <f t="shared" si="130"/>
        <v>5.0950759685789828</v>
      </c>
      <c r="K286" s="129">
        <f t="shared" si="121"/>
        <v>6.643370555166447</v>
      </c>
      <c r="L286" s="85">
        <f t="shared" ref="L286:L301" si="132">VLOOKUP($B$281,A$1:F$19,5,FALSE)/20</f>
        <v>32.879423944619568</v>
      </c>
      <c r="M286" s="130">
        <f t="shared" si="122"/>
        <v>39.522794499786016</v>
      </c>
      <c r="N286" s="8">
        <f t="shared" si="123"/>
        <v>555.93857246789139</v>
      </c>
      <c r="O286" s="84">
        <f t="shared" si="124"/>
        <v>516.41577796810543</v>
      </c>
    </row>
    <row r="287" spans="1:15" x14ac:dyDescent="0.2">
      <c r="A287" s="96" t="s">
        <v>59</v>
      </c>
      <c r="B287" s="81" t="str">
        <f t="shared" si="129"/>
        <v>Q3/2017</v>
      </c>
      <c r="C287" s="82">
        <f t="shared" si="127"/>
        <v>42917</v>
      </c>
      <c r="D287" s="82">
        <f t="shared" si="128"/>
        <v>43008</v>
      </c>
      <c r="E287" s="81">
        <f t="shared" si="125"/>
        <v>92</v>
      </c>
      <c r="F287" s="83">
        <f>VLOOKUP(D287,'FERC Interest Rate'!$A:$B,2,TRUE)</f>
        <v>3.9600000000000003E-2</v>
      </c>
      <c r="G287" s="84">
        <f t="shared" si="126"/>
        <v>516.41577796810543</v>
      </c>
      <c r="H287" s="84">
        <v>0</v>
      </c>
      <c r="I287" s="173">
        <f t="shared" si="131"/>
        <v>1.5482945865874638</v>
      </c>
      <c r="J287" s="85">
        <f t="shared" si="130"/>
        <v>5.1545368829956217</v>
      </c>
      <c r="K287" s="129">
        <f t="shared" si="121"/>
        <v>6.7028314695830851</v>
      </c>
      <c r="L287" s="85">
        <f t="shared" si="132"/>
        <v>32.879423944619568</v>
      </c>
      <c r="M287" s="130">
        <f t="shared" si="122"/>
        <v>39.582255414202649</v>
      </c>
      <c r="N287" s="8">
        <f t="shared" si="123"/>
        <v>521.5703148511011</v>
      </c>
      <c r="O287" s="84">
        <f t="shared" si="124"/>
        <v>481.98805943689837</v>
      </c>
    </row>
    <row r="288" spans="1:15" x14ac:dyDescent="0.2">
      <c r="A288" s="96" t="s">
        <v>60</v>
      </c>
      <c r="B288" s="81" t="str">
        <f t="shared" si="129"/>
        <v>Q4/2017</v>
      </c>
      <c r="C288" s="82">
        <f t="shared" si="127"/>
        <v>43009</v>
      </c>
      <c r="D288" s="82">
        <f t="shared" si="128"/>
        <v>43100</v>
      </c>
      <c r="E288" s="81">
        <f t="shared" si="125"/>
        <v>92</v>
      </c>
      <c r="F288" s="83">
        <f>VLOOKUP(D288,'FERC Interest Rate'!$A:$B,2,TRUE)</f>
        <v>4.2099999999999999E-2</v>
      </c>
      <c r="G288" s="84">
        <f t="shared" si="126"/>
        <v>481.98805943689837</v>
      </c>
      <c r="H288" s="84">
        <v>0</v>
      </c>
      <c r="I288" s="109">
        <f t="shared" si="131"/>
        <v>1.5482945865874638</v>
      </c>
      <c r="J288" s="85">
        <f t="shared" si="130"/>
        <v>5.1146195940027255</v>
      </c>
      <c r="K288" s="129">
        <f t="shared" si="121"/>
        <v>6.6629141805901888</v>
      </c>
      <c r="L288" s="85">
        <f t="shared" si="132"/>
        <v>32.879423944619568</v>
      </c>
      <c r="M288" s="130">
        <f t="shared" si="122"/>
        <v>39.542338125209753</v>
      </c>
      <c r="N288" s="8">
        <f t="shared" si="123"/>
        <v>487.10267903090107</v>
      </c>
      <c r="O288" s="84">
        <f t="shared" si="124"/>
        <v>447.56034090569131</v>
      </c>
    </row>
    <row r="289" spans="1:15" x14ac:dyDescent="0.2">
      <c r="A289" s="96" t="s">
        <v>61</v>
      </c>
      <c r="B289" s="81" t="str">
        <f t="shared" si="129"/>
        <v>Q1/2018</v>
      </c>
      <c r="C289" s="82">
        <f t="shared" si="127"/>
        <v>43101</v>
      </c>
      <c r="D289" s="82">
        <f t="shared" si="128"/>
        <v>43190</v>
      </c>
      <c r="E289" s="81">
        <f t="shared" si="125"/>
        <v>90</v>
      </c>
      <c r="F289" s="83">
        <f>VLOOKUP(D289,'FERC Interest Rate'!$A:$B,2,TRUE)</f>
        <v>4.2500000000000003E-2</v>
      </c>
      <c r="G289" s="84">
        <f t="shared" si="126"/>
        <v>447.56034090569131</v>
      </c>
      <c r="H289" s="84">
        <v>0</v>
      </c>
      <c r="I289" s="109">
        <f t="shared" si="131"/>
        <v>1.5482945865874638</v>
      </c>
      <c r="J289" s="85">
        <f t="shared" si="130"/>
        <v>4.6901871341486832</v>
      </c>
      <c r="K289" s="129">
        <f t="shared" si="121"/>
        <v>6.2384817207361465</v>
      </c>
      <c r="L289" s="85">
        <f t="shared" si="132"/>
        <v>32.879423944619568</v>
      </c>
      <c r="M289" s="130">
        <f t="shared" si="122"/>
        <v>39.117905665355714</v>
      </c>
      <c r="N289" s="8">
        <f t="shared" si="123"/>
        <v>452.25052803983999</v>
      </c>
      <c r="O289" s="84">
        <f t="shared" si="124"/>
        <v>413.13262237448424</v>
      </c>
    </row>
    <row r="290" spans="1:15" x14ac:dyDescent="0.2">
      <c r="A290" s="96" t="s">
        <v>62</v>
      </c>
      <c r="B290" s="81" t="str">
        <f t="shared" si="129"/>
        <v>Q2/2018</v>
      </c>
      <c r="C290" s="82">
        <f t="shared" si="127"/>
        <v>43191</v>
      </c>
      <c r="D290" s="82">
        <f t="shared" si="128"/>
        <v>43281</v>
      </c>
      <c r="E290" s="81">
        <f t="shared" si="125"/>
        <v>91</v>
      </c>
      <c r="F290" s="83">
        <f>VLOOKUP(D290,'FERC Interest Rate'!$A:$B,2,TRUE)</f>
        <v>4.4699999999999997E-2</v>
      </c>
      <c r="G290" s="84">
        <f t="shared" si="126"/>
        <v>413.13262237448424</v>
      </c>
      <c r="H290" s="84">
        <v>0</v>
      </c>
      <c r="I290" s="109">
        <f t="shared" ref="I290:I301" si="133">SUM($H$280:$H$302)/20</f>
        <v>1.5482945865874638</v>
      </c>
      <c r="J290" s="85">
        <f t="shared" si="130"/>
        <v>4.6041084055690122</v>
      </c>
      <c r="K290" s="129">
        <f t="shared" si="121"/>
        <v>6.1524029921564765</v>
      </c>
      <c r="L290" s="85">
        <f t="shared" si="132"/>
        <v>32.879423944619568</v>
      </c>
      <c r="M290" s="130">
        <f t="shared" si="122"/>
        <v>39.031826936776042</v>
      </c>
      <c r="N290" s="8">
        <f t="shared" si="123"/>
        <v>417.73673078005328</v>
      </c>
      <c r="O290" s="84">
        <f t="shared" si="124"/>
        <v>378.70490384327718</v>
      </c>
    </row>
    <row r="291" spans="1:15" x14ac:dyDescent="0.2">
      <c r="A291" s="96" t="s">
        <v>63</v>
      </c>
      <c r="B291" s="81" t="str">
        <f t="shared" si="129"/>
        <v>Q3/2018</v>
      </c>
      <c r="C291" s="82">
        <f t="shared" si="127"/>
        <v>43282</v>
      </c>
      <c r="D291" s="82">
        <f t="shared" si="128"/>
        <v>43373</v>
      </c>
      <c r="E291" s="81">
        <f t="shared" si="125"/>
        <v>92</v>
      </c>
      <c r="F291" s="83">
        <f>VLOOKUP(D291,'FERC Interest Rate'!$A:$B,2,TRUE)</f>
        <v>5.011111E-2</v>
      </c>
      <c r="G291" s="84">
        <f t="shared" si="126"/>
        <v>378.70490384327718</v>
      </c>
      <c r="H291" s="84">
        <v>0</v>
      </c>
      <c r="I291" s="109">
        <f t="shared" si="133"/>
        <v>1.5482945865874638</v>
      </c>
      <c r="J291" s="85">
        <f t="shared" si="130"/>
        <v>4.7833252730157518</v>
      </c>
      <c r="K291" s="129">
        <f t="shared" si="121"/>
        <v>6.3316198596032152</v>
      </c>
      <c r="L291" s="85">
        <f t="shared" si="132"/>
        <v>32.879423944619568</v>
      </c>
      <c r="M291" s="130">
        <f t="shared" si="122"/>
        <v>39.211043804222783</v>
      </c>
      <c r="N291" s="8">
        <f t="shared" si="123"/>
        <v>383.48822911629293</v>
      </c>
      <c r="O291" s="84">
        <f t="shared" si="124"/>
        <v>344.27718531207012</v>
      </c>
    </row>
    <row r="292" spans="1:15" x14ac:dyDescent="0.2">
      <c r="A292" s="96" t="s">
        <v>64</v>
      </c>
      <c r="B292" s="81" t="str">
        <f t="shared" si="129"/>
        <v>Q4/2018</v>
      </c>
      <c r="C292" s="82">
        <f t="shared" si="127"/>
        <v>43374</v>
      </c>
      <c r="D292" s="82">
        <f t="shared" si="128"/>
        <v>43465</v>
      </c>
      <c r="E292" s="81">
        <f t="shared" si="125"/>
        <v>92</v>
      </c>
      <c r="F292" s="83">
        <f>VLOOKUP(D292,'FERC Interest Rate'!$A:$B,2,TRUE)</f>
        <v>5.2822580000000001E-2</v>
      </c>
      <c r="G292" s="84">
        <f t="shared" si="126"/>
        <v>344.27718531207012</v>
      </c>
      <c r="H292" s="84">
        <v>0</v>
      </c>
      <c r="I292" s="109">
        <f t="shared" si="133"/>
        <v>1.5482945865874638</v>
      </c>
      <c r="J292" s="85">
        <f t="shared" si="130"/>
        <v>4.5837699808920327</v>
      </c>
      <c r="K292" s="129">
        <f t="shared" si="121"/>
        <v>6.132064567479496</v>
      </c>
      <c r="L292" s="85">
        <f t="shared" si="132"/>
        <v>32.879423944619568</v>
      </c>
      <c r="M292" s="130">
        <f t="shared" si="122"/>
        <v>39.011488512099064</v>
      </c>
      <c r="N292" s="8">
        <f t="shared" si="123"/>
        <v>348.86095529296216</v>
      </c>
      <c r="O292" s="84">
        <f t="shared" si="124"/>
        <v>309.84946678086305</v>
      </c>
    </row>
    <row r="293" spans="1:15" x14ac:dyDescent="0.2">
      <c r="A293" s="96" t="s">
        <v>65</v>
      </c>
      <c r="B293" s="81" t="str">
        <f t="shared" si="129"/>
        <v>Q1/2019</v>
      </c>
      <c r="C293" s="82">
        <f t="shared" si="127"/>
        <v>43466</v>
      </c>
      <c r="D293" s="82">
        <f t="shared" si="128"/>
        <v>43555</v>
      </c>
      <c r="E293" s="81">
        <f t="shared" si="125"/>
        <v>90</v>
      </c>
      <c r="F293" s="83">
        <f>VLOOKUP(D293,'FERC Interest Rate'!$A:$B,2,TRUE)</f>
        <v>5.5296770000000002E-2</v>
      </c>
      <c r="G293" s="84">
        <f t="shared" si="126"/>
        <v>309.84946678086305</v>
      </c>
      <c r="H293" s="84">
        <v>0</v>
      </c>
      <c r="I293" s="109">
        <f t="shared" si="133"/>
        <v>1.5482945865874638</v>
      </c>
      <c r="J293" s="85">
        <f t="shared" si="130"/>
        <v>4.224741706653047</v>
      </c>
      <c r="K293" s="129">
        <f t="shared" si="121"/>
        <v>5.7730362932405104</v>
      </c>
      <c r="L293" s="85">
        <f t="shared" si="132"/>
        <v>32.879423944619568</v>
      </c>
      <c r="M293" s="130">
        <f t="shared" si="122"/>
        <v>38.652460237860076</v>
      </c>
      <c r="N293" s="8">
        <f t="shared" si="123"/>
        <v>314.0742084875161</v>
      </c>
      <c r="O293" s="84">
        <f t="shared" si="124"/>
        <v>275.42174824965599</v>
      </c>
    </row>
    <row r="294" spans="1:15" x14ac:dyDescent="0.2">
      <c r="A294" s="96" t="s">
        <v>66</v>
      </c>
      <c r="B294" s="81" t="str">
        <f t="shared" si="129"/>
        <v>Q2/2019</v>
      </c>
      <c r="C294" s="82">
        <f t="shared" si="127"/>
        <v>43556</v>
      </c>
      <c r="D294" s="82">
        <f t="shared" si="128"/>
        <v>43646</v>
      </c>
      <c r="E294" s="81">
        <f t="shared" si="125"/>
        <v>91</v>
      </c>
      <c r="F294" s="83">
        <f>VLOOKUP(D294,'FERC Interest Rate'!$A:$B,2,TRUE)</f>
        <v>5.7999999999999996E-2</v>
      </c>
      <c r="G294" s="84">
        <f t="shared" si="126"/>
        <v>275.42174824965599</v>
      </c>
      <c r="H294" s="84">
        <v>0</v>
      </c>
      <c r="I294" s="109">
        <f t="shared" si="133"/>
        <v>1.5482945865874638</v>
      </c>
      <c r="J294" s="85">
        <f t="shared" si="130"/>
        <v>3.9826739377032445</v>
      </c>
      <c r="K294" s="129">
        <f t="shared" si="121"/>
        <v>5.5309685242907083</v>
      </c>
      <c r="L294" s="85">
        <f t="shared" si="132"/>
        <v>32.879423944619568</v>
      </c>
      <c r="M294" s="130">
        <f t="shared" si="122"/>
        <v>38.410392468910274</v>
      </c>
      <c r="N294" s="8">
        <f t="shared" si="123"/>
        <v>279.40442218735922</v>
      </c>
      <c r="O294" s="84">
        <f t="shared" si="124"/>
        <v>240.99402971844896</v>
      </c>
    </row>
    <row r="295" spans="1:15" x14ac:dyDescent="0.2">
      <c r="A295" s="96" t="s">
        <v>67</v>
      </c>
      <c r="B295" s="81" t="str">
        <f t="shared" si="129"/>
        <v>Q3/2019</v>
      </c>
      <c r="C295" s="82">
        <f t="shared" si="127"/>
        <v>43647</v>
      </c>
      <c r="D295" s="82">
        <f t="shared" si="128"/>
        <v>43738</v>
      </c>
      <c r="E295" s="81">
        <f t="shared" si="125"/>
        <v>92</v>
      </c>
      <c r="F295" s="83">
        <f>VLOOKUP(D295,'FERC Interest Rate'!$A:$B,2,TRUE)</f>
        <v>0.06</v>
      </c>
      <c r="G295" s="84">
        <f t="shared" si="126"/>
        <v>240.99402971844896</v>
      </c>
      <c r="H295" s="84">
        <v>0</v>
      </c>
      <c r="I295" s="109">
        <f t="shared" si="133"/>
        <v>1.5482945865874638</v>
      </c>
      <c r="J295" s="85">
        <f t="shared" si="130"/>
        <v>3.6446220384817489</v>
      </c>
      <c r="K295" s="129">
        <f t="shared" si="121"/>
        <v>5.1929166250692127</v>
      </c>
      <c r="L295" s="85">
        <f t="shared" si="132"/>
        <v>32.879423944619568</v>
      </c>
      <c r="M295" s="130">
        <f t="shared" si="122"/>
        <v>38.072340569688777</v>
      </c>
      <c r="N295" s="8">
        <f t="shared" si="123"/>
        <v>244.6386517569307</v>
      </c>
      <c r="O295" s="84">
        <f t="shared" si="124"/>
        <v>206.56631118724192</v>
      </c>
    </row>
    <row r="296" spans="1:15" x14ac:dyDescent="0.2">
      <c r="A296" s="96" t="s">
        <v>68</v>
      </c>
      <c r="B296" s="81" t="str">
        <f t="shared" si="129"/>
        <v>Q4/2019</v>
      </c>
      <c r="C296" s="82">
        <f t="shared" si="127"/>
        <v>43739</v>
      </c>
      <c r="D296" s="82">
        <f t="shared" si="128"/>
        <v>43830</v>
      </c>
      <c r="E296" s="81">
        <f t="shared" si="125"/>
        <v>92</v>
      </c>
      <c r="F296" s="83">
        <f>VLOOKUP(D296,'FERC Interest Rate'!$A:$B,2,TRUE)</f>
        <v>6.0349460000000001E-2</v>
      </c>
      <c r="G296" s="84">
        <f t="shared" si="126"/>
        <v>206.56631118724192</v>
      </c>
      <c r="H296" s="84">
        <v>0</v>
      </c>
      <c r="I296" s="109">
        <f t="shared" si="133"/>
        <v>1.5482945865874638</v>
      </c>
      <c r="J296" s="85">
        <f t="shared" si="130"/>
        <v>3.1421567418067529</v>
      </c>
      <c r="K296" s="129">
        <f t="shared" si="121"/>
        <v>4.6904513283942162</v>
      </c>
      <c r="L296" s="85">
        <f t="shared" si="132"/>
        <v>32.879423944619568</v>
      </c>
      <c r="M296" s="130">
        <f t="shared" si="122"/>
        <v>37.569875273013785</v>
      </c>
      <c r="N296" s="8">
        <f t="shared" si="123"/>
        <v>209.70846792904868</v>
      </c>
      <c r="O296" s="84">
        <f t="shared" si="124"/>
        <v>172.13859265603489</v>
      </c>
    </row>
    <row r="297" spans="1:15" x14ac:dyDescent="0.2">
      <c r="A297" s="96" t="s">
        <v>69</v>
      </c>
      <c r="B297" s="81" t="str">
        <f t="shared" si="129"/>
        <v>Q1/2020</v>
      </c>
      <c r="C297" s="82">
        <f t="shared" si="127"/>
        <v>43831</v>
      </c>
      <c r="D297" s="82">
        <f t="shared" si="128"/>
        <v>43921</v>
      </c>
      <c r="E297" s="81">
        <f t="shared" si="125"/>
        <v>91</v>
      </c>
      <c r="F297" s="83">
        <f>VLOOKUP(D297,'FERC Interest Rate'!$A:$B,2,TRUE)</f>
        <v>6.2501040000000008E-2</v>
      </c>
      <c r="G297" s="84">
        <f t="shared" si="126"/>
        <v>172.13859265603489</v>
      </c>
      <c r="H297" s="84">
        <v>0</v>
      </c>
      <c r="I297" s="109">
        <f t="shared" si="133"/>
        <v>1.5482945865874638</v>
      </c>
      <c r="J297" s="85">
        <f t="shared" si="130"/>
        <v>2.6750123959770695</v>
      </c>
      <c r="K297" s="129">
        <f t="shared" si="121"/>
        <v>4.2233069825645337</v>
      </c>
      <c r="L297" s="85">
        <f t="shared" si="132"/>
        <v>32.879423944619568</v>
      </c>
      <c r="M297" s="130">
        <f t="shared" si="122"/>
        <v>37.102730927184098</v>
      </c>
      <c r="N297" s="8">
        <f t="shared" si="123"/>
        <v>174.81360505201195</v>
      </c>
      <c r="O297" s="84">
        <f t="shared" si="124"/>
        <v>137.71087412482785</v>
      </c>
    </row>
    <row r="298" spans="1:15" x14ac:dyDescent="0.2">
      <c r="A298" s="96" t="s">
        <v>70</v>
      </c>
      <c r="B298" s="81" t="str">
        <f t="shared" si="129"/>
        <v>Q2/2020</v>
      </c>
      <c r="C298" s="82">
        <f t="shared" si="127"/>
        <v>43922</v>
      </c>
      <c r="D298" s="82">
        <f t="shared" si="128"/>
        <v>44012</v>
      </c>
      <c r="E298" s="81">
        <f t="shared" si="125"/>
        <v>91</v>
      </c>
      <c r="F298" s="83">
        <f>VLOOKUP(D298,'FERC Interest Rate'!$A:$B,2,TRUE)</f>
        <v>6.3055559999999997E-2</v>
      </c>
      <c r="G298" s="84">
        <f t="shared" si="126"/>
        <v>137.71087412482785</v>
      </c>
      <c r="H298" s="84">
        <v>0</v>
      </c>
      <c r="I298" s="109">
        <f t="shared" si="133"/>
        <v>1.5482945865874638</v>
      </c>
      <c r="J298" s="85">
        <f t="shared" si="130"/>
        <v>2.1589964536305413</v>
      </c>
      <c r="K298" s="129">
        <f t="shared" si="121"/>
        <v>3.707291040218005</v>
      </c>
      <c r="L298" s="85">
        <f t="shared" si="132"/>
        <v>32.879423944619568</v>
      </c>
      <c r="M298" s="130">
        <f t="shared" si="122"/>
        <v>36.58671498483757</v>
      </c>
      <c r="N298" s="8">
        <f t="shared" si="123"/>
        <v>139.8698705784584</v>
      </c>
      <c r="O298" s="84">
        <f t="shared" si="124"/>
        <v>103.28315559362083</v>
      </c>
    </row>
    <row r="299" spans="1:15" x14ac:dyDescent="0.2">
      <c r="A299" s="96" t="s">
        <v>71</v>
      </c>
      <c r="B299" s="81" t="str">
        <f t="shared" si="129"/>
        <v>Q3/2020</v>
      </c>
      <c r="C299" s="82">
        <f t="shared" si="127"/>
        <v>44013</v>
      </c>
      <c r="D299" s="82">
        <f t="shared" si="128"/>
        <v>44104</v>
      </c>
      <c r="E299" s="81">
        <f t="shared" si="125"/>
        <v>92</v>
      </c>
      <c r="F299" s="83">
        <f>VLOOKUP(D299,'FERC Interest Rate'!$A:$B,2,TRUE)</f>
        <v>6.5000000000000002E-2</v>
      </c>
      <c r="G299" s="84">
        <f t="shared" si="126"/>
        <v>103.28315559362083</v>
      </c>
      <c r="H299" s="84">
        <v>0</v>
      </c>
      <c r="I299" s="109">
        <f t="shared" si="133"/>
        <v>1.5482945865874638</v>
      </c>
      <c r="J299" s="85">
        <f t="shared" si="130"/>
        <v>1.6875225968575207</v>
      </c>
      <c r="K299" s="129">
        <f t="shared" si="121"/>
        <v>3.2358171834449845</v>
      </c>
      <c r="L299" s="85">
        <f t="shared" si="132"/>
        <v>32.879423944619568</v>
      </c>
      <c r="M299" s="130">
        <f t="shared" si="122"/>
        <v>36.115241128064554</v>
      </c>
      <c r="N299" s="8">
        <f t="shared" si="123"/>
        <v>104.97067819047835</v>
      </c>
      <c r="O299" s="84">
        <f t="shared" si="124"/>
        <v>68.855437062413799</v>
      </c>
    </row>
    <row r="300" spans="1:15" x14ac:dyDescent="0.2">
      <c r="A300" s="96" t="s">
        <v>72</v>
      </c>
      <c r="B300" s="81" t="str">
        <f t="shared" si="129"/>
        <v>Q4/2020</v>
      </c>
      <c r="C300" s="82">
        <f t="shared" si="127"/>
        <v>44105</v>
      </c>
      <c r="D300" s="82">
        <f t="shared" si="128"/>
        <v>44196</v>
      </c>
      <c r="E300" s="81">
        <f t="shared" si="125"/>
        <v>92</v>
      </c>
      <c r="F300" s="83">
        <f>VLOOKUP(D300,'FERC Interest Rate'!$A:$B,2,TRUE)</f>
        <v>6.5000000000000002E-2</v>
      </c>
      <c r="G300" s="84">
        <f t="shared" si="126"/>
        <v>68.855437062413799</v>
      </c>
      <c r="H300" s="84">
        <v>0</v>
      </c>
      <c r="I300" s="109">
        <f t="shared" si="133"/>
        <v>1.5482945865874638</v>
      </c>
      <c r="J300" s="85">
        <f t="shared" si="130"/>
        <v>1.125015064571679</v>
      </c>
      <c r="K300" s="129">
        <f t="shared" si="121"/>
        <v>2.6733096511591428</v>
      </c>
      <c r="L300" s="85">
        <f t="shared" si="132"/>
        <v>32.879423944619568</v>
      </c>
      <c r="M300" s="130">
        <f t="shared" si="122"/>
        <v>35.552733595778712</v>
      </c>
      <c r="N300" s="8">
        <f t="shared" si="123"/>
        <v>69.980452126985483</v>
      </c>
      <c r="O300" s="84">
        <f t="shared" si="124"/>
        <v>34.427718531206764</v>
      </c>
    </row>
    <row r="301" spans="1:15" x14ac:dyDescent="0.2">
      <c r="A301" s="96" t="s">
        <v>73</v>
      </c>
      <c r="B301" s="81" t="str">
        <f t="shared" si="129"/>
        <v>Q1/2021</v>
      </c>
      <c r="C301" s="82">
        <f t="shared" si="127"/>
        <v>44197</v>
      </c>
      <c r="D301" s="82">
        <f t="shared" si="128"/>
        <v>44286</v>
      </c>
      <c r="E301" s="81">
        <f t="shared" si="125"/>
        <v>90</v>
      </c>
      <c r="F301" s="83">
        <f>VLOOKUP(D301,'FERC Interest Rate'!$A:$B,2,TRUE)</f>
        <v>6.5000000000000002E-2</v>
      </c>
      <c r="G301" s="84">
        <f t="shared" si="126"/>
        <v>34.427718531206764</v>
      </c>
      <c r="H301" s="84">
        <v>0</v>
      </c>
      <c r="I301" s="109">
        <f t="shared" si="133"/>
        <v>1.5482945865874638</v>
      </c>
      <c r="J301" s="85">
        <f t="shared" si="130"/>
        <v>0.55178672166454679</v>
      </c>
      <c r="K301" s="129">
        <f t="shared" si="121"/>
        <v>2.1000813082520104</v>
      </c>
      <c r="L301" s="85">
        <f t="shared" si="132"/>
        <v>32.879423944619568</v>
      </c>
      <c r="M301" s="130">
        <f t="shared" si="122"/>
        <v>34.979505252871576</v>
      </c>
      <c r="N301" s="8">
        <f t="shared" si="123"/>
        <v>34.979505252871313</v>
      </c>
      <c r="O301" s="84">
        <f t="shared" si="124"/>
        <v>-2.6689761511988763E-13</v>
      </c>
    </row>
    <row r="302" spans="1:15" x14ac:dyDescent="0.2">
      <c r="A302" s="96"/>
      <c r="B302" s="81"/>
      <c r="C302" s="82"/>
      <c r="D302" s="82"/>
      <c r="E302" s="81"/>
      <c r="F302" s="83"/>
      <c r="G302" s="84"/>
      <c r="H302" s="84"/>
      <c r="I302" s="109"/>
      <c r="J302" s="85"/>
      <c r="K302" s="129"/>
      <c r="L302" s="85"/>
      <c r="M302" s="130"/>
      <c r="N302" s="8"/>
      <c r="O302" s="84"/>
    </row>
    <row r="303" spans="1:15" ht="13.5" thickBot="1" x14ac:dyDescent="0.25">
      <c r="A303" s="151"/>
      <c r="B303" s="152"/>
      <c r="C303" s="153"/>
      <c r="D303" s="153"/>
      <c r="E303" s="154"/>
      <c r="F303" s="152"/>
      <c r="G303" s="140">
        <f t="shared" ref="G303:O303" si="134">+SUM(G280:G302)</f>
        <v>8694.7791722653619</v>
      </c>
      <c r="H303" s="140">
        <f t="shared" si="134"/>
        <v>30.965891731749274</v>
      </c>
      <c r="I303" s="141">
        <f t="shared" si="134"/>
        <v>30.96589173174927</v>
      </c>
      <c r="J303" s="140">
        <f t="shared" si="134"/>
        <v>63.109625207199635</v>
      </c>
      <c r="K303" s="140">
        <f t="shared" si="134"/>
        <v>94.075516938948908</v>
      </c>
      <c r="L303" s="140">
        <f t="shared" si="134"/>
        <v>657.58847889239155</v>
      </c>
      <c r="M303" s="142">
        <f t="shared" si="134"/>
        <v>751.66399583134012</v>
      </c>
      <c r="N303" s="140">
        <f t="shared" si="134"/>
        <v>8788.8546892043123</v>
      </c>
      <c r="O303" s="140">
        <f t="shared" si="134"/>
        <v>8037.1906933729706</v>
      </c>
    </row>
    <row r="304" spans="1:15" ht="14.25" thickTop="1" thickBot="1" x14ac:dyDescent="0.25">
      <c r="I304" s="121"/>
      <c r="J304" s="122"/>
      <c r="K304" s="122"/>
      <c r="L304" s="122"/>
      <c r="M304" s="123"/>
    </row>
  </sheetData>
  <mergeCells count="10">
    <mergeCell ref="A23:B23"/>
    <mergeCell ref="A46:F46"/>
    <mergeCell ref="A225:B225"/>
    <mergeCell ref="A253:B253"/>
    <mergeCell ref="A280:B280"/>
    <mergeCell ref="A72:B72"/>
    <mergeCell ref="A104:B104"/>
    <mergeCell ref="A135:B135"/>
    <mergeCell ref="A166:B166"/>
    <mergeCell ref="A196:B196"/>
  </mergeCells>
  <pageMargins left="0.7" right="0.7" top="0.75" bottom="0.75" header="0.3" footer="0.3"/>
  <pageSetup scale="55" fitToHeight="0" orientation="landscape" r:id="rId1"/>
  <headerFooter alignWithMargins="0">
    <oddHeader>&amp;RTO2019 Annual Update
Attachment 4
WP Schedule 22
Page &amp;P of &amp;N</oddHeader>
    <oddFooter>&amp;R&amp;A</oddFooter>
  </headerFooter>
  <rowBreaks count="5" manualBreakCount="5">
    <brk id="45" max="14" man="1"/>
    <brk id="101" max="14" man="1"/>
    <brk id="163" max="14" man="1"/>
    <brk id="223" max="14" man="1"/>
    <brk id="277" max="14"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05"/>
  <sheetViews>
    <sheetView zoomScale="80" zoomScaleNormal="80" workbookViewId="0"/>
  </sheetViews>
  <sheetFormatPr defaultColWidth="9.140625" defaultRowHeight="12.75" x14ac:dyDescent="0.2"/>
  <cols>
    <col min="1" max="1" width="10.28515625" style="6" bestFit="1" customWidth="1"/>
    <col min="2" max="2" width="13.28515625" style="6" bestFit="1" customWidth="1"/>
    <col min="3" max="4" width="15.28515625" style="6" customWidth="1"/>
    <col min="5" max="5" width="12.28515625" style="6" bestFit="1" customWidth="1"/>
    <col min="6" max="6" width="15" style="6" customWidth="1"/>
    <col min="7" max="9" width="16.140625" style="6" customWidth="1"/>
    <col min="10" max="10" width="16.85546875" style="6" customWidth="1"/>
    <col min="11" max="15" width="16.140625" style="6" customWidth="1"/>
    <col min="16" max="16" width="3.42578125" style="6" customWidth="1"/>
    <col min="17" max="17" width="9.85546875" style="6" bestFit="1" customWidth="1"/>
    <col min="18" max="18" width="9" style="6" bestFit="1" customWidth="1"/>
    <col min="19" max="20" width="10.7109375" style="6" customWidth="1"/>
    <col min="21" max="21" width="11" style="6" customWidth="1"/>
    <col min="22" max="22" width="11.28515625" style="6" bestFit="1" customWidth="1"/>
    <col min="23" max="16384" width="9.140625" style="6"/>
  </cols>
  <sheetData>
    <row r="1" spans="1:8" ht="38.25" x14ac:dyDescent="0.2">
      <c r="A1" s="101" t="s">
        <v>8</v>
      </c>
      <c r="B1" s="102" t="s">
        <v>88</v>
      </c>
      <c r="C1" s="101" t="s">
        <v>2</v>
      </c>
      <c r="D1" s="101" t="s">
        <v>1</v>
      </c>
      <c r="E1" s="102" t="s">
        <v>74</v>
      </c>
      <c r="F1" s="102" t="s">
        <v>48</v>
      </c>
    </row>
    <row r="2" spans="1:8" ht="12.75" customHeight="1" x14ac:dyDescent="0.2">
      <c r="A2" s="96" t="s">
        <v>54</v>
      </c>
      <c r="B2" s="76">
        <v>41835</v>
      </c>
      <c r="C2" s="4">
        <v>468396</v>
      </c>
      <c r="D2" s="4">
        <v>0</v>
      </c>
      <c r="E2" s="4">
        <v>2430</v>
      </c>
      <c r="F2" s="7">
        <f>SUM(C2:E2)</f>
        <v>470826</v>
      </c>
    </row>
    <row r="3" spans="1:8" ht="12.75" customHeight="1" x14ac:dyDescent="0.2">
      <c r="A3" s="96" t="s">
        <v>55</v>
      </c>
      <c r="B3" s="76">
        <v>41835</v>
      </c>
      <c r="C3" s="4">
        <v>213782</v>
      </c>
      <c r="D3" s="4">
        <v>0</v>
      </c>
      <c r="E3" s="4">
        <v>1109</v>
      </c>
      <c r="F3" s="7">
        <f t="shared" ref="F3:F18" si="0">SUM(C3:E3)</f>
        <v>214891</v>
      </c>
    </row>
    <row r="4" spans="1:8" x14ac:dyDescent="0.2">
      <c r="A4" s="96" t="s">
        <v>56</v>
      </c>
      <c r="B4" s="76">
        <v>41857</v>
      </c>
      <c r="C4" s="4">
        <v>266523</v>
      </c>
      <c r="D4" s="4">
        <v>0</v>
      </c>
      <c r="E4" s="4">
        <v>1383</v>
      </c>
      <c r="F4" s="7">
        <f t="shared" si="0"/>
        <v>267906</v>
      </c>
    </row>
    <row r="5" spans="1:8" x14ac:dyDescent="0.2">
      <c r="A5" s="96" t="s">
        <v>57</v>
      </c>
      <c r="B5" s="76">
        <v>41887</v>
      </c>
      <c r="C5" s="4">
        <v>322981</v>
      </c>
      <c r="D5" s="4">
        <v>0</v>
      </c>
      <c r="E5" s="4">
        <v>1675.5</v>
      </c>
      <c r="F5" s="7">
        <f t="shared" si="0"/>
        <v>324656.5</v>
      </c>
    </row>
    <row r="6" spans="1:8" ht="12.75" customHeight="1" x14ac:dyDescent="0.2">
      <c r="A6" s="96" t="s">
        <v>58</v>
      </c>
      <c r="B6" s="76">
        <v>41922</v>
      </c>
      <c r="C6" s="4">
        <v>378213</v>
      </c>
      <c r="D6" s="4">
        <v>0</v>
      </c>
      <c r="E6" s="4">
        <v>1962</v>
      </c>
      <c r="F6" s="7">
        <f t="shared" si="0"/>
        <v>380175</v>
      </c>
    </row>
    <row r="7" spans="1:8" x14ac:dyDescent="0.2">
      <c r="A7" s="96" t="s">
        <v>59</v>
      </c>
      <c r="B7" s="76">
        <v>41956</v>
      </c>
      <c r="C7" s="4">
        <v>425516</v>
      </c>
      <c r="D7" s="4">
        <v>0</v>
      </c>
      <c r="E7" s="4">
        <v>2207.5</v>
      </c>
      <c r="F7" s="7">
        <f t="shared" si="0"/>
        <v>427723.5</v>
      </c>
    </row>
    <row r="8" spans="1:8" x14ac:dyDescent="0.2">
      <c r="A8" s="96" t="s">
        <v>60</v>
      </c>
      <c r="B8" s="76">
        <v>41968</v>
      </c>
      <c r="C8" s="4">
        <v>457709</v>
      </c>
      <c r="D8" s="4">
        <v>0</v>
      </c>
      <c r="E8" s="4">
        <v>2375</v>
      </c>
      <c r="F8" s="7">
        <f t="shared" si="0"/>
        <v>460084</v>
      </c>
    </row>
    <row r="9" spans="1:8" x14ac:dyDescent="0.2">
      <c r="A9" s="96" t="s">
        <v>61</v>
      </c>
      <c r="B9" s="76">
        <v>42004</v>
      </c>
      <c r="C9" s="4">
        <v>483325</v>
      </c>
      <c r="D9" s="4">
        <v>0</v>
      </c>
      <c r="E9" s="4">
        <v>2507.5</v>
      </c>
      <c r="F9" s="7">
        <f t="shared" si="0"/>
        <v>485832.5</v>
      </c>
    </row>
    <row r="10" spans="1:8" x14ac:dyDescent="0.2">
      <c r="A10" s="96" t="s">
        <v>62</v>
      </c>
      <c r="B10" s="76">
        <v>42052</v>
      </c>
      <c r="C10" s="4">
        <v>471532</v>
      </c>
      <c r="D10" s="4">
        <v>0</v>
      </c>
      <c r="E10" s="4">
        <v>2446</v>
      </c>
      <c r="F10" s="7">
        <f t="shared" si="0"/>
        <v>473978</v>
      </c>
    </row>
    <row r="11" spans="1:8" x14ac:dyDescent="0.2">
      <c r="A11" s="96" t="s">
        <v>63</v>
      </c>
      <c r="B11" s="76">
        <v>42068</v>
      </c>
      <c r="C11" s="4">
        <v>438366</v>
      </c>
      <c r="D11" s="4">
        <v>0</v>
      </c>
      <c r="E11" s="4">
        <v>2274</v>
      </c>
      <c r="F11" s="7">
        <f t="shared" si="0"/>
        <v>440640</v>
      </c>
    </row>
    <row r="12" spans="1:8" x14ac:dyDescent="0.2">
      <c r="A12" s="96" t="s">
        <v>64</v>
      </c>
      <c r="B12" s="76">
        <v>42093</v>
      </c>
      <c r="C12" s="4">
        <v>389634</v>
      </c>
      <c r="D12" s="4">
        <v>0</v>
      </c>
      <c r="E12" s="4">
        <v>2021</v>
      </c>
      <c r="F12" s="7">
        <f t="shared" si="0"/>
        <v>391655</v>
      </c>
      <c r="H12" s="15"/>
    </row>
    <row r="13" spans="1:8" x14ac:dyDescent="0.2">
      <c r="A13" s="96" t="s">
        <v>65</v>
      </c>
      <c r="B13" s="76">
        <v>42124</v>
      </c>
      <c r="C13" s="4">
        <v>332735</v>
      </c>
      <c r="D13" s="4">
        <v>0</v>
      </c>
      <c r="E13" s="4">
        <v>3375.5</v>
      </c>
      <c r="F13" s="7">
        <f t="shared" si="0"/>
        <v>336110.5</v>
      </c>
      <c r="H13" s="15"/>
    </row>
    <row r="14" spans="1:8" x14ac:dyDescent="0.2">
      <c r="A14" s="96" t="s">
        <v>66</v>
      </c>
      <c r="B14" s="76">
        <v>42164</v>
      </c>
      <c r="C14" s="4">
        <v>274571</v>
      </c>
      <c r="D14" s="4">
        <v>0</v>
      </c>
      <c r="E14" s="4">
        <v>2849</v>
      </c>
      <c r="F14" s="7">
        <f t="shared" si="0"/>
        <v>277420</v>
      </c>
      <c r="H14" s="15"/>
    </row>
    <row r="15" spans="1:8" x14ac:dyDescent="0.2">
      <c r="A15" s="96" t="s">
        <v>67</v>
      </c>
      <c r="B15" s="76">
        <v>42180</v>
      </c>
      <c r="C15" s="4">
        <v>220238</v>
      </c>
      <c r="D15" s="4">
        <v>0</v>
      </c>
      <c r="E15" s="4">
        <v>2285</v>
      </c>
      <c r="F15" s="7">
        <f t="shared" si="0"/>
        <v>222523</v>
      </c>
      <c r="H15" s="15"/>
    </row>
    <row r="16" spans="1:8" x14ac:dyDescent="0.2">
      <c r="A16" s="96" t="s">
        <v>68</v>
      </c>
      <c r="B16" s="76">
        <v>42201</v>
      </c>
      <c r="C16" s="4">
        <v>172671</v>
      </c>
      <c r="D16" s="4">
        <v>0</v>
      </c>
      <c r="E16" s="4">
        <v>1792</v>
      </c>
      <c r="F16" s="7">
        <f t="shared" si="0"/>
        <v>174463</v>
      </c>
      <c r="H16" s="15"/>
    </row>
    <row r="17" spans="1:15" x14ac:dyDescent="0.2">
      <c r="A17" s="96" t="s">
        <v>69</v>
      </c>
      <c r="B17" s="76">
        <v>42256</v>
      </c>
      <c r="C17" s="4">
        <v>132973</v>
      </c>
      <c r="D17" s="4">
        <v>0</v>
      </c>
      <c r="E17" s="4">
        <v>1380</v>
      </c>
      <c r="F17" s="7">
        <f t="shared" si="0"/>
        <v>134353</v>
      </c>
      <c r="H17" s="15"/>
    </row>
    <row r="18" spans="1:15" ht="13.5" thickBot="1" x14ac:dyDescent="0.25">
      <c r="A18" s="96" t="s">
        <v>70</v>
      </c>
      <c r="B18" s="76">
        <v>42430</v>
      </c>
      <c r="C18" s="4">
        <v>233491</v>
      </c>
      <c r="D18" s="4">
        <v>0</v>
      </c>
      <c r="E18" s="4">
        <v>2422</v>
      </c>
      <c r="F18" s="7">
        <f t="shared" si="0"/>
        <v>235913</v>
      </c>
      <c r="H18" s="15"/>
    </row>
    <row r="19" spans="1:15" x14ac:dyDescent="0.2">
      <c r="B19" s="44" t="s">
        <v>0</v>
      </c>
      <c r="C19" s="124">
        <f>SUM(C2:C18)</f>
        <v>5682656</v>
      </c>
      <c r="D19" s="124">
        <f>SUM(D2:D18)</f>
        <v>0</v>
      </c>
      <c r="E19" s="124">
        <f>SUM(E2:E18)</f>
        <v>36494</v>
      </c>
      <c r="F19" s="124">
        <f>SUM(F2:F18)</f>
        <v>5719150</v>
      </c>
      <c r="J19" s="159"/>
      <c r="K19" s="158" t="s">
        <v>14</v>
      </c>
      <c r="L19" s="250" t="s">
        <v>13</v>
      </c>
    </row>
    <row r="20" spans="1:15" x14ac:dyDescent="0.2">
      <c r="A20" s="17" t="s">
        <v>19</v>
      </c>
      <c r="B20" s="18" t="s">
        <v>22</v>
      </c>
      <c r="C20" s="8">
        <v>0</v>
      </c>
      <c r="D20" s="8">
        <v>0</v>
      </c>
      <c r="E20" s="8">
        <v>0</v>
      </c>
      <c r="F20" s="8">
        <f>SUM(C20:E20)</f>
        <v>0</v>
      </c>
      <c r="J20" s="156" t="s">
        <v>11</v>
      </c>
      <c r="K20" s="103">
        <v>42491</v>
      </c>
      <c r="L20" s="251">
        <f>K20</f>
        <v>42491</v>
      </c>
    </row>
    <row r="21" spans="1:15" ht="13.5" thickBot="1" x14ac:dyDescent="0.25">
      <c r="A21" s="17" t="s">
        <v>20</v>
      </c>
      <c r="B21" s="18" t="s">
        <v>22</v>
      </c>
      <c r="C21" s="8">
        <v>0</v>
      </c>
      <c r="D21" s="8">
        <v>0</v>
      </c>
      <c r="E21" s="8">
        <v>0</v>
      </c>
      <c r="F21" s="8">
        <f>SUM(C21:E21)</f>
        <v>0</v>
      </c>
      <c r="J21" s="157" t="s">
        <v>17</v>
      </c>
      <c r="K21" s="104">
        <v>42520</v>
      </c>
      <c r="L21" s="252">
        <v>42674</v>
      </c>
    </row>
    <row r="22" spans="1:15" ht="13.5" thickBot="1" x14ac:dyDescent="0.25">
      <c r="B22" s="44" t="s">
        <v>52</v>
      </c>
      <c r="C22" s="79">
        <f>+SUM(C19:C21)</f>
        <v>5682656</v>
      </c>
      <c r="D22" s="79">
        <f>+SUM(D19:D21)</f>
        <v>0</v>
      </c>
      <c r="E22" s="79">
        <f>+SUM(E19:E21)</f>
        <v>36494</v>
      </c>
      <c r="F22" s="79">
        <f>+SUM(F19:F21)</f>
        <v>5719150</v>
      </c>
    </row>
    <row r="23" spans="1:15" ht="14.25" thickTop="1" thickBot="1" x14ac:dyDescent="0.25">
      <c r="B23" s="44"/>
      <c r="C23" s="13"/>
      <c r="D23" s="13"/>
      <c r="E23" s="13"/>
      <c r="F23" s="13"/>
    </row>
    <row r="24" spans="1:15" x14ac:dyDescent="0.2">
      <c r="B24" s="43"/>
      <c r="C24" s="5"/>
      <c r="D24" s="17"/>
      <c r="I24" s="143"/>
      <c r="J24" s="128"/>
      <c r="K24" s="128"/>
      <c r="L24" s="128"/>
      <c r="M24" s="108"/>
    </row>
    <row r="25" spans="1:15" ht="49.5" x14ac:dyDescent="0.2">
      <c r="A25" s="90" t="s">
        <v>53</v>
      </c>
      <c r="B25" s="90" t="s">
        <v>3</v>
      </c>
      <c r="C25" s="90" t="s">
        <v>4</v>
      </c>
      <c r="D25" s="90" t="s">
        <v>5</v>
      </c>
      <c r="E25" s="90" t="s">
        <v>6</v>
      </c>
      <c r="F25" s="90" t="s">
        <v>7</v>
      </c>
      <c r="G25" s="90" t="s">
        <v>80</v>
      </c>
      <c r="H25" s="90" t="s">
        <v>81</v>
      </c>
      <c r="I25" s="105" t="s">
        <v>82</v>
      </c>
      <c r="J25" s="106" t="s">
        <v>83</v>
      </c>
      <c r="K25" s="106" t="s">
        <v>84</v>
      </c>
      <c r="L25" s="106" t="s">
        <v>85</v>
      </c>
      <c r="M25" s="107" t="s">
        <v>75</v>
      </c>
      <c r="N25" s="90" t="s">
        <v>86</v>
      </c>
      <c r="O25" s="90" t="s">
        <v>87</v>
      </c>
    </row>
    <row r="26" spans="1:15" x14ac:dyDescent="0.2">
      <c r="A26" s="96" t="s">
        <v>22</v>
      </c>
      <c r="B26" s="81" t="str">
        <f t="shared" ref="B26:B45" si="1">+IF(MONTH(C26)&lt;4,"Q1",IF(MONTH(C26)&lt;7,"Q2",IF(MONTH(C26)&lt;10,"Q3","Q4")))&amp;"/"&amp;YEAR(C26)</f>
        <v>Q2/2016</v>
      </c>
      <c r="C26" s="82">
        <f>$L$20</f>
        <v>42491</v>
      </c>
      <c r="D26" s="82">
        <f t="shared" ref="D26:D31" si="2">DATE(YEAR(C26),IF(MONTH(C26)&lt;=3,3,IF(MONTH(C26)&lt;=6,6,IF(MONTH(C26)&lt;=9,9,12))),IF(OR(MONTH(C26)&lt;=3,MONTH(C26)&gt;=10),31,30))</f>
        <v>42551</v>
      </c>
      <c r="E26" s="81">
        <f>D26-C26+1</f>
        <v>61</v>
      </c>
      <c r="F26" s="83">
        <f>VLOOKUP(D26,'FERC Interest Rate'!$A:$B,2,TRUE)</f>
        <v>3.4599999999999999E-2</v>
      </c>
      <c r="G26" s="84">
        <f>$C$19</f>
        <v>5682656</v>
      </c>
      <c r="H26" s="84">
        <f>G26*F26*(E26/(DATE(YEAR(D26),12,31)-DATE(YEAR(D26),1,1)+1))</f>
        <v>32769.982933333333</v>
      </c>
      <c r="I26" s="109">
        <v>0</v>
      </c>
      <c r="J26" s="85">
        <v>0</v>
      </c>
      <c r="K26" s="129">
        <f>+SUM(I26:J26)</f>
        <v>0</v>
      </c>
      <c r="L26" s="85">
        <v>0</v>
      </c>
      <c r="M26" s="130">
        <f>+SUM(K26:L26)</f>
        <v>0</v>
      </c>
      <c r="N26" s="8">
        <f>+G26+H26+J26</f>
        <v>5715425.9829333331</v>
      </c>
      <c r="O26" s="167">
        <f t="shared" ref="O26:O45" si="3">G26+H26-L26-I26</f>
        <v>5715425.9829333331</v>
      </c>
    </row>
    <row r="27" spans="1:15" x14ac:dyDescent="0.2">
      <c r="A27" s="96" t="s">
        <v>22</v>
      </c>
      <c r="B27" s="81" t="str">
        <f t="shared" si="1"/>
        <v>Q3/2016</v>
      </c>
      <c r="C27" s="82">
        <f>D26+1</f>
        <v>42552</v>
      </c>
      <c r="D27" s="82">
        <f t="shared" si="2"/>
        <v>42643</v>
      </c>
      <c r="E27" s="81">
        <f t="shared" ref="E27:E45" si="4">D27-C27+1</f>
        <v>92</v>
      </c>
      <c r="F27" s="83">
        <f>VLOOKUP(D27,'FERC Interest Rate'!$A:$B,2,TRUE)</f>
        <v>3.5000000000000003E-2</v>
      </c>
      <c r="G27" s="84">
        <f t="shared" ref="G27:G45" si="5">O26</f>
        <v>5715425.9829333331</v>
      </c>
      <c r="H27" s="84">
        <f>G27*F27*(E27/(DATE(YEAR(D27),12,31)-DATE(YEAR(D27),1,1)+1))</f>
        <v>50283.255915424408</v>
      </c>
      <c r="I27" s="109">
        <v>0</v>
      </c>
      <c r="J27" s="85">
        <v>0</v>
      </c>
      <c r="K27" s="129">
        <f t="shared" ref="K27:K45" si="6">+SUM(I27:J27)</f>
        <v>0</v>
      </c>
      <c r="L27" s="85">
        <v>0</v>
      </c>
      <c r="M27" s="130">
        <f t="shared" ref="M27:M45" si="7">+SUM(K27:L27)</f>
        <v>0</v>
      </c>
      <c r="N27" s="8">
        <f t="shared" ref="N27:N45" si="8">+G27+H27+J27</f>
        <v>5765709.2388487579</v>
      </c>
      <c r="O27" s="167">
        <f t="shared" si="3"/>
        <v>5765709.2388487579</v>
      </c>
    </row>
    <row r="28" spans="1:15" x14ac:dyDescent="0.2">
      <c r="A28" s="17" t="s">
        <v>54</v>
      </c>
      <c r="B28" s="81" t="str">
        <f t="shared" si="1"/>
        <v>Q4/2016</v>
      </c>
      <c r="C28" s="82">
        <f t="shared" ref="C28:C45" si="9">D27+1</f>
        <v>42644</v>
      </c>
      <c r="D28" s="82">
        <f t="shared" si="2"/>
        <v>42735</v>
      </c>
      <c r="E28" s="81">
        <f t="shared" si="4"/>
        <v>92</v>
      </c>
      <c r="F28" s="83">
        <f>VLOOKUP(D28,'FERC Interest Rate'!$A:$B,2,TRUE)</f>
        <v>3.5000000000000003E-2</v>
      </c>
      <c r="G28" s="84">
        <f t="shared" si="5"/>
        <v>5765709.2388487579</v>
      </c>
      <c r="H28" s="84">
        <f>G28*F28*(E28/(DATE(YEAR(D28),12,31)-DATE(YEAR(D28),1,1)+1))</f>
        <v>50725.638658724056</v>
      </c>
      <c r="I28" s="109">
        <f t="shared" ref="I28:I47" si="10">SUM($H$26:$H$46)/20</f>
        <v>6688.9438753740887</v>
      </c>
      <c r="J28" s="85">
        <v>0</v>
      </c>
      <c r="K28" s="129">
        <f t="shared" si="6"/>
        <v>6688.9438753740887</v>
      </c>
      <c r="L28" s="85">
        <f t="shared" ref="L28:L47" si="11">$C$19/20</f>
        <v>284132.8</v>
      </c>
      <c r="M28" s="130">
        <f t="shared" si="7"/>
        <v>290821.74387537409</v>
      </c>
      <c r="N28" s="8">
        <f t="shared" si="8"/>
        <v>5816434.8775074817</v>
      </c>
      <c r="O28" s="167">
        <f t="shared" si="3"/>
        <v>5525613.1336321076</v>
      </c>
    </row>
    <row r="29" spans="1:15" x14ac:dyDescent="0.2">
      <c r="A29" s="17" t="s">
        <v>55</v>
      </c>
      <c r="B29" s="81" t="str">
        <f t="shared" si="1"/>
        <v>Q1/2017</v>
      </c>
      <c r="C29" s="82">
        <f t="shared" si="9"/>
        <v>42736</v>
      </c>
      <c r="D29" s="82">
        <f t="shared" si="2"/>
        <v>42825</v>
      </c>
      <c r="E29" s="81">
        <f t="shared" si="4"/>
        <v>90</v>
      </c>
      <c r="F29" s="83">
        <f>VLOOKUP(D29,'FERC Interest Rate'!$A:$B,2,TRUE)</f>
        <v>3.5000000000000003E-2</v>
      </c>
      <c r="G29" s="84">
        <f t="shared" si="5"/>
        <v>5525613.1336321076</v>
      </c>
      <c r="H29" s="84">
        <v>0</v>
      </c>
      <c r="I29" s="109">
        <f t="shared" si="10"/>
        <v>6688.9438753740887</v>
      </c>
      <c r="J29" s="85">
        <f t="shared" ref="J29:J45" si="12">G29*F29*(E29/(DATE(YEAR(D29),12,31)-DATE(YEAR(D29),1,1)+1))</f>
        <v>47686.798276551068</v>
      </c>
      <c r="K29" s="129">
        <f t="shared" si="6"/>
        <v>54375.742151925158</v>
      </c>
      <c r="L29" s="85">
        <f t="shared" si="11"/>
        <v>284132.8</v>
      </c>
      <c r="M29" s="130">
        <f t="shared" si="7"/>
        <v>338508.54215192515</v>
      </c>
      <c r="N29" s="8">
        <f t="shared" si="8"/>
        <v>5573299.9319086587</v>
      </c>
      <c r="O29" s="167">
        <f t="shared" si="3"/>
        <v>5234791.3897567336</v>
      </c>
    </row>
    <row r="30" spans="1:15" x14ac:dyDescent="0.2">
      <c r="A30" s="17" t="s">
        <v>56</v>
      </c>
      <c r="B30" s="81" t="str">
        <f t="shared" si="1"/>
        <v>Q2/2017</v>
      </c>
      <c r="C30" s="82">
        <f t="shared" si="9"/>
        <v>42826</v>
      </c>
      <c r="D30" s="82">
        <f t="shared" si="2"/>
        <v>42916</v>
      </c>
      <c r="E30" s="81">
        <f t="shared" si="4"/>
        <v>91</v>
      </c>
      <c r="F30" s="83">
        <f>VLOOKUP(D30,'FERC Interest Rate'!$A:$B,2,TRUE)</f>
        <v>3.7100000000000001E-2</v>
      </c>
      <c r="G30" s="84">
        <f t="shared" si="5"/>
        <v>5234791.3897567336</v>
      </c>
      <c r="H30" s="84">
        <v>0</v>
      </c>
      <c r="I30" s="109">
        <f t="shared" si="10"/>
        <v>6688.9438753740887</v>
      </c>
      <c r="J30" s="85">
        <f t="shared" si="12"/>
        <v>48419.669071117009</v>
      </c>
      <c r="K30" s="129">
        <f t="shared" si="6"/>
        <v>55108.612946491099</v>
      </c>
      <c r="L30" s="85">
        <f t="shared" si="11"/>
        <v>284132.8</v>
      </c>
      <c r="M30" s="130">
        <f t="shared" si="7"/>
        <v>339241.41294649109</v>
      </c>
      <c r="N30" s="8">
        <f t="shared" si="8"/>
        <v>5283211.058827851</v>
      </c>
      <c r="O30" s="167">
        <f t="shared" si="3"/>
        <v>4943969.6458813595</v>
      </c>
    </row>
    <row r="31" spans="1:15" x14ac:dyDescent="0.2">
      <c r="A31" s="17" t="s">
        <v>57</v>
      </c>
      <c r="B31" s="81" t="str">
        <f t="shared" si="1"/>
        <v>Q3/2017</v>
      </c>
      <c r="C31" s="82">
        <f t="shared" si="9"/>
        <v>42917</v>
      </c>
      <c r="D31" s="82">
        <f t="shared" si="2"/>
        <v>43008</v>
      </c>
      <c r="E31" s="81">
        <f t="shared" si="4"/>
        <v>92</v>
      </c>
      <c r="F31" s="83">
        <f>VLOOKUP(D31,'FERC Interest Rate'!$A:$B,2,TRUE)</f>
        <v>3.9600000000000003E-2</v>
      </c>
      <c r="G31" s="84">
        <f t="shared" si="5"/>
        <v>4943969.6458813595</v>
      </c>
      <c r="H31" s="84">
        <v>0</v>
      </c>
      <c r="I31" s="109">
        <f t="shared" si="10"/>
        <v>6688.9438753740887</v>
      </c>
      <c r="J31" s="85">
        <f t="shared" si="12"/>
        <v>49347.589627054724</v>
      </c>
      <c r="K31" s="129">
        <f t="shared" si="6"/>
        <v>56036.533502428814</v>
      </c>
      <c r="L31" s="85">
        <f t="shared" si="11"/>
        <v>284132.8</v>
      </c>
      <c r="M31" s="130">
        <f t="shared" si="7"/>
        <v>340169.33350242878</v>
      </c>
      <c r="N31" s="8">
        <f t="shared" si="8"/>
        <v>4993317.235508414</v>
      </c>
      <c r="O31" s="167">
        <f t="shared" si="3"/>
        <v>4653147.9020059854</v>
      </c>
    </row>
    <row r="32" spans="1:15" x14ac:dyDescent="0.2">
      <c r="A32" s="17" t="s">
        <v>58</v>
      </c>
      <c r="B32" s="81" t="str">
        <f t="shared" si="1"/>
        <v>Q4/2017</v>
      </c>
      <c r="C32" s="82">
        <f t="shared" si="9"/>
        <v>43009</v>
      </c>
      <c r="D32" s="82">
        <f t="shared" ref="D32:D47" si="13">EOMONTH(D31,3)</f>
        <v>43100</v>
      </c>
      <c r="E32" s="81">
        <f t="shared" si="4"/>
        <v>92</v>
      </c>
      <c r="F32" s="83">
        <f>VLOOKUP(D32,'FERC Interest Rate'!$A:$B,2,TRUE)</f>
        <v>4.2099999999999999E-2</v>
      </c>
      <c r="G32" s="84">
        <f t="shared" si="5"/>
        <v>4653147.9020059854</v>
      </c>
      <c r="H32" s="84">
        <v>0</v>
      </c>
      <c r="I32" s="109">
        <f t="shared" si="10"/>
        <v>6688.9438753740887</v>
      </c>
      <c r="J32" s="85">
        <f t="shared" si="12"/>
        <v>49376.91083301256</v>
      </c>
      <c r="K32" s="129">
        <f t="shared" si="6"/>
        <v>56065.854708386651</v>
      </c>
      <c r="L32" s="85">
        <f t="shared" si="11"/>
        <v>284132.8</v>
      </c>
      <c r="M32" s="130">
        <f t="shared" si="7"/>
        <v>340198.65470838663</v>
      </c>
      <c r="N32" s="8">
        <f t="shared" si="8"/>
        <v>4702524.8128389977</v>
      </c>
      <c r="O32" s="84">
        <f t="shared" si="3"/>
        <v>4362326.1581306113</v>
      </c>
    </row>
    <row r="33" spans="1:15" x14ac:dyDescent="0.2">
      <c r="A33" s="17" t="s">
        <v>59</v>
      </c>
      <c r="B33" s="81" t="str">
        <f t="shared" si="1"/>
        <v>Q1/2018</v>
      </c>
      <c r="C33" s="82">
        <f t="shared" si="9"/>
        <v>43101</v>
      </c>
      <c r="D33" s="82">
        <f t="shared" si="13"/>
        <v>43190</v>
      </c>
      <c r="E33" s="81">
        <f t="shared" si="4"/>
        <v>90</v>
      </c>
      <c r="F33" s="83">
        <f>VLOOKUP(D33,'FERC Interest Rate'!$A:$B,2,TRUE)</f>
        <v>4.2500000000000003E-2</v>
      </c>
      <c r="G33" s="84">
        <f t="shared" si="5"/>
        <v>4362326.1581306113</v>
      </c>
      <c r="H33" s="84">
        <v>0</v>
      </c>
      <c r="I33" s="109">
        <f t="shared" si="10"/>
        <v>6688.9438753740887</v>
      </c>
      <c r="J33" s="85">
        <f t="shared" si="12"/>
        <v>45714.787821505721</v>
      </c>
      <c r="K33" s="129">
        <f t="shared" si="6"/>
        <v>52403.731696879811</v>
      </c>
      <c r="L33" s="85">
        <f t="shared" si="11"/>
        <v>284132.8</v>
      </c>
      <c r="M33" s="130">
        <f t="shared" si="7"/>
        <v>336536.53169687977</v>
      </c>
      <c r="N33" s="8">
        <f t="shared" si="8"/>
        <v>4408040.9459521174</v>
      </c>
      <c r="O33" s="84">
        <f t="shared" si="3"/>
        <v>4071504.4142552372</v>
      </c>
    </row>
    <row r="34" spans="1:15" x14ac:dyDescent="0.2">
      <c r="A34" s="17" t="s">
        <v>60</v>
      </c>
      <c r="B34" s="81" t="str">
        <f t="shared" si="1"/>
        <v>Q2/2018</v>
      </c>
      <c r="C34" s="82">
        <f t="shared" si="9"/>
        <v>43191</v>
      </c>
      <c r="D34" s="82">
        <f t="shared" si="13"/>
        <v>43281</v>
      </c>
      <c r="E34" s="81">
        <f t="shared" si="4"/>
        <v>91</v>
      </c>
      <c r="F34" s="83">
        <f>VLOOKUP(D34,'FERC Interest Rate'!$A:$B,2,TRUE)</f>
        <v>4.4699999999999997E-2</v>
      </c>
      <c r="G34" s="84">
        <f t="shared" si="5"/>
        <v>4071504.4142552372</v>
      </c>
      <c r="H34" s="84">
        <v>0</v>
      </c>
      <c r="I34" s="109">
        <f t="shared" si="10"/>
        <v>6688.9438753740887</v>
      </c>
      <c r="J34" s="85">
        <f t="shared" si="12"/>
        <v>45374.406865386372</v>
      </c>
      <c r="K34" s="129">
        <f t="shared" si="6"/>
        <v>52063.350740760463</v>
      </c>
      <c r="L34" s="85">
        <f t="shared" si="11"/>
        <v>284132.8</v>
      </c>
      <c r="M34" s="130">
        <f t="shared" si="7"/>
        <v>336196.15074076044</v>
      </c>
      <c r="N34" s="8">
        <f t="shared" si="8"/>
        <v>4116878.8211206235</v>
      </c>
      <c r="O34" s="84">
        <f t="shared" si="3"/>
        <v>3780682.6703798631</v>
      </c>
    </row>
    <row r="35" spans="1:15" x14ac:dyDescent="0.2">
      <c r="A35" s="17" t="s">
        <v>61</v>
      </c>
      <c r="B35" s="81" t="str">
        <f t="shared" si="1"/>
        <v>Q3/2018</v>
      </c>
      <c r="C35" s="82">
        <f t="shared" si="9"/>
        <v>43282</v>
      </c>
      <c r="D35" s="82">
        <f t="shared" si="13"/>
        <v>43373</v>
      </c>
      <c r="E35" s="81">
        <f t="shared" si="4"/>
        <v>92</v>
      </c>
      <c r="F35" s="83">
        <f>VLOOKUP(D35,'FERC Interest Rate'!$A:$B,2,TRUE)</f>
        <v>5.011111E-2</v>
      </c>
      <c r="G35" s="84">
        <f t="shared" si="5"/>
        <v>3780682.6703798631</v>
      </c>
      <c r="H35" s="84">
        <v>0</v>
      </c>
      <c r="I35" s="109">
        <f t="shared" si="10"/>
        <v>6688.9438753740887</v>
      </c>
      <c r="J35" s="85">
        <f t="shared" si="12"/>
        <v>47752.840755303878</v>
      </c>
      <c r="K35" s="129">
        <f t="shared" si="6"/>
        <v>54441.784630677968</v>
      </c>
      <c r="L35" s="85">
        <f t="shared" si="11"/>
        <v>284132.8</v>
      </c>
      <c r="M35" s="130">
        <f t="shared" si="7"/>
        <v>338574.58463067794</v>
      </c>
      <c r="N35" s="8">
        <f t="shared" si="8"/>
        <v>3828435.511135167</v>
      </c>
      <c r="O35" s="84">
        <f t="shared" si="3"/>
        <v>3489860.926504489</v>
      </c>
    </row>
    <row r="36" spans="1:15" x14ac:dyDescent="0.2">
      <c r="A36" s="17" t="s">
        <v>62</v>
      </c>
      <c r="B36" s="81" t="str">
        <f t="shared" si="1"/>
        <v>Q4/2018</v>
      </c>
      <c r="C36" s="82">
        <f t="shared" si="9"/>
        <v>43374</v>
      </c>
      <c r="D36" s="82">
        <f t="shared" si="13"/>
        <v>43465</v>
      </c>
      <c r="E36" s="81">
        <f t="shared" si="4"/>
        <v>92</v>
      </c>
      <c r="F36" s="83">
        <f>VLOOKUP(D36,'FERC Interest Rate'!$A:$B,2,TRUE)</f>
        <v>5.2822580000000001E-2</v>
      </c>
      <c r="G36" s="84">
        <f t="shared" si="5"/>
        <v>3489860.926504489</v>
      </c>
      <c r="H36" s="84">
        <v>0</v>
      </c>
      <c r="I36" s="109">
        <f t="shared" si="10"/>
        <v>6688.9438753740887</v>
      </c>
      <c r="J36" s="85">
        <f t="shared" si="12"/>
        <v>46464.652422143816</v>
      </c>
      <c r="K36" s="129">
        <f t="shared" si="6"/>
        <v>53153.596297517906</v>
      </c>
      <c r="L36" s="85">
        <f t="shared" si="11"/>
        <v>284132.8</v>
      </c>
      <c r="M36" s="130">
        <f t="shared" si="7"/>
        <v>337286.39629751787</v>
      </c>
      <c r="N36" s="8">
        <f t="shared" si="8"/>
        <v>3536325.5789266326</v>
      </c>
      <c r="O36" s="84">
        <f t="shared" si="3"/>
        <v>3199039.1826291149</v>
      </c>
    </row>
    <row r="37" spans="1:15" x14ac:dyDescent="0.2">
      <c r="A37" s="17" t="s">
        <v>63</v>
      </c>
      <c r="B37" s="81" t="str">
        <f t="shared" si="1"/>
        <v>Q1/2019</v>
      </c>
      <c r="C37" s="82">
        <f t="shared" si="9"/>
        <v>43466</v>
      </c>
      <c r="D37" s="82">
        <f t="shared" si="13"/>
        <v>43555</v>
      </c>
      <c r="E37" s="81">
        <f t="shared" si="4"/>
        <v>90</v>
      </c>
      <c r="F37" s="83">
        <f>VLOOKUP(D37,'FERC Interest Rate'!$A:$B,2,TRUE)</f>
        <v>5.5296770000000002E-2</v>
      </c>
      <c r="G37" s="84">
        <f t="shared" si="5"/>
        <v>3199039.1826291149</v>
      </c>
      <c r="H37" s="84">
        <v>0</v>
      </c>
      <c r="I37" s="109">
        <f t="shared" si="10"/>
        <v>6688.9438753740887</v>
      </c>
      <c r="J37" s="85">
        <f t="shared" si="12"/>
        <v>43618.323428095115</v>
      </c>
      <c r="K37" s="129">
        <f t="shared" si="6"/>
        <v>50307.267303469205</v>
      </c>
      <c r="L37" s="85">
        <f t="shared" si="11"/>
        <v>284132.8</v>
      </c>
      <c r="M37" s="130">
        <f t="shared" si="7"/>
        <v>334440.06730346917</v>
      </c>
      <c r="N37" s="8">
        <f t="shared" si="8"/>
        <v>3242657.5060572103</v>
      </c>
      <c r="O37" s="84">
        <f t="shared" si="3"/>
        <v>2908217.4387537409</v>
      </c>
    </row>
    <row r="38" spans="1:15" x14ac:dyDescent="0.2">
      <c r="A38" s="17" t="s">
        <v>64</v>
      </c>
      <c r="B38" s="81" t="str">
        <f t="shared" si="1"/>
        <v>Q2/2019</v>
      </c>
      <c r="C38" s="82">
        <f t="shared" si="9"/>
        <v>43556</v>
      </c>
      <c r="D38" s="82">
        <f t="shared" si="13"/>
        <v>43646</v>
      </c>
      <c r="E38" s="81">
        <f t="shared" si="4"/>
        <v>91</v>
      </c>
      <c r="F38" s="83">
        <f>VLOOKUP(D38,'FERC Interest Rate'!$A:$B,2,TRUE)</f>
        <v>5.7999999999999996E-2</v>
      </c>
      <c r="G38" s="84">
        <f t="shared" si="5"/>
        <v>2908217.4387537409</v>
      </c>
      <c r="H38" s="84">
        <v>0</v>
      </c>
      <c r="I38" s="109">
        <f t="shared" si="10"/>
        <v>6688.9438753740887</v>
      </c>
      <c r="J38" s="85">
        <f t="shared" si="12"/>
        <v>42053.620936280116</v>
      </c>
      <c r="K38" s="129">
        <f t="shared" si="6"/>
        <v>48742.564811654207</v>
      </c>
      <c r="L38" s="85">
        <f t="shared" si="11"/>
        <v>284132.8</v>
      </c>
      <c r="M38" s="130">
        <f t="shared" si="7"/>
        <v>332875.3648116542</v>
      </c>
      <c r="N38" s="8">
        <f t="shared" si="8"/>
        <v>2950271.059690021</v>
      </c>
      <c r="O38" s="84">
        <f t="shared" si="3"/>
        <v>2617395.6948783668</v>
      </c>
    </row>
    <row r="39" spans="1:15" x14ac:dyDescent="0.2">
      <c r="A39" s="17" t="s">
        <v>65</v>
      </c>
      <c r="B39" s="81" t="str">
        <f t="shared" si="1"/>
        <v>Q3/2019</v>
      </c>
      <c r="C39" s="82">
        <f t="shared" si="9"/>
        <v>43647</v>
      </c>
      <c r="D39" s="82">
        <f t="shared" si="13"/>
        <v>43738</v>
      </c>
      <c r="E39" s="81">
        <f t="shared" si="4"/>
        <v>92</v>
      </c>
      <c r="F39" s="83">
        <f>VLOOKUP(D39,'FERC Interest Rate'!$A:$B,2,TRUE)</f>
        <v>0.06</v>
      </c>
      <c r="G39" s="84">
        <f t="shared" si="5"/>
        <v>2617395.6948783668</v>
      </c>
      <c r="H39" s="84">
        <v>0</v>
      </c>
      <c r="I39" s="109">
        <f t="shared" si="10"/>
        <v>6688.9438753740887</v>
      </c>
      <c r="J39" s="85">
        <f t="shared" si="12"/>
        <v>39583.628043092016</v>
      </c>
      <c r="K39" s="129">
        <f t="shared" si="6"/>
        <v>46272.571918466107</v>
      </c>
      <c r="L39" s="85">
        <f t="shared" si="11"/>
        <v>284132.8</v>
      </c>
      <c r="M39" s="130">
        <f t="shared" si="7"/>
        <v>330405.37191846612</v>
      </c>
      <c r="N39" s="8">
        <f t="shared" si="8"/>
        <v>2656979.3229214586</v>
      </c>
      <c r="O39" s="84">
        <f t="shared" si="3"/>
        <v>2326573.9510029927</v>
      </c>
    </row>
    <row r="40" spans="1:15" x14ac:dyDescent="0.2">
      <c r="A40" s="17" t="s">
        <v>66</v>
      </c>
      <c r="B40" s="81" t="str">
        <f t="shared" si="1"/>
        <v>Q4/2019</v>
      </c>
      <c r="C40" s="82">
        <f t="shared" si="9"/>
        <v>43739</v>
      </c>
      <c r="D40" s="82">
        <f t="shared" si="13"/>
        <v>43830</v>
      </c>
      <c r="E40" s="81">
        <f t="shared" si="4"/>
        <v>92</v>
      </c>
      <c r="F40" s="83">
        <f>VLOOKUP(D40,'FERC Interest Rate'!$A:$B,2,TRUE)</f>
        <v>6.0349460000000001E-2</v>
      </c>
      <c r="G40" s="84">
        <f t="shared" si="5"/>
        <v>2326573.9510029927</v>
      </c>
      <c r="H40" s="84">
        <v>0</v>
      </c>
      <c r="I40" s="109">
        <f t="shared" si="10"/>
        <v>6688.9438753740887</v>
      </c>
      <c r="J40" s="85">
        <f t="shared" si="12"/>
        <v>35390.378922095704</v>
      </c>
      <c r="K40" s="129">
        <f t="shared" si="6"/>
        <v>42079.322797469795</v>
      </c>
      <c r="L40" s="85">
        <f t="shared" si="11"/>
        <v>284132.8</v>
      </c>
      <c r="M40" s="130">
        <f t="shared" si="7"/>
        <v>326212.12279746978</v>
      </c>
      <c r="N40" s="8">
        <f t="shared" si="8"/>
        <v>2361964.3299250882</v>
      </c>
      <c r="O40" s="84">
        <f t="shared" si="3"/>
        <v>2035752.2071276186</v>
      </c>
    </row>
    <row r="41" spans="1:15" x14ac:dyDescent="0.2">
      <c r="A41" s="17" t="s">
        <v>67</v>
      </c>
      <c r="B41" s="81" t="str">
        <f t="shared" si="1"/>
        <v>Q1/2020</v>
      </c>
      <c r="C41" s="82">
        <f t="shared" si="9"/>
        <v>43831</v>
      </c>
      <c r="D41" s="82">
        <f t="shared" si="13"/>
        <v>43921</v>
      </c>
      <c r="E41" s="81">
        <f t="shared" si="4"/>
        <v>91</v>
      </c>
      <c r="F41" s="83">
        <f>VLOOKUP(D41,'FERC Interest Rate'!$A:$B,2,TRUE)</f>
        <v>6.2501040000000008E-2</v>
      </c>
      <c r="G41" s="84">
        <f t="shared" si="5"/>
        <v>2035752.2071276186</v>
      </c>
      <c r="H41" s="84">
        <v>0</v>
      </c>
      <c r="I41" s="109">
        <f t="shared" si="10"/>
        <v>6688.9438753740887</v>
      </c>
      <c r="J41" s="85">
        <f t="shared" si="12"/>
        <v>31635.336998981464</v>
      </c>
      <c r="K41" s="129">
        <f t="shared" si="6"/>
        <v>38324.280874355551</v>
      </c>
      <c r="L41" s="85">
        <f t="shared" si="11"/>
        <v>284132.8</v>
      </c>
      <c r="M41" s="130">
        <f t="shared" si="7"/>
        <v>322457.08087435551</v>
      </c>
      <c r="N41" s="8">
        <f t="shared" si="8"/>
        <v>2067387.5441266</v>
      </c>
      <c r="O41" s="84">
        <f t="shared" si="3"/>
        <v>1744930.4632522445</v>
      </c>
    </row>
    <row r="42" spans="1:15" x14ac:dyDescent="0.2">
      <c r="A42" s="17" t="s">
        <v>68</v>
      </c>
      <c r="B42" s="81" t="str">
        <f t="shared" si="1"/>
        <v>Q2/2020</v>
      </c>
      <c r="C42" s="82">
        <f t="shared" si="9"/>
        <v>43922</v>
      </c>
      <c r="D42" s="82">
        <f t="shared" si="13"/>
        <v>44012</v>
      </c>
      <c r="E42" s="81">
        <f t="shared" si="4"/>
        <v>91</v>
      </c>
      <c r="F42" s="83">
        <f>VLOOKUP(D42,'FERC Interest Rate'!$A:$B,2,TRUE)</f>
        <v>6.3055559999999997E-2</v>
      </c>
      <c r="G42" s="84">
        <f t="shared" si="5"/>
        <v>1744930.4632522445</v>
      </c>
      <c r="H42" s="84">
        <v>0</v>
      </c>
      <c r="I42" s="109">
        <f t="shared" si="10"/>
        <v>6688.9438753740887</v>
      </c>
      <c r="J42" s="85">
        <f t="shared" si="12"/>
        <v>27356.580995765307</v>
      </c>
      <c r="K42" s="129">
        <f t="shared" si="6"/>
        <v>34045.524871139394</v>
      </c>
      <c r="L42" s="85">
        <f t="shared" si="11"/>
        <v>284132.8</v>
      </c>
      <c r="M42" s="130">
        <f t="shared" si="7"/>
        <v>318178.32487113937</v>
      </c>
      <c r="N42" s="8">
        <f t="shared" si="8"/>
        <v>1772287.0442480098</v>
      </c>
      <c r="O42" s="84">
        <f t="shared" si="3"/>
        <v>1454108.7193768704</v>
      </c>
    </row>
    <row r="43" spans="1:15" x14ac:dyDescent="0.2">
      <c r="A43" s="17" t="s">
        <v>69</v>
      </c>
      <c r="B43" s="81" t="str">
        <f t="shared" si="1"/>
        <v>Q3/2020</v>
      </c>
      <c r="C43" s="82">
        <f t="shared" si="9"/>
        <v>44013</v>
      </c>
      <c r="D43" s="82">
        <f t="shared" si="13"/>
        <v>44104</v>
      </c>
      <c r="E43" s="81">
        <f t="shared" si="4"/>
        <v>92</v>
      </c>
      <c r="F43" s="83">
        <f>VLOOKUP(D43,'FERC Interest Rate'!$A:$B,2,TRUE)</f>
        <v>6.5000000000000002E-2</v>
      </c>
      <c r="G43" s="84">
        <f t="shared" si="5"/>
        <v>1454108.7193768704</v>
      </c>
      <c r="H43" s="84">
        <v>0</v>
      </c>
      <c r="I43" s="109">
        <f t="shared" si="10"/>
        <v>6688.9438753740887</v>
      </c>
      <c r="J43" s="85">
        <f t="shared" si="12"/>
        <v>23758.388365775096</v>
      </c>
      <c r="K43" s="129">
        <f t="shared" si="6"/>
        <v>30447.332241149183</v>
      </c>
      <c r="L43" s="85">
        <f t="shared" si="11"/>
        <v>284132.8</v>
      </c>
      <c r="M43" s="130">
        <f t="shared" si="7"/>
        <v>314580.1322411492</v>
      </c>
      <c r="N43" s="8">
        <f t="shared" si="8"/>
        <v>1477867.1077426455</v>
      </c>
      <c r="O43" s="84">
        <f t="shared" si="3"/>
        <v>1163286.9755014963</v>
      </c>
    </row>
    <row r="44" spans="1:15" x14ac:dyDescent="0.2">
      <c r="A44" s="17" t="s">
        <v>70</v>
      </c>
      <c r="B44" s="81" t="str">
        <f t="shared" si="1"/>
        <v>Q4/2020</v>
      </c>
      <c r="C44" s="82">
        <f t="shared" si="9"/>
        <v>44105</v>
      </c>
      <c r="D44" s="82">
        <f t="shared" si="13"/>
        <v>44196</v>
      </c>
      <c r="E44" s="81">
        <f t="shared" si="4"/>
        <v>92</v>
      </c>
      <c r="F44" s="83">
        <f>VLOOKUP(D44,'FERC Interest Rate'!$A:$B,2,TRUE)</f>
        <v>6.5000000000000002E-2</v>
      </c>
      <c r="G44" s="84">
        <f t="shared" si="5"/>
        <v>1163286.9755014963</v>
      </c>
      <c r="H44" s="84">
        <v>0</v>
      </c>
      <c r="I44" s="109">
        <f t="shared" si="10"/>
        <v>6688.9438753740887</v>
      </c>
      <c r="J44" s="85">
        <f t="shared" si="12"/>
        <v>19006.710692620076</v>
      </c>
      <c r="K44" s="129">
        <f t="shared" si="6"/>
        <v>25695.654567994163</v>
      </c>
      <c r="L44" s="85">
        <f t="shared" si="11"/>
        <v>284132.8</v>
      </c>
      <c r="M44" s="130">
        <f t="shared" si="7"/>
        <v>309828.45456799417</v>
      </c>
      <c r="N44" s="8">
        <f t="shared" si="8"/>
        <v>1182293.6861941165</v>
      </c>
      <c r="O44" s="84">
        <f t="shared" si="3"/>
        <v>872465.23162612226</v>
      </c>
    </row>
    <row r="45" spans="1:15" x14ac:dyDescent="0.2">
      <c r="A45" s="17" t="s">
        <v>71</v>
      </c>
      <c r="B45" s="81" t="str">
        <f t="shared" si="1"/>
        <v>Q1/2021</v>
      </c>
      <c r="C45" s="82">
        <f t="shared" si="9"/>
        <v>44197</v>
      </c>
      <c r="D45" s="82">
        <f t="shared" si="13"/>
        <v>44286</v>
      </c>
      <c r="E45" s="81">
        <f t="shared" si="4"/>
        <v>90</v>
      </c>
      <c r="F45" s="83">
        <f>VLOOKUP(D45,'FERC Interest Rate'!$A:$B,2,TRUE)</f>
        <v>6.5000000000000002E-2</v>
      </c>
      <c r="G45" s="84">
        <f t="shared" si="5"/>
        <v>872465.23162612226</v>
      </c>
      <c r="H45" s="84">
        <v>0</v>
      </c>
      <c r="I45" s="109">
        <f t="shared" si="10"/>
        <v>6688.9438753740887</v>
      </c>
      <c r="J45" s="85">
        <f t="shared" si="12"/>
        <v>13983.346863048808</v>
      </c>
      <c r="K45" s="129">
        <f t="shared" si="6"/>
        <v>20672.290738422897</v>
      </c>
      <c r="L45" s="85">
        <f t="shared" si="11"/>
        <v>284132.8</v>
      </c>
      <c r="M45" s="130">
        <f t="shared" si="7"/>
        <v>304805.09073842288</v>
      </c>
      <c r="N45" s="8">
        <f t="shared" si="8"/>
        <v>886448.57848917111</v>
      </c>
      <c r="O45" s="84">
        <f t="shared" si="3"/>
        <v>581643.48775074817</v>
      </c>
    </row>
    <row r="46" spans="1:15" x14ac:dyDescent="0.2">
      <c r="A46" s="17" t="s">
        <v>72</v>
      </c>
      <c r="B46" s="81" t="str">
        <f>+IF(MONTH(C46)&lt;4,"Q1",IF(MONTH(C46)&lt;7,"Q2",IF(MONTH(C46)&lt;10,"Q3","Q4")))&amp;"/"&amp;YEAR(C46)</f>
        <v>Q2/2021</v>
      </c>
      <c r="C46" s="82">
        <f>D45+1</f>
        <v>44287</v>
      </c>
      <c r="D46" s="82">
        <f t="shared" si="13"/>
        <v>44377</v>
      </c>
      <c r="E46" s="81">
        <f>D46-C46+1</f>
        <v>91</v>
      </c>
      <c r="F46" s="83">
        <f>VLOOKUP(D46,'FERC Interest Rate'!$A:$B,2,TRUE)</f>
        <v>6.5000000000000002E-2</v>
      </c>
      <c r="G46" s="84">
        <f>O45</f>
        <v>581643.48775074817</v>
      </c>
      <c r="H46" s="84">
        <v>0</v>
      </c>
      <c r="I46" s="109">
        <f t="shared" si="10"/>
        <v>6688.9438753740887</v>
      </c>
      <c r="J46" s="85">
        <f>G46*F46*(E46/(DATE(YEAR(D46),12,31)-DATE(YEAR(D46),1,1)+1))</f>
        <v>9425.8115891662346</v>
      </c>
      <c r="K46" s="129">
        <f>+SUM(I46:J46)</f>
        <v>16114.755464540323</v>
      </c>
      <c r="L46" s="85">
        <f t="shared" si="11"/>
        <v>284132.8</v>
      </c>
      <c r="M46" s="130">
        <f>+SUM(K46:L46)</f>
        <v>300247.55546454032</v>
      </c>
      <c r="N46" s="8">
        <f>+G46+H46+J46</f>
        <v>591069.29933991446</v>
      </c>
      <c r="O46" s="84">
        <f>G46+H46-L46-I46</f>
        <v>290821.74387537409</v>
      </c>
    </row>
    <row r="47" spans="1:15" x14ac:dyDescent="0.2">
      <c r="A47" s="17" t="s">
        <v>73</v>
      </c>
      <c r="B47" s="81" t="str">
        <f>+IF(MONTH(C47)&lt;4,"Q1",IF(MONTH(C47)&lt;7,"Q2",IF(MONTH(C47)&lt;10,"Q3","Q4")))&amp;"/"&amp;YEAR(C47)</f>
        <v>Q3/2021</v>
      </c>
      <c r="C47" s="82">
        <f>D46+1</f>
        <v>44378</v>
      </c>
      <c r="D47" s="82">
        <f t="shared" si="13"/>
        <v>44469</v>
      </c>
      <c r="E47" s="81">
        <f>D47-C47+1</f>
        <v>92</v>
      </c>
      <c r="F47" s="83">
        <f>VLOOKUP(D47,'FERC Interest Rate'!$A:$B,2,TRUE)</f>
        <v>6.5000000000000002E-2</v>
      </c>
      <c r="G47" s="84">
        <f>O46</f>
        <v>290821.74387537409</v>
      </c>
      <c r="H47" s="84">
        <v>0</v>
      </c>
      <c r="I47" s="109">
        <f t="shared" si="10"/>
        <v>6688.9438753740887</v>
      </c>
      <c r="J47" s="85">
        <f>G47*F47*(E47/(DATE(YEAR(D47),12,31)-DATE(YEAR(D47),1,1)+1))</f>
        <v>4764.6959681499648</v>
      </c>
      <c r="K47" s="129">
        <f>+SUM(I47:J47)</f>
        <v>11453.639843524054</v>
      </c>
      <c r="L47" s="85">
        <f t="shared" si="11"/>
        <v>284132.8</v>
      </c>
      <c r="M47" s="130">
        <f>+SUM(K47:L47)</f>
        <v>295586.43984352401</v>
      </c>
      <c r="N47" s="8">
        <f>+G47+H47+J47</f>
        <v>295586.43984352407</v>
      </c>
      <c r="O47" s="84">
        <f>G47+H47-L47-I47</f>
        <v>9.0949470177292824E-12</v>
      </c>
    </row>
    <row r="48" spans="1:15" x14ac:dyDescent="0.2">
      <c r="B48" s="11"/>
      <c r="C48" s="125"/>
      <c r="D48" s="125"/>
      <c r="E48" s="10"/>
      <c r="F48" s="11"/>
      <c r="G48" s="85"/>
      <c r="H48" s="12"/>
      <c r="I48" s="115"/>
      <c r="J48" s="85"/>
      <c r="K48" s="117"/>
      <c r="L48" s="70"/>
      <c r="M48" s="131"/>
      <c r="O48" s="85"/>
    </row>
    <row r="49" spans="1:15" ht="13.5" thickBot="1" x14ac:dyDescent="0.25">
      <c r="A49" s="151"/>
      <c r="B49" s="152"/>
      <c r="C49" s="155"/>
      <c r="D49" s="155"/>
      <c r="E49" s="154"/>
      <c r="F49" s="152"/>
      <c r="G49" s="140">
        <f>+SUM(G26:G48)</f>
        <v>72419922.558103174</v>
      </c>
      <c r="H49" s="140">
        <f t="shared" ref="H49:O49" si="14">+SUM(H26:H48)</f>
        <v>133778.87750748178</v>
      </c>
      <c r="I49" s="141">
        <f t="shared" si="14"/>
        <v>133778.87750748172</v>
      </c>
      <c r="J49" s="140">
        <f t="shared" si="14"/>
        <v>670714.47847514495</v>
      </c>
      <c r="K49" s="140">
        <f t="shared" si="14"/>
        <v>804493.35598262679</v>
      </c>
      <c r="L49" s="140">
        <f t="shared" si="14"/>
        <v>5682655.9999999981</v>
      </c>
      <c r="M49" s="142">
        <f t="shared" si="14"/>
        <v>6487149.3559826268</v>
      </c>
      <c r="N49" s="140">
        <f t="shared" si="14"/>
        <v>73224415.914085805</v>
      </c>
      <c r="O49" s="140">
        <f t="shared" si="14"/>
        <v>66737266.558103174</v>
      </c>
    </row>
    <row r="50" spans="1:15" ht="14.25" thickTop="1" thickBot="1" x14ac:dyDescent="0.25">
      <c r="B50" s="117"/>
      <c r="C50" s="117"/>
      <c r="D50" s="117"/>
      <c r="E50" s="117"/>
      <c r="F50" s="117"/>
      <c r="G50" s="117"/>
      <c r="H50" s="117"/>
      <c r="I50" s="116"/>
      <c r="J50" s="117"/>
      <c r="K50" s="117"/>
      <c r="L50" s="117"/>
      <c r="M50" s="131"/>
      <c r="O50" s="117"/>
    </row>
    <row r="51" spans="1:15" x14ac:dyDescent="0.2">
      <c r="A51" s="310" t="s">
        <v>16</v>
      </c>
      <c r="B51" s="310"/>
      <c r="C51" s="310"/>
      <c r="D51" s="310"/>
      <c r="E51" s="310"/>
      <c r="F51" s="310"/>
      <c r="G51" s="117"/>
      <c r="H51" s="117"/>
      <c r="I51" s="128"/>
      <c r="J51" s="128"/>
      <c r="K51" s="128"/>
      <c r="L51" s="128"/>
      <c r="M51" s="128"/>
      <c r="O51" s="117"/>
    </row>
    <row r="52" spans="1:15" ht="63.75" x14ac:dyDescent="0.2">
      <c r="A52" s="106" t="s">
        <v>4</v>
      </c>
      <c r="B52" s="106" t="s">
        <v>5</v>
      </c>
      <c r="C52" s="106" t="s">
        <v>95</v>
      </c>
      <c r="D52" s="106" t="s">
        <v>96</v>
      </c>
      <c r="E52" s="106" t="s">
        <v>97</v>
      </c>
      <c r="F52" s="106" t="s">
        <v>98</v>
      </c>
      <c r="G52" s="117"/>
      <c r="H52" s="117"/>
      <c r="I52" s="117"/>
      <c r="J52" s="117"/>
      <c r="K52" s="117"/>
      <c r="L52" s="117"/>
      <c r="M52" s="117"/>
      <c r="O52" s="117"/>
    </row>
    <row r="53" spans="1:15" x14ac:dyDescent="0.2">
      <c r="A53" s="82">
        <f>$L$21</f>
        <v>42674</v>
      </c>
      <c r="B53" s="82">
        <f>DATE(YEAR(A53),IF(MONTH(A53)&lt;=3,3,IF(MONTH(A53)&lt;=6,6,IF(MONTH(A53)&lt;=9,9,12))),IF(OR(MONTH(A53)&lt;=3,MONTH(A53)&gt;=10),31,30))</f>
        <v>42735</v>
      </c>
      <c r="C53" s="85">
        <f t="shared" ref="C53:C72" si="15">+I86+I120+I153+I186+I218+I250+I282+I314+I345+I377+I408+I438+I468+I498+I527+I556+I583</f>
        <v>115.96426895825992</v>
      </c>
      <c r="D53" s="85">
        <f t="shared" ref="D53:D72" si="16">+J86+J120+J153+J186+J218+J250+J282+J314+J345+J377+J408+J438+J468+J498+J527+J556+J583</f>
        <v>0</v>
      </c>
      <c r="E53" s="85">
        <f t="shared" ref="E53:E72" si="17">+K86+K120+K153+K186+K218+K250+K282+K314+K345+K377+K408+K438+K468+K498+K527+K556+K583</f>
        <v>115.96426895825992</v>
      </c>
      <c r="F53" s="85">
        <f t="shared" ref="F53:F72" si="18">+L86+L120+L153+L186+L218+L250+L282+L314+L345+L377+L408+L438+L468+L498+L527+L556+L583</f>
        <v>1824.7</v>
      </c>
      <c r="G53" s="117"/>
      <c r="H53" s="117"/>
      <c r="I53" s="117"/>
      <c r="J53" s="117"/>
      <c r="K53" s="117"/>
      <c r="L53" s="117"/>
      <c r="M53" s="117"/>
      <c r="O53" s="117"/>
    </row>
    <row r="54" spans="1:15" x14ac:dyDescent="0.2">
      <c r="A54" s="82">
        <f>B53+1</f>
        <v>42736</v>
      </c>
      <c r="B54" s="82">
        <f>EOMONTH(B53,3)</f>
        <v>42825</v>
      </c>
      <c r="C54" s="85">
        <f t="shared" si="15"/>
        <v>115.96426895825992</v>
      </c>
      <c r="D54" s="85">
        <f t="shared" si="16"/>
        <v>318.21577122507358</v>
      </c>
      <c r="E54" s="85">
        <f t="shared" si="17"/>
        <v>434.18004018333352</v>
      </c>
      <c r="F54" s="85">
        <f t="shared" si="18"/>
        <v>1824.7</v>
      </c>
      <c r="G54" s="117"/>
      <c r="H54" s="117"/>
      <c r="I54" s="117"/>
      <c r="J54" s="117"/>
      <c r="K54" s="117"/>
      <c r="L54" s="117"/>
      <c r="M54" s="117"/>
      <c r="O54" s="117"/>
    </row>
    <row r="55" spans="1:15" x14ac:dyDescent="0.2">
      <c r="A55" s="82">
        <f t="shared" ref="A55:A72" si="19">B54+1</f>
        <v>42826</v>
      </c>
      <c r="B55" s="82">
        <f t="shared" ref="B55:B72" si="20">EOMONTH(B54,3)</f>
        <v>42916</v>
      </c>
      <c r="C55" s="85">
        <f t="shared" si="15"/>
        <v>115.96426895825992</v>
      </c>
      <c r="D55" s="85">
        <f t="shared" si="16"/>
        <v>323.1062451828484</v>
      </c>
      <c r="E55" s="85">
        <f t="shared" si="17"/>
        <v>439.07051414110828</v>
      </c>
      <c r="F55" s="85">
        <f t="shared" si="18"/>
        <v>1824.7</v>
      </c>
      <c r="G55" s="117"/>
      <c r="H55" s="117"/>
      <c r="I55" s="117"/>
      <c r="J55" s="117"/>
      <c r="K55" s="117"/>
      <c r="L55" s="117"/>
      <c r="M55" s="117"/>
      <c r="O55" s="117"/>
    </row>
    <row r="56" spans="1:15" x14ac:dyDescent="0.2">
      <c r="A56" s="82">
        <f t="shared" si="19"/>
        <v>42917</v>
      </c>
      <c r="B56" s="82">
        <f t="shared" si="20"/>
        <v>43008</v>
      </c>
      <c r="C56" s="85">
        <f t="shared" si="15"/>
        <v>115.96426895825992</v>
      </c>
      <c r="D56" s="85">
        <f t="shared" si="16"/>
        <v>329.29829342292737</v>
      </c>
      <c r="E56" s="85">
        <f t="shared" si="17"/>
        <v>445.26256238118725</v>
      </c>
      <c r="F56" s="85">
        <f t="shared" si="18"/>
        <v>1824.7</v>
      </c>
      <c r="G56" s="117"/>
      <c r="H56" s="117"/>
      <c r="I56" s="117"/>
      <c r="J56" s="117"/>
      <c r="K56" s="117"/>
      <c r="L56" s="117"/>
      <c r="M56" s="117"/>
      <c r="O56" s="117"/>
    </row>
    <row r="57" spans="1:15" x14ac:dyDescent="0.2">
      <c r="A57" s="82">
        <f t="shared" si="19"/>
        <v>43009</v>
      </c>
      <c r="B57" s="82">
        <f t="shared" si="20"/>
        <v>43100</v>
      </c>
      <c r="C57" s="85">
        <f t="shared" si="15"/>
        <v>115.96426895825992</v>
      </c>
      <c r="D57" s="85">
        <f t="shared" si="16"/>
        <v>329.49395491634556</v>
      </c>
      <c r="E57" s="85">
        <f t="shared" si="17"/>
        <v>445.45822387460549</v>
      </c>
      <c r="F57" s="85">
        <f t="shared" si="18"/>
        <v>1824.7</v>
      </c>
      <c r="G57" s="117"/>
      <c r="H57" s="117"/>
      <c r="I57" s="117"/>
      <c r="J57" s="117"/>
      <c r="K57" s="117"/>
      <c r="L57" s="117"/>
      <c r="M57" s="117"/>
      <c r="O57" s="117"/>
    </row>
    <row r="58" spans="1:15" x14ac:dyDescent="0.2">
      <c r="A58" s="82">
        <f t="shared" si="19"/>
        <v>43101</v>
      </c>
      <c r="B58" s="82">
        <f t="shared" si="20"/>
        <v>43190</v>
      </c>
      <c r="C58" s="85">
        <f t="shared" si="15"/>
        <v>115.96426895825992</v>
      </c>
      <c r="D58" s="85">
        <f t="shared" si="16"/>
        <v>305.05647241501424</v>
      </c>
      <c r="E58" s="85">
        <f t="shared" si="17"/>
        <v>421.02074137327412</v>
      </c>
      <c r="F58" s="85">
        <f t="shared" si="18"/>
        <v>1824.7</v>
      </c>
      <c r="G58" s="117"/>
      <c r="H58" s="117"/>
      <c r="I58" s="117"/>
      <c r="J58" s="117"/>
      <c r="K58" s="117"/>
      <c r="L58" s="117"/>
      <c r="M58" s="117"/>
      <c r="O58" s="117"/>
    </row>
    <row r="59" spans="1:15" x14ac:dyDescent="0.2">
      <c r="A59" s="82">
        <f t="shared" si="19"/>
        <v>43191</v>
      </c>
      <c r="B59" s="82">
        <f t="shared" si="20"/>
        <v>43281</v>
      </c>
      <c r="C59" s="85">
        <f t="shared" si="15"/>
        <v>115.96426895825992</v>
      </c>
      <c r="D59" s="85">
        <f t="shared" si="16"/>
        <v>302.78509768707175</v>
      </c>
      <c r="E59" s="85">
        <f t="shared" si="17"/>
        <v>418.74936664533158</v>
      </c>
      <c r="F59" s="85">
        <f t="shared" si="18"/>
        <v>1824.7</v>
      </c>
      <c r="G59" s="117"/>
      <c r="H59" s="117"/>
      <c r="I59" s="117"/>
      <c r="J59" s="117"/>
      <c r="K59" s="117"/>
      <c r="L59" s="117"/>
      <c r="M59" s="117"/>
      <c r="O59" s="117"/>
    </row>
    <row r="60" spans="1:15" x14ac:dyDescent="0.2">
      <c r="A60" s="82">
        <f t="shared" si="19"/>
        <v>43282</v>
      </c>
      <c r="B60" s="82">
        <f t="shared" si="20"/>
        <v>43373</v>
      </c>
      <c r="C60" s="85">
        <f t="shared" si="15"/>
        <v>115.96426895825992</v>
      </c>
      <c r="D60" s="85">
        <f t="shared" si="16"/>
        <v>318.65647513201367</v>
      </c>
      <c r="E60" s="85">
        <f t="shared" si="17"/>
        <v>434.62074409027366</v>
      </c>
      <c r="F60" s="85">
        <f t="shared" si="18"/>
        <v>1824.7</v>
      </c>
      <c r="G60" s="117"/>
      <c r="H60" s="117"/>
      <c r="I60" s="117"/>
      <c r="J60" s="117"/>
      <c r="K60" s="117"/>
      <c r="L60" s="117"/>
      <c r="M60" s="117"/>
      <c r="O60" s="117"/>
    </row>
    <row r="61" spans="1:15" x14ac:dyDescent="0.2">
      <c r="A61" s="82">
        <f t="shared" si="19"/>
        <v>43374</v>
      </c>
      <c r="B61" s="82">
        <f t="shared" si="20"/>
        <v>43465</v>
      </c>
      <c r="C61" s="85">
        <f t="shared" si="15"/>
        <v>115.96426895825992</v>
      </c>
      <c r="D61" s="85">
        <f t="shared" si="16"/>
        <v>310.06034667016132</v>
      </c>
      <c r="E61" s="85">
        <f t="shared" si="17"/>
        <v>426.02461562842126</v>
      </c>
      <c r="F61" s="85">
        <f t="shared" si="18"/>
        <v>1824.7</v>
      </c>
      <c r="G61" s="117"/>
      <c r="H61" s="117"/>
      <c r="I61" s="117"/>
      <c r="J61" s="117"/>
      <c r="K61" s="117"/>
      <c r="L61" s="117"/>
      <c r="M61" s="117"/>
      <c r="O61" s="117"/>
    </row>
    <row r="62" spans="1:15" x14ac:dyDescent="0.2">
      <c r="A62" s="82">
        <f t="shared" si="19"/>
        <v>43466</v>
      </c>
      <c r="B62" s="82">
        <f t="shared" si="20"/>
        <v>43555</v>
      </c>
      <c r="C62" s="85">
        <f t="shared" si="15"/>
        <v>115.96426895825992</v>
      </c>
      <c r="D62" s="85">
        <f t="shared" si="16"/>
        <v>291.06668786445209</v>
      </c>
      <c r="E62" s="85">
        <f t="shared" si="17"/>
        <v>407.03095682271208</v>
      </c>
      <c r="F62" s="85">
        <f t="shared" si="18"/>
        <v>1824.7</v>
      </c>
      <c r="G62" s="117"/>
      <c r="H62" s="117"/>
      <c r="I62" s="117"/>
      <c r="J62" s="117"/>
      <c r="K62" s="117"/>
      <c r="L62" s="117"/>
      <c r="M62" s="117"/>
      <c r="O62" s="117"/>
    </row>
    <row r="63" spans="1:15" x14ac:dyDescent="0.2">
      <c r="A63" s="82">
        <f t="shared" si="19"/>
        <v>43556</v>
      </c>
      <c r="B63" s="82">
        <f t="shared" si="20"/>
        <v>43646</v>
      </c>
      <c r="C63" s="85">
        <f t="shared" si="15"/>
        <v>115.96426895825992</v>
      </c>
      <c r="D63" s="85">
        <f t="shared" si="16"/>
        <v>280.62537017977246</v>
      </c>
      <c r="E63" s="85">
        <f t="shared" si="17"/>
        <v>396.58963913803234</v>
      </c>
      <c r="F63" s="85">
        <f t="shared" si="18"/>
        <v>1824.7</v>
      </c>
      <c r="G63" s="117"/>
      <c r="H63" s="117"/>
      <c r="I63" s="117"/>
      <c r="J63" s="117"/>
      <c r="K63" s="117"/>
      <c r="L63" s="117"/>
      <c r="M63" s="117"/>
      <c r="O63" s="117"/>
    </row>
    <row r="64" spans="1:15" x14ac:dyDescent="0.2">
      <c r="A64" s="82">
        <f t="shared" si="19"/>
        <v>43647</v>
      </c>
      <c r="B64" s="82">
        <f t="shared" si="20"/>
        <v>43738</v>
      </c>
      <c r="C64" s="85">
        <f t="shared" si="15"/>
        <v>115.96426895825992</v>
      </c>
      <c r="D64" s="85">
        <f t="shared" si="16"/>
        <v>264.14301611464759</v>
      </c>
      <c r="E64" s="85">
        <f t="shared" si="17"/>
        <v>380.10728507290753</v>
      </c>
      <c r="F64" s="85">
        <f t="shared" si="18"/>
        <v>1824.7</v>
      </c>
      <c r="G64" s="117"/>
      <c r="H64" s="117"/>
      <c r="I64" s="117"/>
      <c r="J64" s="117"/>
      <c r="K64" s="117"/>
      <c r="L64" s="117"/>
      <c r="M64" s="117"/>
      <c r="O64" s="117"/>
    </row>
    <row r="65" spans="1:15" x14ac:dyDescent="0.2">
      <c r="A65" s="82">
        <f t="shared" si="19"/>
        <v>43739</v>
      </c>
      <c r="B65" s="82">
        <f t="shared" si="20"/>
        <v>43830</v>
      </c>
      <c r="C65" s="85">
        <f t="shared" si="15"/>
        <v>115.96426895825992</v>
      </c>
      <c r="D65" s="85">
        <f t="shared" si="16"/>
        <v>236.1613094117078</v>
      </c>
      <c r="E65" s="85">
        <f t="shared" si="17"/>
        <v>352.12557836996774</v>
      </c>
      <c r="F65" s="85">
        <f t="shared" si="18"/>
        <v>1824.7</v>
      </c>
      <c r="G65" s="117"/>
      <c r="H65" s="117"/>
      <c r="I65" s="117"/>
      <c r="J65" s="117"/>
      <c r="K65" s="117"/>
      <c r="L65" s="117"/>
      <c r="M65" s="117"/>
      <c r="O65" s="117"/>
    </row>
    <row r="66" spans="1:15" x14ac:dyDescent="0.2">
      <c r="A66" s="82">
        <f t="shared" si="19"/>
        <v>43831</v>
      </c>
      <c r="B66" s="82">
        <f t="shared" si="20"/>
        <v>43921</v>
      </c>
      <c r="C66" s="85">
        <f t="shared" si="15"/>
        <v>115.96426895825992</v>
      </c>
      <c r="D66" s="85">
        <f t="shared" si="16"/>
        <v>211.10377557149079</v>
      </c>
      <c r="E66" s="85">
        <f t="shared" si="17"/>
        <v>327.06804452975075</v>
      </c>
      <c r="F66" s="85">
        <f t="shared" si="18"/>
        <v>1824.7</v>
      </c>
      <c r="G66" s="117"/>
      <c r="H66" s="117"/>
      <c r="I66" s="117"/>
      <c r="J66" s="117"/>
      <c r="K66" s="117"/>
      <c r="L66" s="117"/>
      <c r="M66" s="117"/>
      <c r="O66" s="117"/>
    </row>
    <row r="67" spans="1:15" x14ac:dyDescent="0.2">
      <c r="A67" s="82">
        <f t="shared" si="19"/>
        <v>43922</v>
      </c>
      <c r="B67" s="82">
        <f t="shared" si="20"/>
        <v>44012</v>
      </c>
      <c r="C67" s="85">
        <f t="shared" si="15"/>
        <v>115.96426895825992</v>
      </c>
      <c r="D67" s="85">
        <f t="shared" si="16"/>
        <v>182.5514782763112</v>
      </c>
      <c r="E67" s="85">
        <f t="shared" si="17"/>
        <v>298.51574723457117</v>
      </c>
      <c r="F67" s="85">
        <f t="shared" si="18"/>
        <v>1824.7</v>
      </c>
      <c r="G67" s="117"/>
      <c r="H67" s="117"/>
      <c r="I67" s="117"/>
      <c r="J67" s="117"/>
      <c r="K67" s="117"/>
      <c r="L67" s="117"/>
      <c r="M67" s="117"/>
      <c r="O67" s="117"/>
    </row>
    <row r="68" spans="1:15" x14ac:dyDescent="0.2">
      <c r="A68" s="82">
        <f t="shared" si="19"/>
        <v>44013</v>
      </c>
      <c r="B68" s="82">
        <f t="shared" si="20"/>
        <v>44104</v>
      </c>
      <c r="C68" s="85">
        <f t="shared" si="15"/>
        <v>115.96426895825992</v>
      </c>
      <c r="D68" s="85">
        <f t="shared" si="16"/>
        <v>158.54060557883057</v>
      </c>
      <c r="E68" s="85">
        <f t="shared" si="17"/>
        <v>274.50487453709042</v>
      </c>
      <c r="F68" s="85">
        <f t="shared" si="18"/>
        <v>1824.7</v>
      </c>
      <c r="G68" s="117"/>
      <c r="H68" s="117"/>
      <c r="I68" s="117"/>
      <c r="J68" s="117"/>
      <c r="K68" s="117"/>
      <c r="L68" s="117"/>
      <c r="M68" s="117"/>
      <c r="O68" s="117"/>
    </row>
    <row r="69" spans="1:15" x14ac:dyDescent="0.2">
      <c r="A69" s="82">
        <f t="shared" si="19"/>
        <v>44105</v>
      </c>
      <c r="B69" s="82">
        <f t="shared" si="20"/>
        <v>44196</v>
      </c>
      <c r="C69" s="85">
        <f t="shared" si="15"/>
        <v>115.96426895825992</v>
      </c>
      <c r="D69" s="85">
        <f t="shared" si="16"/>
        <v>126.83248446306445</v>
      </c>
      <c r="E69" s="85">
        <f t="shared" si="17"/>
        <v>242.79675342132435</v>
      </c>
      <c r="F69" s="85">
        <f t="shared" si="18"/>
        <v>1824.7</v>
      </c>
      <c r="G69" s="117"/>
      <c r="H69" s="117"/>
      <c r="I69" s="117"/>
      <c r="J69" s="117"/>
      <c r="K69" s="117"/>
      <c r="L69" s="117"/>
      <c r="M69" s="117"/>
      <c r="O69" s="117"/>
    </row>
    <row r="70" spans="1:15" x14ac:dyDescent="0.2">
      <c r="A70" s="82">
        <f t="shared" si="19"/>
        <v>44197</v>
      </c>
      <c r="B70" s="82">
        <f t="shared" si="20"/>
        <v>44286</v>
      </c>
      <c r="C70" s="85">
        <f t="shared" si="15"/>
        <v>115.96426895825992</v>
      </c>
      <c r="D70" s="85">
        <f t="shared" si="16"/>
        <v>93.311391562239663</v>
      </c>
      <c r="E70" s="85">
        <f t="shared" si="17"/>
        <v>209.27566052049957</v>
      </c>
      <c r="F70" s="85">
        <f t="shared" si="18"/>
        <v>1824.7</v>
      </c>
      <c r="G70" s="117"/>
      <c r="H70" s="117"/>
      <c r="I70" s="117"/>
      <c r="J70" s="117"/>
      <c r="K70" s="117"/>
      <c r="L70" s="117"/>
      <c r="M70" s="117"/>
      <c r="O70" s="117"/>
    </row>
    <row r="71" spans="1:15" x14ac:dyDescent="0.2">
      <c r="A71" s="82">
        <f t="shared" si="19"/>
        <v>44287</v>
      </c>
      <c r="B71" s="82">
        <f t="shared" si="20"/>
        <v>44377</v>
      </c>
      <c r="C71" s="85">
        <f t="shared" si="15"/>
        <v>115.96426895825992</v>
      </c>
      <c r="D71" s="85">
        <f t="shared" si="16"/>
        <v>62.898789867880062</v>
      </c>
      <c r="E71" s="85">
        <f t="shared" si="17"/>
        <v>178.86305882614002</v>
      </c>
      <c r="F71" s="85">
        <f t="shared" si="18"/>
        <v>1824.7</v>
      </c>
      <c r="G71" s="117"/>
      <c r="H71" s="117"/>
      <c r="I71" s="117"/>
      <c r="J71" s="117"/>
      <c r="K71" s="117"/>
      <c r="L71" s="117"/>
      <c r="M71" s="117"/>
      <c r="O71" s="117"/>
    </row>
    <row r="72" spans="1:15" x14ac:dyDescent="0.2">
      <c r="A72" s="82">
        <f t="shared" si="19"/>
        <v>44378</v>
      </c>
      <c r="B72" s="82">
        <f t="shared" si="20"/>
        <v>44469</v>
      </c>
      <c r="C72" s="85">
        <f t="shared" si="15"/>
        <v>115.96426895825992</v>
      </c>
      <c r="D72" s="85">
        <f t="shared" si="16"/>
        <v>31.794992680466859</v>
      </c>
      <c r="E72" s="85">
        <f t="shared" si="17"/>
        <v>147.7592616387268</v>
      </c>
      <c r="F72" s="85">
        <f t="shared" si="18"/>
        <v>1824.7</v>
      </c>
      <c r="G72" s="117"/>
      <c r="H72" s="117"/>
      <c r="I72" s="117"/>
      <c r="J72" s="117"/>
      <c r="K72" s="117"/>
      <c r="L72" s="117"/>
      <c r="M72" s="117"/>
      <c r="O72" s="117"/>
    </row>
    <row r="73" spans="1:15" x14ac:dyDescent="0.2">
      <c r="A73" s="125"/>
      <c r="B73" s="125"/>
      <c r="C73" s="85"/>
      <c r="E73" s="12"/>
      <c r="F73" s="85"/>
      <c r="G73" s="117"/>
      <c r="H73" s="117"/>
      <c r="I73" s="117"/>
      <c r="J73" s="117"/>
      <c r="K73" s="117"/>
      <c r="L73" s="117"/>
      <c r="M73" s="117"/>
      <c r="O73" s="117"/>
    </row>
    <row r="74" spans="1:15" ht="13.5" thickBot="1" x14ac:dyDescent="0.25">
      <c r="A74" s="140"/>
      <c r="B74" s="140"/>
      <c r="C74" s="140">
        <f>+SUM(C53:C73)</f>
        <v>2319.2853791651978</v>
      </c>
      <c r="D74" s="140">
        <f>+SUM(D53:D73)</f>
        <v>4475.7025582223187</v>
      </c>
      <c r="E74" s="140">
        <f>+SUM(E53:E73)</f>
        <v>6794.9879373875165</v>
      </c>
      <c r="F74" s="140">
        <f>+SUM(F53:F73)</f>
        <v>36494</v>
      </c>
      <c r="G74" s="117"/>
      <c r="H74" s="117"/>
      <c r="I74" s="122"/>
      <c r="J74" s="122"/>
      <c r="K74" s="122"/>
      <c r="L74" s="122"/>
      <c r="M74" s="122"/>
      <c r="O74" s="117"/>
    </row>
    <row r="75" spans="1:15" ht="13.5" thickTop="1" x14ac:dyDescent="0.2">
      <c r="B75" s="117"/>
      <c r="C75" s="117"/>
      <c r="D75" s="117"/>
      <c r="E75" s="117"/>
      <c r="F75" s="117"/>
      <c r="G75" s="117"/>
      <c r="H75" s="117"/>
      <c r="I75" s="116"/>
      <c r="J75" s="117"/>
      <c r="K75" s="117"/>
      <c r="L75" s="117"/>
      <c r="M75" s="131"/>
      <c r="O75" s="117"/>
    </row>
    <row r="76" spans="1:15" ht="38.25" x14ac:dyDescent="0.2">
      <c r="A76" s="90" t="s">
        <v>53</v>
      </c>
      <c r="B76" s="90" t="s">
        <v>3</v>
      </c>
      <c r="C76" s="90" t="s">
        <v>4</v>
      </c>
      <c r="D76" s="90" t="s">
        <v>5</v>
      </c>
      <c r="E76" s="90" t="s">
        <v>6</v>
      </c>
      <c r="F76" s="90" t="s">
        <v>7</v>
      </c>
      <c r="G76" s="90" t="s">
        <v>93</v>
      </c>
      <c r="H76" s="90" t="s">
        <v>94</v>
      </c>
      <c r="I76" s="105" t="s">
        <v>95</v>
      </c>
      <c r="J76" s="106" t="s">
        <v>96</v>
      </c>
      <c r="K76" s="106" t="s">
        <v>97</v>
      </c>
      <c r="L76" s="106" t="s">
        <v>98</v>
      </c>
      <c r="M76" s="107" t="s">
        <v>99</v>
      </c>
      <c r="N76" s="90" t="s">
        <v>100</v>
      </c>
      <c r="O76" s="90" t="s">
        <v>101</v>
      </c>
    </row>
    <row r="77" spans="1:15" x14ac:dyDescent="0.2">
      <c r="A77" s="309" t="s">
        <v>15</v>
      </c>
      <c r="B77" s="309"/>
      <c r="C77" s="282">
        <f>VLOOKUP(B78,A$1:F$18,2,FALSE)</f>
        <v>41835</v>
      </c>
      <c r="D77" s="282">
        <f>DATE(YEAR(C77),IF(MONTH(C77)&lt;=3,3,IF(MONTH(C77)&lt;=6,6,IF(MONTH(C77)&lt;=9,9,12))),IF(OR(MONTH(C77)&lt;=3,MONTH(C77)&gt;=10),31,30))</f>
        <v>41912</v>
      </c>
      <c r="E77" s="283">
        <f>D77-C77+1</f>
        <v>78</v>
      </c>
      <c r="F77" s="284">
        <f>VLOOKUP(D77,'FERC Interest Rate'!$A:$B,2,TRUE)</f>
        <v>3.2500000000000001E-2</v>
      </c>
      <c r="G77" s="167">
        <f>VLOOKUP(B78,$A$1:$F$18,5,FALSE)</f>
        <v>2430</v>
      </c>
      <c r="H77" s="167">
        <f t="shared" ref="H77:H86" si="21">G77*F77*(E77/(DATE(YEAR(D77),12,31)-DATE(YEAR(D77),1,1)+1))</f>
        <v>16.876849315068498</v>
      </c>
      <c r="I77" s="291">
        <v>0</v>
      </c>
      <c r="J77" s="286">
        <v>0</v>
      </c>
      <c r="K77" s="286">
        <f t="shared" ref="K77:K103" si="22">+SUM(I77:J77)</f>
        <v>0</v>
      </c>
      <c r="L77" s="286">
        <v>0</v>
      </c>
      <c r="M77" s="287">
        <f t="shared" ref="M77:M103" si="23">+SUM(K77:L77)</f>
        <v>0</v>
      </c>
      <c r="N77" s="286">
        <f t="shared" ref="N77:N103" si="24">+G77+H77+J77</f>
        <v>2446.8768493150683</v>
      </c>
      <c r="O77" s="167">
        <f t="shared" ref="O77:O103" si="25">G77+H77-L77-I77</f>
        <v>2446.8768493150683</v>
      </c>
    </row>
    <row r="78" spans="1:15" x14ac:dyDescent="0.2">
      <c r="A78" s="275" t="s">
        <v>38</v>
      </c>
      <c r="B78" s="276" t="s">
        <v>54</v>
      </c>
      <c r="C78" s="282">
        <f>D77+1</f>
        <v>41913</v>
      </c>
      <c r="D78" s="282">
        <f>EOMONTH(D77,3)</f>
        <v>42004</v>
      </c>
      <c r="E78" s="283">
        <f t="shared" ref="E78:E103" si="26">D78-C78+1</f>
        <v>92</v>
      </c>
      <c r="F78" s="284">
        <f>VLOOKUP(D78,'FERC Interest Rate'!$A:$B,2,TRUE)</f>
        <v>3.2500000000000001E-2</v>
      </c>
      <c r="G78" s="167">
        <f t="shared" ref="G78:G103" si="27">O77</f>
        <v>2446.8768493150683</v>
      </c>
      <c r="H78" s="167">
        <f t="shared" si="21"/>
        <v>20.04427884781385</v>
      </c>
      <c r="I78" s="291">
        <v>0</v>
      </c>
      <c r="J78" s="286">
        <v>0</v>
      </c>
      <c r="K78" s="286">
        <f t="shared" si="22"/>
        <v>0</v>
      </c>
      <c r="L78" s="286">
        <v>0</v>
      </c>
      <c r="M78" s="287">
        <f t="shared" si="23"/>
        <v>0</v>
      </c>
      <c r="N78" s="286">
        <f t="shared" si="24"/>
        <v>2466.9211281628823</v>
      </c>
      <c r="O78" s="167">
        <f t="shared" si="25"/>
        <v>2466.9211281628823</v>
      </c>
    </row>
    <row r="79" spans="1:15" x14ac:dyDescent="0.2">
      <c r="A79" s="292"/>
      <c r="B79" s="283"/>
      <c r="C79" s="282">
        <f t="shared" ref="C79:C103" si="28">D78+1</f>
        <v>42005</v>
      </c>
      <c r="D79" s="282">
        <f t="shared" ref="D79:D105" si="29">EOMONTH(D78,3)</f>
        <v>42094</v>
      </c>
      <c r="E79" s="283">
        <f t="shared" si="26"/>
        <v>90</v>
      </c>
      <c r="F79" s="284">
        <f>VLOOKUP(D79,'FERC Interest Rate'!$A:$B,2,TRUE)</f>
        <v>3.2500000000000001E-2</v>
      </c>
      <c r="G79" s="167">
        <f t="shared" si="27"/>
        <v>2466.9211281628823</v>
      </c>
      <c r="H79" s="167">
        <f t="shared" si="21"/>
        <v>19.769162465414876</v>
      </c>
      <c r="I79" s="291">
        <v>0</v>
      </c>
      <c r="J79" s="286">
        <v>0</v>
      </c>
      <c r="K79" s="286">
        <f t="shared" si="22"/>
        <v>0</v>
      </c>
      <c r="L79" s="286">
        <v>0</v>
      </c>
      <c r="M79" s="287">
        <f t="shared" si="23"/>
        <v>0</v>
      </c>
      <c r="N79" s="286">
        <f t="shared" si="24"/>
        <v>2486.6902906282971</v>
      </c>
      <c r="O79" s="167">
        <f t="shared" si="25"/>
        <v>2486.6902906282971</v>
      </c>
    </row>
    <row r="80" spans="1:15" x14ac:dyDescent="0.2">
      <c r="A80" s="292"/>
      <c r="B80" s="283"/>
      <c r="C80" s="282">
        <f t="shared" si="28"/>
        <v>42095</v>
      </c>
      <c r="D80" s="282">
        <f t="shared" si="29"/>
        <v>42185</v>
      </c>
      <c r="E80" s="283">
        <f t="shared" si="26"/>
        <v>91</v>
      </c>
      <c r="F80" s="284">
        <f>VLOOKUP(D80,'FERC Interest Rate'!$A:$B,2,TRUE)</f>
        <v>3.2500000000000001E-2</v>
      </c>
      <c r="G80" s="167">
        <f t="shared" si="27"/>
        <v>2486.6902906282971</v>
      </c>
      <c r="H80" s="167">
        <f t="shared" si="21"/>
        <v>20.149004204200519</v>
      </c>
      <c r="I80" s="291">
        <v>0</v>
      </c>
      <c r="J80" s="286">
        <v>0</v>
      </c>
      <c r="K80" s="286">
        <f t="shared" si="22"/>
        <v>0</v>
      </c>
      <c r="L80" s="286">
        <v>0</v>
      </c>
      <c r="M80" s="287">
        <f t="shared" si="23"/>
        <v>0</v>
      </c>
      <c r="N80" s="286">
        <f t="shared" si="24"/>
        <v>2506.8392948324977</v>
      </c>
      <c r="O80" s="167">
        <f t="shared" si="25"/>
        <v>2506.8392948324977</v>
      </c>
    </row>
    <row r="81" spans="1:15" x14ac:dyDescent="0.2">
      <c r="A81" s="292"/>
      <c r="B81" s="283"/>
      <c r="C81" s="282">
        <f t="shared" si="28"/>
        <v>42186</v>
      </c>
      <c r="D81" s="282">
        <f t="shared" si="29"/>
        <v>42277</v>
      </c>
      <c r="E81" s="283">
        <f t="shared" si="26"/>
        <v>92</v>
      </c>
      <c r="F81" s="284">
        <f>VLOOKUP(D81,'FERC Interest Rate'!$A:$B,2,TRUE)</f>
        <v>3.2500000000000001E-2</v>
      </c>
      <c r="G81" s="167">
        <f t="shared" si="27"/>
        <v>2506.8392948324977</v>
      </c>
      <c r="H81" s="167">
        <f t="shared" si="21"/>
        <v>20.53547805903882</v>
      </c>
      <c r="I81" s="291">
        <v>0</v>
      </c>
      <c r="J81" s="286">
        <v>0</v>
      </c>
      <c r="K81" s="286">
        <f t="shared" si="22"/>
        <v>0</v>
      </c>
      <c r="L81" s="286">
        <v>0</v>
      </c>
      <c r="M81" s="287">
        <f t="shared" si="23"/>
        <v>0</v>
      </c>
      <c r="N81" s="286">
        <f t="shared" si="24"/>
        <v>2527.3747728915364</v>
      </c>
      <c r="O81" s="167">
        <f t="shared" si="25"/>
        <v>2527.3747728915364</v>
      </c>
    </row>
    <row r="82" spans="1:15" x14ac:dyDescent="0.2">
      <c r="A82" s="292"/>
      <c r="B82" s="283"/>
      <c r="C82" s="282">
        <f t="shared" si="28"/>
        <v>42278</v>
      </c>
      <c r="D82" s="282">
        <f t="shared" si="29"/>
        <v>42369</v>
      </c>
      <c r="E82" s="283">
        <f t="shared" si="26"/>
        <v>92</v>
      </c>
      <c r="F82" s="284">
        <f>VLOOKUP(D82,'FERC Interest Rate'!$A:$B,2,TRUE)</f>
        <v>3.2500000000000001E-2</v>
      </c>
      <c r="G82" s="167">
        <f t="shared" si="27"/>
        <v>2527.3747728915364</v>
      </c>
      <c r="H82" s="167">
        <f t="shared" si="21"/>
        <v>20.703700194371766</v>
      </c>
      <c r="I82" s="291">
        <v>0</v>
      </c>
      <c r="J82" s="286">
        <v>0</v>
      </c>
      <c r="K82" s="286">
        <f t="shared" si="22"/>
        <v>0</v>
      </c>
      <c r="L82" s="286">
        <v>0</v>
      </c>
      <c r="M82" s="287">
        <f t="shared" si="23"/>
        <v>0</v>
      </c>
      <c r="N82" s="286">
        <f t="shared" si="24"/>
        <v>2548.0784730859082</v>
      </c>
      <c r="O82" s="167">
        <f t="shared" si="25"/>
        <v>2548.0784730859082</v>
      </c>
    </row>
    <row r="83" spans="1:15" x14ac:dyDescent="0.2">
      <c r="A83" s="292"/>
      <c r="B83" s="283"/>
      <c r="C83" s="282">
        <f t="shared" si="28"/>
        <v>42370</v>
      </c>
      <c r="D83" s="282">
        <f t="shared" si="29"/>
        <v>42460</v>
      </c>
      <c r="E83" s="283">
        <f t="shared" si="26"/>
        <v>91</v>
      </c>
      <c r="F83" s="284">
        <f>VLOOKUP(D83,'FERC Interest Rate'!$A:$B,2,TRUE)</f>
        <v>3.2500000000000001E-2</v>
      </c>
      <c r="G83" s="167">
        <f t="shared" si="27"/>
        <v>2548.0784730859082</v>
      </c>
      <c r="H83" s="167">
        <f t="shared" si="21"/>
        <v>20.590005694403207</v>
      </c>
      <c r="I83" s="291">
        <v>0</v>
      </c>
      <c r="J83" s="286">
        <v>0</v>
      </c>
      <c r="K83" s="286">
        <f t="shared" si="22"/>
        <v>0</v>
      </c>
      <c r="L83" s="286">
        <v>0</v>
      </c>
      <c r="M83" s="287">
        <f t="shared" si="23"/>
        <v>0</v>
      </c>
      <c r="N83" s="286">
        <f t="shared" si="24"/>
        <v>2568.6684787803115</v>
      </c>
      <c r="O83" s="167">
        <f t="shared" si="25"/>
        <v>2568.6684787803115</v>
      </c>
    </row>
    <row r="84" spans="1:15" x14ac:dyDescent="0.2">
      <c r="A84" s="96"/>
      <c r="B84" s="81"/>
      <c r="C84" s="82">
        <f t="shared" si="28"/>
        <v>42461</v>
      </c>
      <c r="D84" s="82">
        <f t="shared" si="29"/>
        <v>42551</v>
      </c>
      <c r="E84" s="81">
        <f t="shared" si="26"/>
        <v>91</v>
      </c>
      <c r="F84" s="83">
        <f>VLOOKUP(D84,'FERC Interest Rate'!$A:$B,2,TRUE)</f>
        <v>3.4599999999999999E-2</v>
      </c>
      <c r="G84" s="84">
        <f t="shared" si="27"/>
        <v>2568.6684787803115</v>
      </c>
      <c r="H84" s="167">
        <f t="shared" si="21"/>
        <v>22.097567137398055</v>
      </c>
      <c r="I84" s="173">
        <v>0</v>
      </c>
      <c r="J84" s="286">
        <v>0</v>
      </c>
      <c r="K84" s="85">
        <f t="shared" si="22"/>
        <v>0</v>
      </c>
      <c r="L84" s="85">
        <v>0</v>
      </c>
      <c r="M84" s="110">
        <f t="shared" si="23"/>
        <v>0</v>
      </c>
      <c r="N84" s="85">
        <f t="shared" si="24"/>
        <v>2590.7660459177096</v>
      </c>
      <c r="O84" s="84">
        <f t="shared" si="25"/>
        <v>2590.7660459177096</v>
      </c>
    </row>
    <row r="85" spans="1:15" x14ac:dyDescent="0.2">
      <c r="A85" s="96"/>
      <c r="B85" s="81"/>
      <c r="C85" s="82">
        <f t="shared" si="28"/>
        <v>42552</v>
      </c>
      <c r="D85" s="82">
        <f t="shared" si="29"/>
        <v>42643</v>
      </c>
      <c r="E85" s="81">
        <f t="shared" si="26"/>
        <v>92</v>
      </c>
      <c r="F85" s="83">
        <f>VLOOKUP(D85,'FERC Interest Rate'!$A:$B,2,TRUE)</f>
        <v>3.5000000000000003E-2</v>
      </c>
      <c r="G85" s="84">
        <f t="shared" si="27"/>
        <v>2590.7660459177096</v>
      </c>
      <c r="H85" s="84">
        <f t="shared" si="21"/>
        <v>22.793078327472749</v>
      </c>
      <c r="I85" s="109">
        <v>0</v>
      </c>
      <c r="J85" s="85">
        <v>0</v>
      </c>
      <c r="K85" s="85">
        <f t="shared" si="22"/>
        <v>0</v>
      </c>
      <c r="L85" s="85">
        <v>0</v>
      </c>
      <c r="M85" s="110">
        <f t="shared" si="23"/>
        <v>0</v>
      </c>
      <c r="N85" s="85">
        <f t="shared" si="24"/>
        <v>2613.5591242451824</v>
      </c>
      <c r="O85" s="84">
        <f t="shared" si="25"/>
        <v>2613.5591242451824</v>
      </c>
    </row>
    <row r="86" spans="1:15" x14ac:dyDescent="0.2">
      <c r="A86" s="17" t="s">
        <v>54</v>
      </c>
      <c r="B86" s="81" t="str">
        <f t="shared" ref="B86:B100" si="30">+IF(MONTH(C86)&lt;4,"Q1",IF(MONTH(C86)&lt;7,"Q2",IF(MONTH(C86)&lt;10,"Q3","Q4")))&amp;"/"&amp;YEAR(C86)</f>
        <v>Q4/2016</v>
      </c>
      <c r="C86" s="82">
        <f t="shared" si="28"/>
        <v>42644</v>
      </c>
      <c r="D86" s="82">
        <f t="shared" si="29"/>
        <v>42735</v>
      </c>
      <c r="E86" s="81">
        <f t="shared" si="26"/>
        <v>92</v>
      </c>
      <c r="F86" s="83">
        <f>VLOOKUP(D86,'FERC Interest Rate'!$A:$B,2,TRUE)</f>
        <v>3.5000000000000003E-2</v>
      </c>
      <c r="G86" s="84">
        <f t="shared" si="27"/>
        <v>2613.5591242451824</v>
      </c>
      <c r="H86" s="84">
        <f t="shared" si="21"/>
        <v>22.993607595818276</v>
      </c>
      <c r="I86" s="109">
        <f t="shared" ref="I86:I105" si="31">(SUM($H$77:$H$106)/20)</f>
        <v>10.32763659205003</v>
      </c>
      <c r="J86" s="85">
        <v>0</v>
      </c>
      <c r="K86" s="85">
        <f t="shared" si="22"/>
        <v>10.32763659205003</v>
      </c>
      <c r="L86" s="85">
        <f t="shared" ref="L86:L105" si="32">VLOOKUP($B$78,A$1:F$18,5,FALSE)/20</f>
        <v>121.5</v>
      </c>
      <c r="M86" s="110">
        <f t="shared" si="23"/>
        <v>131.82763659205003</v>
      </c>
      <c r="N86" s="85">
        <f t="shared" si="24"/>
        <v>2636.5527318410004</v>
      </c>
      <c r="O86" s="84">
        <f t="shared" si="25"/>
        <v>2504.7250952489503</v>
      </c>
    </row>
    <row r="87" spans="1:15" x14ac:dyDescent="0.2">
      <c r="A87" s="17" t="s">
        <v>55</v>
      </c>
      <c r="B87" s="81" t="str">
        <f t="shared" si="30"/>
        <v>Q1/2017</v>
      </c>
      <c r="C87" s="82">
        <f t="shared" si="28"/>
        <v>42736</v>
      </c>
      <c r="D87" s="82">
        <f t="shared" si="29"/>
        <v>42825</v>
      </c>
      <c r="E87" s="81">
        <f t="shared" si="26"/>
        <v>90</v>
      </c>
      <c r="F87" s="83">
        <f>VLOOKUP(D87,'FERC Interest Rate'!$A:$B,2,TRUE)</f>
        <v>3.5000000000000003E-2</v>
      </c>
      <c r="G87" s="84">
        <f t="shared" si="27"/>
        <v>2504.7250952489503</v>
      </c>
      <c r="H87" s="84">
        <v>0</v>
      </c>
      <c r="I87" s="109">
        <f t="shared" si="31"/>
        <v>10.32763659205003</v>
      </c>
      <c r="J87" s="85">
        <f>G87*F87*(E87/(DATE(YEAR(D87),12,31)-DATE(YEAR(D87),1,1)+1))</f>
        <v>21.616120685025187</v>
      </c>
      <c r="K87" s="85">
        <f t="shared" si="22"/>
        <v>31.943757277075218</v>
      </c>
      <c r="L87" s="85">
        <f t="shared" si="32"/>
        <v>121.5</v>
      </c>
      <c r="M87" s="110">
        <f t="shared" si="23"/>
        <v>153.44375727707521</v>
      </c>
      <c r="N87" s="85">
        <f t="shared" si="24"/>
        <v>2526.3412159339755</v>
      </c>
      <c r="O87" s="84">
        <f t="shared" si="25"/>
        <v>2372.8974586569002</v>
      </c>
    </row>
    <row r="88" spans="1:15" x14ac:dyDescent="0.2">
      <c r="A88" s="17" t="s">
        <v>56</v>
      </c>
      <c r="B88" s="81" t="str">
        <f t="shared" si="30"/>
        <v>Q2/2017</v>
      </c>
      <c r="C88" s="82">
        <f t="shared" si="28"/>
        <v>42826</v>
      </c>
      <c r="D88" s="82">
        <f t="shared" si="29"/>
        <v>42916</v>
      </c>
      <c r="E88" s="81">
        <f t="shared" si="26"/>
        <v>91</v>
      </c>
      <c r="F88" s="83">
        <f>VLOOKUP(D88,'FERC Interest Rate'!$A:$B,2,TRUE)</f>
        <v>3.7100000000000001E-2</v>
      </c>
      <c r="G88" s="84">
        <f t="shared" si="27"/>
        <v>2372.8974586569002</v>
      </c>
      <c r="H88" s="84">
        <v>0</v>
      </c>
      <c r="I88" s="109">
        <f t="shared" si="31"/>
        <v>10.32763659205003</v>
      </c>
      <c r="J88" s="85">
        <f t="shared" ref="J88:J103" si="33">G88*F88*(E88/(DATE(YEAR(D88),12,31)-DATE(YEAR(D88),1,1)+1))</f>
        <v>21.948326329237151</v>
      </c>
      <c r="K88" s="129">
        <f t="shared" si="22"/>
        <v>32.275962921287181</v>
      </c>
      <c r="L88" s="85">
        <f t="shared" si="32"/>
        <v>121.5</v>
      </c>
      <c r="M88" s="130">
        <f t="shared" si="23"/>
        <v>153.77596292128717</v>
      </c>
      <c r="N88" s="8">
        <f t="shared" si="24"/>
        <v>2394.8457849861375</v>
      </c>
      <c r="O88" s="84">
        <f t="shared" si="25"/>
        <v>2241.0698220648501</v>
      </c>
    </row>
    <row r="89" spans="1:15" x14ac:dyDescent="0.2">
      <c r="A89" s="17" t="s">
        <v>57</v>
      </c>
      <c r="B89" s="81" t="str">
        <f t="shared" si="30"/>
        <v>Q3/2017</v>
      </c>
      <c r="C89" s="82">
        <f t="shared" si="28"/>
        <v>42917</v>
      </c>
      <c r="D89" s="82">
        <f t="shared" si="29"/>
        <v>43008</v>
      </c>
      <c r="E89" s="81">
        <f t="shared" si="26"/>
        <v>92</v>
      </c>
      <c r="F89" s="83">
        <f>VLOOKUP(D89,'FERC Interest Rate'!$A:$B,2,TRUE)</f>
        <v>3.9600000000000003E-2</v>
      </c>
      <c r="G89" s="84">
        <f t="shared" si="27"/>
        <v>2241.0698220648501</v>
      </c>
      <c r="H89" s="84">
        <v>0</v>
      </c>
      <c r="I89" s="109">
        <f t="shared" si="31"/>
        <v>10.32763659205003</v>
      </c>
      <c r="J89" s="85">
        <f t="shared" si="33"/>
        <v>22.368946782867567</v>
      </c>
      <c r="K89" s="129">
        <f t="shared" si="22"/>
        <v>32.696583374917594</v>
      </c>
      <c r="L89" s="85">
        <f t="shared" si="32"/>
        <v>121.5</v>
      </c>
      <c r="M89" s="130">
        <f t="shared" si="23"/>
        <v>154.19658337491759</v>
      </c>
      <c r="N89" s="8">
        <f t="shared" si="24"/>
        <v>2263.4387688477177</v>
      </c>
      <c r="O89" s="84">
        <f t="shared" si="25"/>
        <v>2109.2421854728</v>
      </c>
    </row>
    <row r="90" spans="1:15" x14ac:dyDescent="0.2">
      <c r="A90" s="17" t="s">
        <v>58</v>
      </c>
      <c r="B90" s="81" t="str">
        <f t="shared" si="30"/>
        <v>Q4/2017</v>
      </c>
      <c r="C90" s="82">
        <f t="shared" si="28"/>
        <v>43009</v>
      </c>
      <c r="D90" s="82">
        <f t="shared" si="29"/>
        <v>43100</v>
      </c>
      <c r="E90" s="81">
        <f t="shared" si="26"/>
        <v>92</v>
      </c>
      <c r="F90" s="83">
        <f>VLOOKUP(D90,'FERC Interest Rate'!$A:$B,2,TRUE)</f>
        <v>4.2099999999999999E-2</v>
      </c>
      <c r="G90" s="84">
        <f t="shared" si="27"/>
        <v>2109.2421854728</v>
      </c>
      <c r="H90" s="84">
        <v>0</v>
      </c>
      <c r="I90" s="109">
        <f t="shared" si="31"/>
        <v>10.32763659205003</v>
      </c>
      <c r="J90" s="85">
        <f t="shared" si="33"/>
        <v>22.382237898008903</v>
      </c>
      <c r="K90" s="129">
        <f t="shared" si="22"/>
        <v>32.709874490058937</v>
      </c>
      <c r="L90" s="85">
        <f t="shared" si="32"/>
        <v>121.5</v>
      </c>
      <c r="M90" s="130">
        <f t="shared" si="23"/>
        <v>154.20987449005895</v>
      </c>
      <c r="N90" s="8">
        <f t="shared" si="24"/>
        <v>2131.6244233708089</v>
      </c>
      <c r="O90" s="84">
        <f t="shared" si="25"/>
        <v>1977.4145488807499</v>
      </c>
    </row>
    <row r="91" spans="1:15" x14ac:dyDescent="0.2">
      <c r="A91" s="17" t="s">
        <v>59</v>
      </c>
      <c r="B91" s="81" t="str">
        <f t="shared" si="30"/>
        <v>Q1/2018</v>
      </c>
      <c r="C91" s="82">
        <f t="shared" si="28"/>
        <v>43101</v>
      </c>
      <c r="D91" s="82">
        <f t="shared" si="29"/>
        <v>43190</v>
      </c>
      <c r="E91" s="81">
        <f t="shared" si="26"/>
        <v>90</v>
      </c>
      <c r="F91" s="83">
        <f>VLOOKUP(D91,'FERC Interest Rate'!$A:$B,2,TRUE)</f>
        <v>4.2500000000000003E-2</v>
      </c>
      <c r="G91" s="84">
        <f t="shared" si="27"/>
        <v>1977.4145488807499</v>
      </c>
      <c r="H91" s="84">
        <v>0</v>
      </c>
      <c r="I91" s="109">
        <f t="shared" si="31"/>
        <v>10.32763659205003</v>
      </c>
      <c r="J91" s="85">
        <f t="shared" si="33"/>
        <v>20.722220957448954</v>
      </c>
      <c r="K91" s="129">
        <f t="shared" si="22"/>
        <v>31.049857549498984</v>
      </c>
      <c r="L91" s="85">
        <f t="shared" si="32"/>
        <v>121.5</v>
      </c>
      <c r="M91" s="130">
        <f t="shared" si="23"/>
        <v>152.549857549499</v>
      </c>
      <c r="N91" s="8">
        <f t="shared" si="24"/>
        <v>1998.1367698381989</v>
      </c>
      <c r="O91" s="84">
        <f t="shared" si="25"/>
        <v>1845.5869122886998</v>
      </c>
    </row>
    <row r="92" spans="1:15" x14ac:dyDescent="0.2">
      <c r="A92" s="17" t="s">
        <v>60</v>
      </c>
      <c r="B92" s="81" t="str">
        <f t="shared" si="30"/>
        <v>Q2/2018</v>
      </c>
      <c r="C92" s="82">
        <f t="shared" si="28"/>
        <v>43191</v>
      </c>
      <c r="D92" s="82">
        <f t="shared" si="29"/>
        <v>43281</v>
      </c>
      <c r="E92" s="81">
        <f t="shared" si="26"/>
        <v>91</v>
      </c>
      <c r="F92" s="83">
        <f>VLOOKUP(D92,'FERC Interest Rate'!$A:$B,2,TRUE)</f>
        <v>4.4699999999999997E-2</v>
      </c>
      <c r="G92" s="84">
        <f t="shared" si="27"/>
        <v>1845.5869122886998</v>
      </c>
      <c r="H92" s="84">
        <v>0</v>
      </c>
      <c r="I92" s="109">
        <f t="shared" si="31"/>
        <v>10.32763659205003</v>
      </c>
      <c r="J92" s="85">
        <f t="shared" si="33"/>
        <v>20.567928446895188</v>
      </c>
      <c r="K92" s="129">
        <f t="shared" si="22"/>
        <v>30.895565038945218</v>
      </c>
      <c r="L92" s="85">
        <f t="shared" si="32"/>
        <v>121.5</v>
      </c>
      <c r="M92" s="130">
        <f t="shared" si="23"/>
        <v>152.39556503894522</v>
      </c>
      <c r="N92" s="8">
        <f t="shared" si="24"/>
        <v>1866.1548407355949</v>
      </c>
      <c r="O92" s="84">
        <f t="shared" si="25"/>
        <v>1713.7592756966496</v>
      </c>
    </row>
    <row r="93" spans="1:15" x14ac:dyDescent="0.2">
      <c r="A93" s="17" t="s">
        <v>61</v>
      </c>
      <c r="B93" s="81" t="str">
        <f t="shared" si="30"/>
        <v>Q3/2018</v>
      </c>
      <c r="C93" s="82">
        <f t="shared" si="28"/>
        <v>43282</v>
      </c>
      <c r="D93" s="82">
        <f t="shared" si="29"/>
        <v>43373</v>
      </c>
      <c r="E93" s="81">
        <f t="shared" si="26"/>
        <v>92</v>
      </c>
      <c r="F93" s="83">
        <f>VLOOKUP(D93,'FERC Interest Rate'!$A:$B,2,TRUE)</f>
        <v>5.011111E-2</v>
      </c>
      <c r="G93" s="84">
        <f t="shared" si="27"/>
        <v>1713.7592756966496</v>
      </c>
      <c r="H93" s="84">
        <v>0</v>
      </c>
      <c r="I93" s="109">
        <f t="shared" si="31"/>
        <v>10.32763659205003</v>
      </c>
      <c r="J93" s="85">
        <f t="shared" si="33"/>
        <v>21.646057318279105</v>
      </c>
      <c r="K93" s="129">
        <f t="shared" si="22"/>
        <v>31.973693910329136</v>
      </c>
      <c r="L93" s="85">
        <f t="shared" si="32"/>
        <v>121.5</v>
      </c>
      <c r="M93" s="130">
        <f t="shared" si="23"/>
        <v>153.47369391032913</v>
      </c>
      <c r="N93" s="8">
        <f t="shared" si="24"/>
        <v>1735.4053330149288</v>
      </c>
      <c r="O93" s="84">
        <f t="shared" si="25"/>
        <v>1581.9316391045995</v>
      </c>
    </row>
    <row r="94" spans="1:15" x14ac:dyDescent="0.2">
      <c r="A94" s="17" t="s">
        <v>62</v>
      </c>
      <c r="B94" s="81" t="str">
        <f t="shared" si="30"/>
        <v>Q4/2018</v>
      </c>
      <c r="C94" s="82">
        <f t="shared" si="28"/>
        <v>43374</v>
      </c>
      <c r="D94" s="82">
        <f t="shared" si="29"/>
        <v>43465</v>
      </c>
      <c r="E94" s="81">
        <f t="shared" si="26"/>
        <v>92</v>
      </c>
      <c r="F94" s="83">
        <f>VLOOKUP(D94,'FERC Interest Rate'!$A:$B,2,TRUE)</f>
        <v>5.2822580000000001E-2</v>
      </c>
      <c r="G94" s="84">
        <f t="shared" si="27"/>
        <v>1581.9316391045995</v>
      </c>
      <c r="H94" s="84">
        <v>0</v>
      </c>
      <c r="I94" s="109">
        <f t="shared" si="31"/>
        <v>10.32763659205003</v>
      </c>
      <c r="J94" s="85">
        <f t="shared" si="33"/>
        <v>21.062129785272091</v>
      </c>
      <c r="K94" s="129">
        <f t="shared" si="22"/>
        <v>31.389766377322122</v>
      </c>
      <c r="L94" s="85">
        <f t="shared" si="32"/>
        <v>121.5</v>
      </c>
      <c r="M94" s="130">
        <f t="shared" si="23"/>
        <v>152.88976637732213</v>
      </c>
      <c r="N94" s="8">
        <f t="shared" si="24"/>
        <v>1602.9937688898717</v>
      </c>
      <c r="O94" s="84">
        <f t="shared" si="25"/>
        <v>1450.1040025125494</v>
      </c>
    </row>
    <row r="95" spans="1:15" x14ac:dyDescent="0.2">
      <c r="A95" s="17" t="s">
        <v>63</v>
      </c>
      <c r="B95" s="81" t="str">
        <f t="shared" si="30"/>
        <v>Q1/2019</v>
      </c>
      <c r="C95" s="82">
        <f t="shared" si="28"/>
        <v>43466</v>
      </c>
      <c r="D95" s="82">
        <f t="shared" si="29"/>
        <v>43555</v>
      </c>
      <c r="E95" s="81">
        <f t="shared" si="26"/>
        <v>90</v>
      </c>
      <c r="F95" s="83">
        <f>VLOOKUP(D95,'FERC Interest Rate'!$A:$B,2,TRUE)</f>
        <v>5.5296770000000002E-2</v>
      </c>
      <c r="G95" s="84">
        <f t="shared" si="27"/>
        <v>1450.1040025125494</v>
      </c>
      <c r="H95" s="84">
        <v>0</v>
      </c>
      <c r="I95" s="109">
        <f t="shared" si="31"/>
        <v>10.32763659205003</v>
      </c>
      <c r="J95" s="85">
        <f t="shared" si="33"/>
        <v>19.771907055538158</v>
      </c>
      <c r="K95" s="129">
        <f t="shared" si="22"/>
        <v>30.099543647588188</v>
      </c>
      <c r="L95" s="85">
        <f t="shared" si="32"/>
        <v>121.5</v>
      </c>
      <c r="M95" s="130">
        <f t="shared" si="23"/>
        <v>151.59954364758818</v>
      </c>
      <c r="N95" s="8">
        <f t="shared" si="24"/>
        <v>1469.8759095680875</v>
      </c>
      <c r="O95" s="84">
        <f t="shared" si="25"/>
        <v>1318.2763659204993</v>
      </c>
    </row>
    <row r="96" spans="1:15" x14ac:dyDescent="0.2">
      <c r="A96" s="17" t="s">
        <v>64</v>
      </c>
      <c r="B96" s="81" t="str">
        <f t="shared" si="30"/>
        <v>Q2/2019</v>
      </c>
      <c r="C96" s="82">
        <f t="shared" si="28"/>
        <v>43556</v>
      </c>
      <c r="D96" s="82">
        <f t="shared" si="29"/>
        <v>43646</v>
      </c>
      <c r="E96" s="81">
        <f t="shared" si="26"/>
        <v>91</v>
      </c>
      <c r="F96" s="83">
        <f>VLOOKUP(D96,'FERC Interest Rate'!$A:$B,2,TRUE)</f>
        <v>5.7999999999999996E-2</v>
      </c>
      <c r="G96" s="84">
        <f t="shared" si="27"/>
        <v>1318.2763659204993</v>
      </c>
      <c r="H96" s="84">
        <v>0</v>
      </c>
      <c r="I96" s="109">
        <f t="shared" si="31"/>
        <v>10.32763659205003</v>
      </c>
      <c r="J96" s="85">
        <f t="shared" si="33"/>
        <v>19.06263742281752</v>
      </c>
      <c r="K96" s="129">
        <f t="shared" si="22"/>
        <v>29.390274014867551</v>
      </c>
      <c r="L96" s="85">
        <f t="shared" si="32"/>
        <v>121.5</v>
      </c>
      <c r="M96" s="130">
        <f t="shared" si="23"/>
        <v>150.89027401486754</v>
      </c>
      <c r="N96" s="8">
        <f t="shared" si="24"/>
        <v>1337.3390033433168</v>
      </c>
      <c r="O96" s="84">
        <f t="shared" si="25"/>
        <v>1186.4487293284492</v>
      </c>
    </row>
    <row r="97" spans="1:15" x14ac:dyDescent="0.2">
      <c r="A97" s="17" t="s">
        <v>65</v>
      </c>
      <c r="B97" s="81" t="str">
        <f t="shared" si="30"/>
        <v>Q3/2019</v>
      </c>
      <c r="C97" s="82">
        <f t="shared" si="28"/>
        <v>43647</v>
      </c>
      <c r="D97" s="82">
        <f t="shared" si="29"/>
        <v>43738</v>
      </c>
      <c r="E97" s="81">
        <f t="shared" si="26"/>
        <v>92</v>
      </c>
      <c r="F97" s="83">
        <f>VLOOKUP(D97,'FERC Interest Rate'!$A:$B,2,TRUE)</f>
        <v>0.06</v>
      </c>
      <c r="G97" s="84">
        <f t="shared" si="27"/>
        <v>1186.4487293284492</v>
      </c>
      <c r="H97" s="84">
        <v>0</v>
      </c>
      <c r="I97" s="109">
        <f t="shared" si="31"/>
        <v>10.32763659205003</v>
      </c>
      <c r="J97" s="85">
        <f t="shared" si="33"/>
        <v>17.943005440802846</v>
      </c>
      <c r="K97" s="129">
        <f t="shared" si="22"/>
        <v>28.270642032852876</v>
      </c>
      <c r="L97" s="85">
        <f t="shared" si="32"/>
        <v>121.5</v>
      </c>
      <c r="M97" s="130">
        <f t="shared" si="23"/>
        <v>149.77064203285289</v>
      </c>
      <c r="N97" s="8">
        <f t="shared" si="24"/>
        <v>1204.391734769252</v>
      </c>
      <c r="O97" s="84">
        <f t="shared" si="25"/>
        <v>1054.6210927363991</v>
      </c>
    </row>
    <row r="98" spans="1:15" x14ac:dyDescent="0.2">
      <c r="A98" s="17" t="s">
        <v>66</v>
      </c>
      <c r="B98" s="81" t="str">
        <f t="shared" si="30"/>
        <v>Q4/2019</v>
      </c>
      <c r="C98" s="82">
        <f t="shared" si="28"/>
        <v>43739</v>
      </c>
      <c r="D98" s="82">
        <f t="shared" si="29"/>
        <v>43830</v>
      </c>
      <c r="E98" s="81">
        <f t="shared" si="26"/>
        <v>92</v>
      </c>
      <c r="F98" s="83">
        <f>VLOOKUP(D98,'FERC Interest Rate'!$A:$B,2,TRUE)</f>
        <v>6.0349460000000001E-2</v>
      </c>
      <c r="G98" s="84">
        <f t="shared" si="27"/>
        <v>1054.6210927363991</v>
      </c>
      <c r="H98" s="84">
        <v>0</v>
      </c>
      <c r="I98" s="109">
        <f t="shared" si="31"/>
        <v>10.32763659205003</v>
      </c>
      <c r="J98" s="85">
        <f t="shared" si="33"/>
        <v>16.042232431548349</v>
      </c>
      <c r="K98" s="129">
        <f t="shared" si="22"/>
        <v>26.36986902359838</v>
      </c>
      <c r="L98" s="85">
        <f t="shared" si="32"/>
        <v>121.5</v>
      </c>
      <c r="M98" s="130">
        <f t="shared" si="23"/>
        <v>147.86986902359837</v>
      </c>
      <c r="N98" s="8">
        <f t="shared" si="24"/>
        <v>1070.6633251679475</v>
      </c>
      <c r="O98" s="84">
        <f t="shared" si="25"/>
        <v>922.79345614434908</v>
      </c>
    </row>
    <row r="99" spans="1:15" x14ac:dyDescent="0.2">
      <c r="A99" s="17" t="s">
        <v>67</v>
      </c>
      <c r="B99" s="81" t="str">
        <f t="shared" si="30"/>
        <v>Q1/2020</v>
      </c>
      <c r="C99" s="82">
        <f t="shared" si="28"/>
        <v>43831</v>
      </c>
      <c r="D99" s="82">
        <f t="shared" si="29"/>
        <v>43921</v>
      </c>
      <c r="E99" s="81">
        <f t="shared" si="26"/>
        <v>91</v>
      </c>
      <c r="F99" s="83">
        <f>VLOOKUP(D99,'FERC Interest Rate'!$A:$B,2,TRUE)</f>
        <v>6.2501040000000008E-2</v>
      </c>
      <c r="G99" s="84">
        <f t="shared" si="27"/>
        <v>922.79345614434908</v>
      </c>
      <c r="H99" s="84">
        <v>0</v>
      </c>
      <c r="I99" s="109">
        <f t="shared" si="31"/>
        <v>10.32763659205003</v>
      </c>
      <c r="J99" s="85">
        <f t="shared" si="33"/>
        <v>14.340095942605672</v>
      </c>
      <c r="K99" s="129">
        <f t="shared" si="22"/>
        <v>24.667732534655702</v>
      </c>
      <c r="L99" s="85">
        <f t="shared" si="32"/>
        <v>121.5</v>
      </c>
      <c r="M99" s="130">
        <f t="shared" si="23"/>
        <v>146.1677325346557</v>
      </c>
      <c r="N99" s="8">
        <f t="shared" si="24"/>
        <v>937.13355208695475</v>
      </c>
      <c r="O99" s="84">
        <f t="shared" si="25"/>
        <v>790.96581955229908</v>
      </c>
    </row>
    <row r="100" spans="1:15" x14ac:dyDescent="0.2">
      <c r="A100" s="17" t="s">
        <v>68</v>
      </c>
      <c r="B100" s="81" t="str">
        <f t="shared" si="30"/>
        <v>Q2/2020</v>
      </c>
      <c r="C100" s="82">
        <f t="shared" si="28"/>
        <v>43922</v>
      </c>
      <c r="D100" s="82">
        <f t="shared" si="29"/>
        <v>44012</v>
      </c>
      <c r="E100" s="81">
        <f t="shared" si="26"/>
        <v>91</v>
      </c>
      <c r="F100" s="83">
        <f>VLOOKUP(D100,'FERC Interest Rate'!$A:$B,2,TRUE)</f>
        <v>6.3055559999999997E-2</v>
      </c>
      <c r="G100" s="84">
        <f t="shared" si="27"/>
        <v>790.96581955229908</v>
      </c>
      <c r="H100" s="84">
        <v>0</v>
      </c>
      <c r="I100" s="109">
        <f t="shared" si="31"/>
        <v>10.32763659205003</v>
      </c>
      <c r="J100" s="85">
        <f t="shared" si="33"/>
        <v>12.400563210487306</v>
      </c>
      <c r="K100" s="129">
        <f t="shared" si="22"/>
        <v>22.728199802537336</v>
      </c>
      <c r="L100" s="85">
        <f t="shared" si="32"/>
        <v>121.5</v>
      </c>
      <c r="M100" s="130">
        <f t="shared" si="23"/>
        <v>144.22819980253735</v>
      </c>
      <c r="N100" s="8">
        <f t="shared" si="24"/>
        <v>803.36638276278643</v>
      </c>
      <c r="O100" s="84">
        <f t="shared" si="25"/>
        <v>659.13818296024908</v>
      </c>
    </row>
    <row r="101" spans="1:15" x14ac:dyDescent="0.2">
      <c r="A101" s="17" t="s">
        <v>69</v>
      </c>
      <c r="B101" s="81" t="str">
        <f>+IF(MONTH(C101)&lt;4,"Q1",IF(MONTH(C101)&lt;7,"Q2",IF(MONTH(C101)&lt;10,"Q3","Q4")))&amp;"/"&amp;YEAR(C101)</f>
        <v>Q3/2020</v>
      </c>
      <c r="C101" s="82">
        <f t="shared" si="28"/>
        <v>44013</v>
      </c>
      <c r="D101" s="82">
        <f t="shared" si="29"/>
        <v>44104</v>
      </c>
      <c r="E101" s="81">
        <f t="shared" si="26"/>
        <v>92</v>
      </c>
      <c r="F101" s="83">
        <f>VLOOKUP(D101,'FERC Interest Rate'!$A:$B,2,TRUE)</f>
        <v>6.5000000000000002E-2</v>
      </c>
      <c r="G101" s="84">
        <f t="shared" si="27"/>
        <v>659.13818296024908</v>
      </c>
      <c r="H101" s="84">
        <v>0</v>
      </c>
      <c r="I101" s="109">
        <f t="shared" si="31"/>
        <v>10.32763659205003</v>
      </c>
      <c r="J101" s="85">
        <f t="shared" si="33"/>
        <v>10.769525503011719</v>
      </c>
      <c r="K101" s="129">
        <f t="shared" si="22"/>
        <v>21.097162095061748</v>
      </c>
      <c r="L101" s="85">
        <f t="shared" si="32"/>
        <v>121.5</v>
      </c>
      <c r="M101" s="130">
        <f t="shared" si="23"/>
        <v>142.59716209506175</v>
      </c>
      <c r="N101" s="8">
        <f t="shared" si="24"/>
        <v>669.90770846326075</v>
      </c>
      <c r="O101" s="84">
        <f t="shared" si="25"/>
        <v>527.31054636819908</v>
      </c>
    </row>
    <row r="102" spans="1:15" x14ac:dyDescent="0.2">
      <c r="A102" s="17" t="s">
        <v>70</v>
      </c>
      <c r="B102" s="81" t="str">
        <f>+IF(MONTH(C102)&lt;4,"Q1",IF(MONTH(C102)&lt;7,"Q2",IF(MONTH(C102)&lt;10,"Q3","Q4")))&amp;"/"&amp;YEAR(C102)</f>
        <v>Q4/2020</v>
      </c>
      <c r="C102" s="82">
        <f t="shared" si="28"/>
        <v>44105</v>
      </c>
      <c r="D102" s="82">
        <f t="shared" si="29"/>
        <v>44196</v>
      </c>
      <c r="E102" s="81">
        <f t="shared" si="26"/>
        <v>92</v>
      </c>
      <c r="F102" s="83">
        <f>VLOOKUP(D102,'FERC Interest Rate'!$A:$B,2,TRUE)</f>
        <v>6.5000000000000002E-2</v>
      </c>
      <c r="G102" s="84">
        <f t="shared" si="27"/>
        <v>527.31054636819908</v>
      </c>
      <c r="H102" s="84">
        <v>0</v>
      </c>
      <c r="I102" s="109">
        <f t="shared" si="31"/>
        <v>10.32763659205003</v>
      </c>
      <c r="J102" s="85">
        <f t="shared" si="33"/>
        <v>8.6156204024093732</v>
      </c>
      <c r="K102" s="129">
        <f t="shared" si="22"/>
        <v>18.943256994459404</v>
      </c>
      <c r="L102" s="85">
        <f t="shared" si="32"/>
        <v>121.5</v>
      </c>
      <c r="M102" s="130">
        <f t="shared" si="23"/>
        <v>140.4432569944594</v>
      </c>
      <c r="N102" s="8">
        <f t="shared" si="24"/>
        <v>535.92616677060846</v>
      </c>
      <c r="O102" s="84">
        <f t="shared" si="25"/>
        <v>395.48290977614903</v>
      </c>
    </row>
    <row r="103" spans="1:15" x14ac:dyDescent="0.2">
      <c r="A103" s="17" t="s">
        <v>71</v>
      </c>
      <c r="B103" s="81" t="str">
        <f>+IF(MONTH(C103)&lt;4,"Q1",IF(MONTH(C103)&lt;7,"Q2",IF(MONTH(C103)&lt;10,"Q3","Q4")))&amp;"/"&amp;YEAR(C103)</f>
        <v>Q1/2021</v>
      </c>
      <c r="C103" s="82">
        <f t="shared" si="28"/>
        <v>44197</v>
      </c>
      <c r="D103" s="82">
        <f t="shared" si="29"/>
        <v>44286</v>
      </c>
      <c r="E103" s="81">
        <f t="shared" si="26"/>
        <v>90</v>
      </c>
      <c r="F103" s="83">
        <f>VLOOKUP(D103,'FERC Interest Rate'!$A:$B,2,TRUE)</f>
        <v>6.5000000000000002E-2</v>
      </c>
      <c r="G103" s="84">
        <f t="shared" si="27"/>
        <v>395.48290977614903</v>
      </c>
      <c r="H103" s="84">
        <v>0</v>
      </c>
      <c r="I103" s="109">
        <f t="shared" si="31"/>
        <v>10.32763659205003</v>
      </c>
      <c r="J103" s="85">
        <f t="shared" si="33"/>
        <v>6.3385617046314291</v>
      </c>
      <c r="K103" s="129">
        <f t="shared" si="22"/>
        <v>16.666198296681458</v>
      </c>
      <c r="L103" s="85">
        <f t="shared" si="32"/>
        <v>121.5</v>
      </c>
      <c r="M103" s="130">
        <f t="shared" si="23"/>
        <v>138.16619829668144</v>
      </c>
      <c r="N103" s="8">
        <f t="shared" si="24"/>
        <v>401.82147148078047</v>
      </c>
      <c r="O103" s="84">
        <f t="shared" si="25"/>
        <v>263.65527318409897</v>
      </c>
    </row>
    <row r="104" spans="1:15" x14ac:dyDescent="0.2">
      <c r="A104" s="17" t="s">
        <v>72</v>
      </c>
      <c r="B104" s="81" t="str">
        <f t="shared" ref="B104:B105" si="34">+IF(MONTH(C104)&lt;4,"Q1",IF(MONTH(C104)&lt;7,"Q2",IF(MONTH(C104)&lt;10,"Q3","Q4")))&amp;"/"&amp;YEAR(C104)</f>
        <v>Q2/2021</v>
      </c>
      <c r="C104" s="82">
        <f t="shared" ref="C104:C105" si="35">D103+1</f>
        <v>44287</v>
      </c>
      <c r="D104" s="82">
        <f t="shared" si="29"/>
        <v>44377</v>
      </c>
      <c r="E104" s="81">
        <f t="shared" ref="E104:E105" si="36">D104-C104+1</f>
        <v>91</v>
      </c>
      <c r="F104" s="83">
        <f>VLOOKUP(D104,'FERC Interest Rate'!$A:$B,2,TRUE)</f>
        <v>6.5000000000000002E-2</v>
      </c>
      <c r="G104" s="84">
        <f t="shared" ref="G104:G105" si="37">O103</f>
        <v>263.65527318409897</v>
      </c>
      <c r="H104" s="84">
        <v>0</v>
      </c>
      <c r="I104" s="109">
        <f t="shared" si="31"/>
        <v>10.32763659205003</v>
      </c>
      <c r="J104" s="85">
        <f t="shared" ref="J104:J105" si="38">G104*F104*(E104/(DATE(YEAR(D104),12,31)-DATE(YEAR(D104),1,1)+1))</f>
        <v>4.2726601120108096</v>
      </c>
      <c r="K104" s="129">
        <f t="shared" ref="K104:K105" si="39">+SUM(I104:J104)</f>
        <v>14.60029670406084</v>
      </c>
      <c r="L104" s="85">
        <f t="shared" si="32"/>
        <v>121.5</v>
      </c>
      <c r="M104" s="130">
        <f t="shared" ref="M104:M105" si="40">+SUM(K104:L104)</f>
        <v>136.10029670406084</v>
      </c>
      <c r="N104" s="8">
        <f t="shared" ref="N104:N105" si="41">+G104+H104+J104</f>
        <v>267.92793329610976</v>
      </c>
      <c r="O104" s="84">
        <f t="shared" ref="O104:O105" si="42">G104+H104-L104-I104</f>
        <v>131.82763659204895</v>
      </c>
    </row>
    <row r="105" spans="1:15" x14ac:dyDescent="0.2">
      <c r="A105" s="17" t="s">
        <v>73</v>
      </c>
      <c r="B105" s="81" t="str">
        <f t="shared" si="34"/>
        <v>Q3/2021</v>
      </c>
      <c r="C105" s="82">
        <f t="shared" si="35"/>
        <v>44378</v>
      </c>
      <c r="D105" s="82">
        <f t="shared" si="29"/>
        <v>44469</v>
      </c>
      <c r="E105" s="81">
        <f t="shared" si="36"/>
        <v>92</v>
      </c>
      <c r="F105" s="83">
        <f>VLOOKUP(D105,'FERC Interest Rate'!$A:$B,2,TRUE)</f>
        <v>6.5000000000000002E-2</v>
      </c>
      <c r="G105" s="84">
        <f t="shared" si="37"/>
        <v>131.82763659204895</v>
      </c>
      <c r="H105" s="84">
        <v>0</v>
      </c>
      <c r="I105" s="109">
        <f t="shared" si="31"/>
        <v>10.32763659205003</v>
      </c>
      <c r="J105" s="85">
        <f t="shared" si="38"/>
        <v>2.1598062104669937</v>
      </c>
      <c r="K105" s="129">
        <f t="shared" si="39"/>
        <v>12.487442802517023</v>
      </c>
      <c r="L105" s="85">
        <f t="shared" si="32"/>
        <v>121.5</v>
      </c>
      <c r="M105" s="130">
        <f t="shared" si="40"/>
        <v>133.98744280251702</v>
      </c>
      <c r="N105" s="8">
        <f t="shared" si="41"/>
        <v>133.98744280251594</v>
      </c>
      <c r="O105" s="84">
        <f t="shared" si="42"/>
        <v>-1.0835776720341528E-12</v>
      </c>
    </row>
    <row r="106" spans="1:15" x14ac:dyDescent="0.2">
      <c r="B106" s="81"/>
      <c r="C106" s="82"/>
      <c r="D106" s="82"/>
      <c r="E106" s="81"/>
      <c r="F106" s="83"/>
      <c r="G106" s="84"/>
      <c r="H106" s="84"/>
      <c r="I106" s="109"/>
      <c r="J106" s="85"/>
      <c r="K106" s="129"/>
      <c r="L106" s="85"/>
      <c r="M106" s="130"/>
      <c r="N106" s="8"/>
      <c r="O106" s="84"/>
    </row>
    <row r="107" spans="1:15" ht="13.5" thickBot="1" x14ac:dyDescent="0.25">
      <c r="A107" s="151"/>
      <c r="B107" s="152"/>
      <c r="C107" s="153"/>
      <c r="D107" s="153"/>
      <c r="E107" s="154"/>
      <c r="F107" s="152"/>
      <c r="G107" s="144">
        <f t="shared" ref="G107:O107" si="43">+SUM(G77:G106)</f>
        <v>50233.025410348877</v>
      </c>
      <c r="H107" s="144">
        <f t="shared" si="43"/>
        <v>206.55273184100062</v>
      </c>
      <c r="I107" s="138">
        <f t="shared" si="43"/>
        <v>206.55273184100056</v>
      </c>
      <c r="J107" s="137">
        <f t="shared" si="43"/>
        <v>304.03058363936429</v>
      </c>
      <c r="K107" s="137">
        <f t="shared" si="43"/>
        <v>510.58331548036494</v>
      </c>
      <c r="L107" s="137">
        <f t="shared" si="43"/>
        <v>2430</v>
      </c>
      <c r="M107" s="139">
        <f t="shared" si="43"/>
        <v>2940.5833154803649</v>
      </c>
      <c r="N107" s="137">
        <f t="shared" si="43"/>
        <v>50743.608725829246</v>
      </c>
      <c r="O107" s="137">
        <f t="shared" si="43"/>
        <v>47803.025410348877</v>
      </c>
    </row>
    <row r="108" spans="1:15" ht="13.5" thickTop="1" x14ac:dyDescent="0.2">
      <c r="B108" s="11"/>
      <c r="C108" s="98"/>
      <c r="D108" s="98"/>
      <c r="E108" s="10"/>
      <c r="F108" s="11"/>
      <c r="G108" s="85"/>
      <c r="H108" s="85"/>
      <c r="I108" s="132"/>
      <c r="J108" s="70"/>
      <c r="K108" s="129"/>
      <c r="L108" s="70"/>
      <c r="M108" s="130"/>
      <c r="N108" s="8"/>
    </row>
    <row r="109" spans="1:15" x14ac:dyDescent="0.2">
      <c r="B109" s="11"/>
      <c r="C109" s="98"/>
      <c r="D109" s="98"/>
      <c r="E109" s="10"/>
      <c r="F109" s="11"/>
      <c r="G109" s="85"/>
      <c r="H109" s="85"/>
      <c r="I109" s="132"/>
      <c r="J109" s="70"/>
      <c r="K109" s="129"/>
      <c r="L109" s="70"/>
      <c r="M109" s="130"/>
      <c r="N109" s="8"/>
    </row>
    <row r="110" spans="1:15" ht="38.25" x14ac:dyDescent="0.2">
      <c r="A110" s="90" t="s">
        <v>53</v>
      </c>
      <c r="B110" s="90" t="s">
        <v>3</v>
      </c>
      <c r="C110" s="90" t="s">
        <v>4</v>
      </c>
      <c r="D110" s="90" t="s">
        <v>5</v>
      </c>
      <c r="E110" s="90" t="s">
        <v>6</v>
      </c>
      <c r="F110" s="90" t="s">
        <v>7</v>
      </c>
      <c r="G110" s="90" t="s">
        <v>93</v>
      </c>
      <c r="H110" s="90" t="s">
        <v>94</v>
      </c>
      <c r="I110" s="105" t="s">
        <v>95</v>
      </c>
      <c r="J110" s="106" t="s">
        <v>96</v>
      </c>
      <c r="K110" s="106" t="s">
        <v>97</v>
      </c>
      <c r="L110" s="106" t="s">
        <v>98</v>
      </c>
      <c r="M110" s="107" t="s">
        <v>99</v>
      </c>
      <c r="N110" s="90" t="s">
        <v>100</v>
      </c>
      <c r="O110" s="90" t="s">
        <v>101</v>
      </c>
    </row>
    <row r="111" spans="1:15" x14ac:dyDescent="0.2">
      <c r="A111" s="309" t="s">
        <v>15</v>
      </c>
      <c r="B111" s="309"/>
      <c r="C111" s="282">
        <f>VLOOKUP(B112,A$1:F$18,2,FALSE)</f>
        <v>41835</v>
      </c>
      <c r="D111" s="282">
        <f>DATE(YEAR(C111),IF(MONTH(C111)&lt;=3,3,IF(MONTH(C111)&lt;=6,6,IF(MONTH(C111)&lt;=9,9,12))),IF(OR(MONTH(C111)&lt;=3,MONTH(C111)&gt;=10),31,30))</f>
        <v>41912</v>
      </c>
      <c r="E111" s="283">
        <f>D111-C111+1</f>
        <v>78</v>
      </c>
      <c r="F111" s="284">
        <f>VLOOKUP(D111,'FERC Interest Rate'!$A:$B,2,TRUE)</f>
        <v>3.2500000000000001E-2</v>
      </c>
      <c r="G111" s="167">
        <f>VLOOKUP(B112,$A$1:$F$22,5,FALSE)</f>
        <v>1109</v>
      </c>
      <c r="H111" s="167">
        <f t="shared" ref="H111:H120" si="44">G111*F111*(E111/(DATE(YEAR(D111),12,31)-DATE(YEAR(D111),1,1)+1))</f>
        <v>7.7022328767123298</v>
      </c>
      <c r="I111" s="291">
        <v>0</v>
      </c>
      <c r="J111" s="286">
        <v>0</v>
      </c>
      <c r="K111" s="288">
        <f>+SUM(I111:J111)</f>
        <v>0</v>
      </c>
      <c r="L111" s="286">
        <v>0</v>
      </c>
      <c r="M111" s="289">
        <f>+SUM(K111:L111)</f>
        <v>0</v>
      </c>
      <c r="N111" s="290">
        <f>+G111+H111+J111</f>
        <v>1116.7022328767123</v>
      </c>
      <c r="O111" s="167">
        <f t="shared" ref="O111:O137" si="45">G111+H111-L111-I111</f>
        <v>1116.7022328767123</v>
      </c>
    </row>
    <row r="112" spans="1:15" x14ac:dyDescent="0.2">
      <c r="A112" s="275" t="s">
        <v>38</v>
      </c>
      <c r="B112" s="276" t="s">
        <v>55</v>
      </c>
      <c r="C112" s="282">
        <f>D111+1</f>
        <v>41913</v>
      </c>
      <c r="D112" s="282">
        <f>EOMONTH(D111,3)</f>
        <v>42004</v>
      </c>
      <c r="E112" s="283">
        <f t="shared" ref="E112:E137" si="46">D112-C112+1</f>
        <v>92</v>
      </c>
      <c r="F112" s="284">
        <f>VLOOKUP(D112,'FERC Interest Rate'!$A:$B,2,TRUE)</f>
        <v>3.2500000000000001E-2</v>
      </c>
      <c r="G112" s="167">
        <f t="shared" ref="G112:G137" si="47">O111</f>
        <v>1116.7022328767123</v>
      </c>
      <c r="H112" s="167">
        <f t="shared" si="44"/>
        <v>9.1477799350722471</v>
      </c>
      <c r="I112" s="291">
        <v>0</v>
      </c>
      <c r="J112" s="286">
        <v>0</v>
      </c>
      <c r="K112" s="288">
        <f t="shared" ref="K112:K137" si="48">+SUM(I112:J112)</f>
        <v>0</v>
      </c>
      <c r="L112" s="286">
        <v>0</v>
      </c>
      <c r="M112" s="289">
        <f t="shared" ref="M112:M137" si="49">+SUM(K112:L112)</f>
        <v>0</v>
      </c>
      <c r="N112" s="290">
        <f t="shared" ref="N112:N137" si="50">+G112+H112+J112</f>
        <v>1125.8500128117846</v>
      </c>
      <c r="O112" s="167">
        <f t="shared" si="45"/>
        <v>1125.8500128117846</v>
      </c>
    </row>
    <row r="113" spans="1:15" x14ac:dyDescent="0.2">
      <c r="B113" s="283"/>
      <c r="C113" s="282">
        <f t="shared" ref="C113:C137" si="51">D112+1</f>
        <v>42005</v>
      </c>
      <c r="D113" s="282">
        <f t="shared" ref="D113:D139" si="52">EOMONTH(D112,3)</f>
        <v>42094</v>
      </c>
      <c r="E113" s="283">
        <f t="shared" si="46"/>
        <v>90</v>
      </c>
      <c r="F113" s="284">
        <f>VLOOKUP(D113,'FERC Interest Rate'!$A:$B,2,TRUE)</f>
        <v>3.2500000000000001E-2</v>
      </c>
      <c r="G113" s="167">
        <f t="shared" si="47"/>
        <v>1125.8500128117846</v>
      </c>
      <c r="H113" s="167">
        <f t="shared" si="44"/>
        <v>9.0222227054095079</v>
      </c>
      <c r="I113" s="291">
        <v>0</v>
      </c>
      <c r="J113" s="286">
        <v>0</v>
      </c>
      <c r="K113" s="288">
        <f t="shared" si="48"/>
        <v>0</v>
      </c>
      <c r="L113" s="286">
        <v>0</v>
      </c>
      <c r="M113" s="289">
        <f t="shared" si="49"/>
        <v>0</v>
      </c>
      <c r="N113" s="290">
        <f t="shared" si="50"/>
        <v>1134.8722355171942</v>
      </c>
      <c r="O113" s="167">
        <f t="shared" si="45"/>
        <v>1134.8722355171942</v>
      </c>
    </row>
    <row r="114" spans="1:15" x14ac:dyDescent="0.2">
      <c r="B114" s="283"/>
      <c r="C114" s="282">
        <f t="shared" si="51"/>
        <v>42095</v>
      </c>
      <c r="D114" s="282">
        <f t="shared" si="52"/>
        <v>42185</v>
      </c>
      <c r="E114" s="283">
        <f t="shared" si="46"/>
        <v>91</v>
      </c>
      <c r="F114" s="284">
        <f>VLOOKUP(D114,'FERC Interest Rate'!$A:$B,2,TRUE)</f>
        <v>3.2500000000000001E-2</v>
      </c>
      <c r="G114" s="167">
        <f t="shared" si="47"/>
        <v>1134.8722355171942</v>
      </c>
      <c r="H114" s="167">
        <f t="shared" si="44"/>
        <v>9.195574346690691</v>
      </c>
      <c r="I114" s="291">
        <v>0</v>
      </c>
      <c r="J114" s="286">
        <v>0</v>
      </c>
      <c r="K114" s="288">
        <f t="shared" si="48"/>
        <v>0</v>
      </c>
      <c r="L114" s="286">
        <v>0</v>
      </c>
      <c r="M114" s="289">
        <f t="shared" si="49"/>
        <v>0</v>
      </c>
      <c r="N114" s="290">
        <f t="shared" si="50"/>
        <v>1144.0678098638848</v>
      </c>
      <c r="O114" s="167">
        <f t="shared" si="45"/>
        <v>1144.0678098638848</v>
      </c>
    </row>
    <row r="115" spans="1:15" x14ac:dyDescent="0.2">
      <c r="B115" s="283"/>
      <c r="C115" s="282">
        <f t="shared" si="51"/>
        <v>42186</v>
      </c>
      <c r="D115" s="282">
        <f t="shared" si="52"/>
        <v>42277</v>
      </c>
      <c r="E115" s="283">
        <f t="shared" si="46"/>
        <v>92</v>
      </c>
      <c r="F115" s="284">
        <f>VLOOKUP(D115,'FERC Interest Rate'!$A:$B,2,TRUE)</f>
        <v>3.2500000000000001E-2</v>
      </c>
      <c r="G115" s="167">
        <f t="shared" si="47"/>
        <v>1144.0678098638848</v>
      </c>
      <c r="H115" s="167">
        <f t="shared" si="44"/>
        <v>9.3719527438164807</v>
      </c>
      <c r="I115" s="291">
        <v>0</v>
      </c>
      <c r="J115" s="286">
        <v>0</v>
      </c>
      <c r="K115" s="288">
        <f t="shared" si="48"/>
        <v>0</v>
      </c>
      <c r="L115" s="286">
        <v>0</v>
      </c>
      <c r="M115" s="289">
        <f t="shared" si="49"/>
        <v>0</v>
      </c>
      <c r="N115" s="290">
        <f t="shared" si="50"/>
        <v>1153.4397626077014</v>
      </c>
      <c r="O115" s="167">
        <f t="shared" si="45"/>
        <v>1153.4397626077014</v>
      </c>
    </row>
    <row r="116" spans="1:15" x14ac:dyDescent="0.2">
      <c r="B116" s="283"/>
      <c r="C116" s="282">
        <f t="shared" si="51"/>
        <v>42278</v>
      </c>
      <c r="D116" s="282">
        <f t="shared" si="52"/>
        <v>42369</v>
      </c>
      <c r="E116" s="283">
        <f t="shared" si="46"/>
        <v>92</v>
      </c>
      <c r="F116" s="284">
        <f>VLOOKUP(D116,'FERC Interest Rate'!$A:$B,2,TRUE)</f>
        <v>3.2500000000000001E-2</v>
      </c>
      <c r="G116" s="167">
        <f t="shared" si="47"/>
        <v>1153.4397626077014</v>
      </c>
      <c r="H116" s="167">
        <f t="shared" si="44"/>
        <v>9.4487257265671989</v>
      </c>
      <c r="I116" s="291">
        <v>0</v>
      </c>
      <c r="J116" s="286">
        <v>0</v>
      </c>
      <c r="K116" s="288">
        <f t="shared" si="48"/>
        <v>0</v>
      </c>
      <c r="L116" s="286">
        <v>0</v>
      </c>
      <c r="M116" s="289">
        <f t="shared" si="49"/>
        <v>0</v>
      </c>
      <c r="N116" s="290">
        <f t="shared" si="50"/>
        <v>1162.8884883342685</v>
      </c>
      <c r="O116" s="167">
        <f t="shared" si="45"/>
        <v>1162.8884883342685</v>
      </c>
    </row>
    <row r="117" spans="1:15" x14ac:dyDescent="0.2">
      <c r="B117" s="283"/>
      <c r="C117" s="282">
        <f t="shared" si="51"/>
        <v>42370</v>
      </c>
      <c r="D117" s="282">
        <f t="shared" si="52"/>
        <v>42460</v>
      </c>
      <c r="E117" s="283">
        <f t="shared" si="46"/>
        <v>91</v>
      </c>
      <c r="F117" s="284">
        <f>VLOOKUP(D117,'FERC Interest Rate'!$A:$B,2,TRUE)</f>
        <v>3.2500000000000001E-2</v>
      </c>
      <c r="G117" s="167">
        <f t="shared" si="47"/>
        <v>1162.8884883342685</v>
      </c>
      <c r="H117" s="167">
        <f t="shared" si="44"/>
        <v>9.3968379897502707</v>
      </c>
      <c r="I117" s="291">
        <v>0</v>
      </c>
      <c r="J117" s="286">
        <v>0</v>
      </c>
      <c r="K117" s="288">
        <f t="shared" si="48"/>
        <v>0</v>
      </c>
      <c r="L117" s="286">
        <v>0</v>
      </c>
      <c r="M117" s="289">
        <f t="shared" si="49"/>
        <v>0</v>
      </c>
      <c r="N117" s="290">
        <f t="shared" si="50"/>
        <v>1172.2853263240188</v>
      </c>
      <c r="O117" s="167">
        <f t="shared" si="45"/>
        <v>1172.2853263240188</v>
      </c>
    </row>
    <row r="118" spans="1:15" x14ac:dyDescent="0.2">
      <c r="A118" s="96"/>
      <c r="B118" s="81"/>
      <c r="C118" s="82">
        <f t="shared" si="51"/>
        <v>42461</v>
      </c>
      <c r="D118" s="82">
        <f t="shared" si="52"/>
        <v>42551</v>
      </c>
      <c r="E118" s="81">
        <f t="shared" si="46"/>
        <v>91</v>
      </c>
      <c r="F118" s="83">
        <f>VLOOKUP(D118,'FERC Interest Rate'!$A:$B,2,TRUE)</f>
        <v>3.4599999999999999E-2</v>
      </c>
      <c r="G118" s="84">
        <f t="shared" si="47"/>
        <v>1172.2853263240188</v>
      </c>
      <c r="H118" s="167">
        <f t="shared" si="44"/>
        <v>10.08485677175903</v>
      </c>
      <c r="I118" s="173">
        <v>0</v>
      </c>
      <c r="J118" s="286">
        <v>0</v>
      </c>
      <c r="K118" s="129">
        <f t="shared" si="48"/>
        <v>0</v>
      </c>
      <c r="L118" s="85">
        <v>0</v>
      </c>
      <c r="M118" s="130">
        <f t="shared" si="49"/>
        <v>0</v>
      </c>
      <c r="N118" s="8">
        <f t="shared" si="50"/>
        <v>1182.3701830957777</v>
      </c>
      <c r="O118" s="84">
        <f t="shared" si="45"/>
        <v>1182.3701830957777</v>
      </c>
    </row>
    <row r="119" spans="1:15" x14ac:dyDescent="0.2">
      <c r="A119" s="96"/>
      <c r="B119" s="81"/>
      <c r="C119" s="82">
        <f t="shared" si="51"/>
        <v>42552</v>
      </c>
      <c r="D119" s="82">
        <f t="shared" si="52"/>
        <v>42643</v>
      </c>
      <c r="E119" s="81">
        <f t="shared" si="46"/>
        <v>92</v>
      </c>
      <c r="F119" s="83">
        <f>VLOOKUP(D119,'FERC Interest Rate'!$A:$B,2,TRUE)</f>
        <v>3.5000000000000003E-2</v>
      </c>
      <c r="G119" s="84">
        <f t="shared" si="47"/>
        <v>1182.3701830957777</v>
      </c>
      <c r="H119" s="84">
        <f t="shared" si="44"/>
        <v>10.40227319554209</v>
      </c>
      <c r="I119" s="173">
        <v>0</v>
      </c>
      <c r="J119" s="85">
        <v>0</v>
      </c>
      <c r="K119" s="129">
        <f t="shared" si="48"/>
        <v>0</v>
      </c>
      <c r="L119" s="85">
        <v>0</v>
      </c>
      <c r="M119" s="130">
        <f t="shared" si="49"/>
        <v>0</v>
      </c>
      <c r="N119" s="8">
        <f t="shared" si="50"/>
        <v>1192.7724562913199</v>
      </c>
      <c r="O119" s="84">
        <f t="shared" si="45"/>
        <v>1192.7724562913199</v>
      </c>
    </row>
    <row r="120" spans="1:15" x14ac:dyDescent="0.2">
      <c r="A120" s="17" t="s">
        <v>54</v>
      </c>
      <c r="B120" s="81" t="str">
        <f t="shared" ref="B120:B134" si="53">+IF(MONTH(C120)&lt;4,"Q1",IF(MONTH(C120)&lt;7,"Q2",IF(MONTH(C120)&lt;10,"Q3","Q4")))&amp;"/"&amp;YEAR(C120)</f>
        <v>Q4/2016</v>
      </c>
      <c r="C120" s="82">
        <f t="shared" si="51"/>
        <v>42644</v>
      </c>
      <c r="D120" s="82">
        <f t="shared" si="52"/>
        <v>42735</v>
      </c>
      <c r="E120" s="81">
        <f t="shared" si="46"/>
        <v>92</v>
      </c>
      <c r="F120" s="83">
        <f>VLOOKUP(D120,'FERC Interest Rate'!$A:$B,2,TRUE)</f>
        <v>3.5000000000000003E-2</v>
      </c>
      <c r="G120" s="84">
        <f t="shared" si="47"/>
        <v>1192.7724562913199</v>
      </c>
      <c r="H120" s="84">
        <f t="shared" si="44"/>
        <v>10.49379046245369</v>
      </c>
      <c r="I120" s="173">
        <f t="shared" ref="I120:I139" si="54">(SUM($H$111:$H$140)/20)</f>
        <v>4.7133123376886772</v>
      </c>
      <c r="J120" s="85">
        <v>0</v>
      </c>
      <c r="K120" s="129">
        <f t="shared" si="48"/>
        <v>4.7133123376886772</v>
      </c>
      <c r="L120" s="85">
        <f t="shared" ref="L120:L139" si="55">VLOOKUP($B$112,A$1:F$18,5,FALSE)/20</f>
        <v>55.45</v>
      </c>
      <c r="M120" s="130">
        <f t="shared" si="49"/>
        <v>60.16331233768868</v>
      </c>
      <c r="N120" s="8">
        <f t="shared" si="50"/>
        <v>1203.2662467537737</v>
      </c>
      <c r="O120" s="84">
        <f t="shared" si="45"/>
        <v>1143.102934416085</v>
      </c>
    </row>
    <row r="121" spans="1:15" x14ac:dyDescent="0.2">
      <c r="A121" s="17" t="s">
        <v>55</v>
      </c>
      <c r="B121" s="81" t="str">
        <f t="shared" si="53"/>
        <v>Q1/2017</v>
      </c>
      <c r="C121" s="82">
        <f t="shared" si="51"/>
        <v>42736</v>
      </c>
      <c r="D121" s="82">
        <f t="shared" si="52"/>
        <v>42825</v>
      </c>
      <c r="E121" s="81">
        <f t="shared" si="46"/>
        <v>90</v>
      </c>
      <c r="F121" s="83">
        <f>VLOOKUP(D121,'FERC Interest Rate'!$A:$B,2,TRUE)</f>
        <v>3.5000000000000003E-2</v>
      </c>
      <c r="G121" s="84">
        <f t="shared" si="47"/>
        <v>1143.102934416085</v>
      </c>
      <c r="H121" s="84">
        <v>0</v>
      </c>
      <c r="I121" s="109">
        <f t="shared" si="54"/>
        <v>4.7133123376886772</v>
      </c>
      <c r="J121" s="85">
        <f>G121*F121*(E121/(DATE(YEAR(D121),12,31)-DATE(YEAR(D121),1,1)+1))</f>
        <v>9.8651349134538844</v>
      </c>
      <c r="K121" s="129">
        <f t="shared" si="48"/>
        <v>14.578447251142562</v>
      </c>
      <c r="L121" s="85">
        <f t="shared" si="55"/>
        <v>55.45</v>
      </c>
      <c r="M121" s="130">
        <f t="shared" si="49"/>
        <v>70.028447251142566</v>
      </c>
      <c r="N121" s="8">
        <f t="shared" si="50"/>
        <v>1152.9680693295388</v>
      </c>
      <c r="O121" s="84">
        <f t="shared" si="45"/>
        <v>1082.9396220783963</v>
      </c>
    </row>
    <row r="122" spans="1:15" x14ac:dyDescent="0.2">
      <c r="A122" s="17" t="s">
        <v>56</v>
      </c>
      <c r="B122" s="81" t="str">
        <f t="shared" si="53"/>
        <v>Q2/2017</v>
      </c>
      <c r="C122" s="82">
        <f t="shared" si="51"/>
        <v>42826</v>
      </c>
      <c r="D122" s="82">
        <f t="shared" si="52"/>
        <v>42916</v>
      </c>
      <c r="E122" s="81">
        <f t="shared" si="46"/>
        <v>91</v>
      </c>
      <c r="F122" s="83">
        <f>VLOOKUP(D122,'FERC Interest Rate'!$A:$B,2,TRUE)</f>
        <v>3.7100000000000001E-2</v>
      </c>
      <c r="G122" s="84">
        <f t="shared" si="47"/>
        <v>1082.9396220783963</v>
      </c>
      <c r="H122" s="84">
        <v>0</v>
      </c>
      <c r="I122" s="109">
        <f t="shared" si="54"/>
        <v>4.7133123376886772</v>
      </c>
      <c r="J122" s="85">
        <f t="shared" ref="J122:J137" si="56">G122*F122*(E122/(DATE(YEAR(D122),12,31)-DATE(YEAR(D122),1,1)+1))</f>
        <v>10.01674646054486</v>
      </c>
      <c r="K122" s="129">
        <f t="shared" si="48"/>
        <v>14.730058798233538</v>
      </c>
      <c r="L122" s="85">
        <f t="shared" si="55"/>
        <v>55.45</v>
      </c>
      <c r="M122" s="130">
        <f t="shared" si="49"/>
        <v>70.180058798233546</v>
      </c>
      <c r="N122" s="8">
        <f t="shared" si="50"/>
        <v>1092.9563685389412</v>
      </c>
      <c r="O122" s="84">
        <f t="shared" si="45"/>
        <v>1022.7763097407076</v>
      </c>
    </row>
    <row r="123" spans="1:15" x14ac:dyDescent="0.2">
      <c r="A123" s="17" t="s">
        <v>57</v>
      </c>
      <c r="B123" s="81" t="str">
        <f t="shared" si="53"/>
        <v>Q3/2017</v>
      </c>
      <c r="C123" s="82">
        <f t="shared" si="51"/>
        <v>42917</v>
      </c>
      <c r="D123" s="82">
        <f t="shared" si="52"/>
        <v>43008</v>
      </c>
      <c r="E123" s="81">
        <f t="shared" si="46"/>
        <v>92</v>
      </c>
      <c r="F123" s="83">
        <f>VLOOKUP(D123,'FERC Interest Rate'!$A:$B,2,TRUE)</f>
        <v>3.9600000000000003E-2</v>
      </c>
      <c r="G123" s="84">
        <f t="shared" si="47"/>
        <v>1022.7763097407076</v>
      </c>
      <c r="H123" s="84">
        <v>0</v>
      </c>
      <c r="I123" s="109">
        <f t="shared" si="54"/>
        <v>4.7133123376886772</v>
      </c>
      <c r="J123" s="85">
        <f t="shared" si="56"/>
        <v>10.208708634650264</v>
      </c>
      <c r="K123" s="129">
        <f t="shared" si="48"/>
        <v>14.922020972338942</v>
      </c>
      <c r="L123" s="85">
        <f t="shared" si="55"/>
        <v>55.45</v>
      </c>
      <c r="M123" s="130">
        <f t="shared" si="49"/>
        <v>70.372020972338944</v>
      </c>
      <c r="N123" s="8">
        <f t="shared" si="50"/>
        <v>1032.9850183753579</v>
      </c>
      <c r="O123" s="84">
        <f t="shared" si="45"/>
        <v>962.61299740301888</v>
      </c>
    </row>
    <row r="124" spans="1:15" x14ac:dyDescent="0.2">
      <c r="A124" s="17" t="s">
        <v>58</v>
      </c>
      <c r="B124" s="81" t="str">
        <f t="shared" si="53"/>
        <v>Q4/2017</v>
      </c>
      <c r="C124" s="82">
        <f t="shared" si="51"/>
        <v>43009</v>
      </c>
      <c r="D124" s="82">
        <f t="shared" si="52"/>
        <v>43100</v>
      </c>
      <c r="E124" s="81">
        <f t="shared" si="46"/>
        <v>92</v>
      </c>
      <c r="F124" s="83">
        <f>VLOOKUP(D124,'FERC Interest Rate'!$A:$B,2,TRUE)</f>
        <v>4.2099999999999999E-2</v>
      </c>
      <c r="G124" s="84">
        <f t="shared" si="47"/>
        <v>962.61299740301888</v>
      </c>
      <c r="H124" s="84">
        <v>0</v>
      </c>
      <c r="I124" s="109">
        <f t="shared" si="54"/>
        <v>4.7133123376886772</v>
      </c>
      <c r="J124" s="85">
        <f t="shared" si="56"/>
        <v>10.214774415181843</v>
      </c>
      <c r="K124" s="129">
        <f t="shared" si="48"/>
        <v>14.92808675287052</v>
      </c>
      <c r="L124" s="85">
        <f t="shared" si="55"/>
        <v>55.45</v>
      </c>
      <c r="M124" s="130">
        <f t="shared" si="49"/>
        <v>70.37808675287053</v>
      </c>
      <c r="N124" s="8">
        <f t="shared" si="50"/>
        <v>972.82777181820074</v>
      </c>
      <c r="O124" s="84">
        <f t="shared" si="45"/>
        <v>902.44968506533019</v>
      </c>
    </row>
    <row r="125" spans="1:15" x14ac:dyDescent="0.2">
      <c r="A125" s="17" t="s">
        <v>59</v>
      </c>
      <c r="B125" s="81" t="str">
        <f t="shared" si="53"/>
        <v>Q1/2018</v>
      </c>
      <c r="C125" s="82">
        <f t="shared" si="51"/>
        <v>43101</v>
      </c>
      <c r="D125" s="82">
        <f t="shared" si="52"/>
        <v>43190</v>
      </c>
      <c r="E125" s="81">
        <f t="shared" si="46"/>
        <v>90</v>
      </c>
      <c r="F125" s="83">
        <f>VLOOKUP(D125,'FERC Interest Rate'!$A:$B,2,TRUE)</f>
        <v>4.2500000000000003E-2</v>
      </c>
      <c r="G125" s="84">
        <f t="shared" si="47"/>
        <v>902.44968506533019</v>
      </c>
      <c r="H125" s="84">
        <v>0</v>
      </c>
      <c r="I125" s="109">
        <f t="shared" si="54"/>
        <v>4.7133123376886772</v>
      </c>
      <c r="J125" s="85">
        <f t="shared" si="56"/>
        <v>9.4571782065065424</v>
      </c>
      <c r="K125" s="129">
        <f t="shared" si="48"/>
        <v>14.17049054419522</v>
      </c>
      <c r="L125" s="85">
        <f t="shared" si="55"/>
        <v>55.45</v>
      </c>
      <c r="M125" s="130">
        <f t="shared" si="49"/>
        <v>69.620490544195221</v>
      </c>
      <c r="N125" s="8">
        <f t="shared" si="50"/>
        <v>911.90686327183676</v>
      </c>
      <c r="O125" s="84">
        <f t="shared" si="45"/>
        <v>842.28637272764149</v>
      </c>
    </row>
    <row r="126" spans="1:15" x14ac:dyDescent="0.2">
      <c r="A126" s="17" t="s">
        <v>60</v>
      </c>
      <c r="B126" s="81" t="str">
        <f t="shared" si="53"/>
        <v>Q2/2018</v>
      </c>
      <c r="C126" s="82">
        <f t="shared" si="51"/>
        <v>43191</v>
      </c>
      <c r="D126" s="82">
        <f t="shared" si="52"/>
        <v>43281</v>
      </c>
      <c r="E126" s="81">
        <f t="shared" si="46"/>
        <v>91</v>
      </c>
      <c r="F126" s="83">
        <f>VLOOKUP(D126,'FERC Interest Rate'!$A:$B,2,TRUE)</f>
        <v>4.4699999999999997E-2</v>
      </c>
      <c r="G126" s="84">
        <f t="shared" si="47"/>
        <v>842.28637272764149</v>
      </c>
      <c r="H126" s="84">
        <v>0</v>
      </c>
      <c r="I126" s="109">
        <f t="shared" si="54"/>
        <v>4.7133123376886772</v>
      </c>
      <c r="J126" s="85">
        <f t="shared" si="56"/>
        <v>9.3867624064225392</v>
      </c>
      <c r="K126" s="129">
        <f t="shared" si="48"/>
        <v>14.100074744111216</v>
      </c>
      <c r="L126" s="85">
        <f t="shared" si="55"/>
        <v>55.45</v>
      </c>
      <c r="M126" s="130">
        <f t="shared" si="49"/>
        <v>69.550074744111214</v>
      </c>
      <c r="N126" s="8">
        <f t="shared" si="50"/>
        <v>851.67313513406407</v>
      </c>
      <c r="O126" s="84">
        <f t="shared" si="45"/>
        <v>782.1230603899528</v>
      </c>
    </row>
    <row r="127" spans="1:15" x14ac:dyDescent="0.2">
      <c r="A127" s="17" t="s">
        <v>61</v>
      </c>
      <c r="B127" s="81" t="str">
        <f t="shared" si="53"/>
        <v>Q3/2018</v>
      </c>
      <c r="C127" s="82">
        <f t="shared" si="51"/>
        <v>43282</v>
      </c>
      <c r="D127" s="82">
        <f t="shared" si="52"/>
        <v>43373</v>
      </c>
      <c r="E127" s="81">
        <f t="shared" si="46"/>
        <v>92</v>
      </c>
      <c r="F127" s="83">
        <f>VLOOKUP(D127,'FERC Interest Rate'!$A:$B,2,TRUE)</f>
        <v>5.011111E-2</v>
      </c>
      <c r="G127" s="84">
        <f t="shared" si="47"/>
        <v>782.1230603899528</v>
      </c>
      <c r="H127" s="84">
        <v>0</v>
      </c>
      <c r="I127" s="109">
        <f t="shared" si="54"/>
        <v>4.7133123376886772</v>
      </c>
      <c r="J127" s="85">
        <f t="shared" si="56"/>
        <v>9.878797352251663</v>
      </c>
      <c r="K127" s="129">
        <f t="shared" si="48"/>
        <v>14.59210968994034</v>
      </c>
      <c r="L127" s="85">
        <f t="shared" si="55"/>
        <v>55.45</v>
      </c>
      <c r="M127" s="130">
        <f t="shared" si="49"/>
        <v>70.042109689940347</v>
      </c>
      <c r="N127" s="8">
        <f t="shared" si="50"/>
        <v>792.00185774220449</v>
      </c>
      <c r="O127" s="84">
        <f t="shared" si="45"/>
        <v>721.9597480522641</v>
      </c>
    </row>
    <row r="128" spans="1:15" x14ac:dyDescent="0.2">
      <c r="A128" s="17" t="s">
        <v>62</v>
      </c>
      <c r="B128" s="81" t="str">
        <f t="shared" si="53"/>
        <v>Q4/2018</v>
      </c>
      <c r="C128" s="82">
        <f t="shared" si="51"/>
        <v>43374</v>
      </c>
      <c r="D128" s="82">
        <f t="shared" si="52"/>
        <v>43465</v>
      </c>
      <c r="E128" s="81">
        <f t="shared" si="46"/>
        <v>92</v>
      </c>
      <c r="F128" s="83">
        <f>VLOOKUP(D128,'FERC Interest Rate'!$A:$B,2,TRUE)</f>
        <v>5.2822580000000001E-2</v>
      </c>
      <c r="G128" s="84">
        <f t="shared" si="47"/>
        <v>721.9597480522641</v>
      </c>
      <c r="H128" s="84">
        <v>0</v>
      </c>
      <c r="I128" s="109">
        <f t="shared" si="54"/>
        <v>4.7133123376886772</v>
      </c>
      <c r="J128" s="85">
        <f t="shared" si="56"/>
        <v>9.6123053217558692</v>
      </c>
      <c r="K128" s="129">
        <f t="shared" si="48"/>
        <v>14.325617659444546</v>
      </c>
      <c r="L128" s="85">
        <f t="shared" si="55"/>
        <v>55.45</v>
      </c>
      <c r="M128" s="130">
        <f t="shared" si="49"/>
        <v>69.775617659444549</v>
      </c>
      <c r="N128" s="8">
        <f t="shared" si="50"/>
        <v>731.57205337402002</v>
      </c>
      <c r="O128" s="84">
        <f t="shared" si="45"/>
        <v>661.79643571457541</v>
      </c>
    </row>
    <row r="129" spans="1:15" x14ac:dyDescent="0.2">
      <c r="A129" s="17" t="s">
        <v>63</v>
      </c>
      <c r="B129" s="81" t="str">
        <f t="shared" si="53"/>
        <v>Q1/2019</v>
      </c>
      <c r="C129" s="82">
        <f t="shared" si="51"/>
        <v>43466</v>
      </c>
      <c r="D129" s="82">
        <f t="shared" si="52"/>
        <v>43555</v>
      </c>
      <c r="E129" s="81">
        <f t="shared" si="46"/>
        <v>90</v>
      </c>
      <c r="F129" s="83">
        <f>VLOOKUP(D129,'FERC Interest Rate'!$A:$B,2,TRUE)</f>
        <v>5.5296770000000002E-2</v>
      </c>
      <c r="G129" s="84">
        <f t="shared" si="47"/>
        <v>661.79643571457541</v>
      </c>
      <c r="H129" s="84">
        <v>0</v>
      </c>
      <c r="I129" s="109">
        <f t="shared" si="54"/>
        <v>4.7133123376886772</v>
      </c>
      <c r="J129" s="85">
        <f t="shared" si="56"/>
        <v>9.0234752776098066</v>
      </c>
      <c r="K129" s="129">
        <f t="shared" si="48"/>
        <v>13.736787615298484</v>
      </c>
      <c r="L129" s="85">
        <f t="shared" si="55"/>
        <v>55.45</v>
      </c>
      <c r="M129" s="130">
        <f t="shared" si="49"/>
        <v>69.186787615298485</v>
      </c>
      <c r="N129" s="8">
        <f t="shared" si="50"/>
        <v>670.81991099218521</v>
      </c>
      <c r="O129" s="84">
        <f t="shared" si="45"/>
        <v>601.63312337688672</v>
      </c>
    </row>
    <row r="130" spans="1:15" x14ac:dyDescent="0.2">
      <c r="A130" s="17" t="s">
        <v>64</v>
      </c>
      <c r="B130" s="81" t="str">
        <f t="shared" si="53"/>
        <v>Q2/2019</v>
      </c>
      <c r="C130" s="82">
        <f t="shared" si="51"/>
        <v>43556</v>
      </c>
      <c r="D130" s="82">
        <f t="shared" si="52"/>
        <v>43646</v>
      </c>
      <c r="E130" s="81">
        <f t="shared" si="46"/>
        <v>91</v>
      </c>
      <c r="F130" s="83">
        <f>VLOOKUP(D130,'FERC Interest Rate'!$A:$B,2,TRUE)</f>
        <v>5.7999999999999996E-2</v>
      </c>
      <c r="G130" s="84">
        <f t="shared" si="47"/>
        <v>601.63312337688672</v>
      </c>
      <c r="H130" s="84">
        <v>0</v>
      </c>
      <c r="I130" s="109">
        <f t="shared" si="54"/>
        <v>4.7133123376886772</v>
      </c>
      <c r="J130" s="85">
        <f t="shared" si="56"/>
        <v>8.6997797950224882</v>
      </c>
      <c r="K130" s="129">
        <f t="shared" si="48"/>
        <v>13.413092132711165</v>
      </c>
      <c r="L130" s="85">
        <f t="shared" si="55"/>
        <v>55.45</v>
      </c>
      <c r="M130" s="130">
        <f t="shared" si="49"/>
        <v>68.863092132711174</v>
      </c>
      <c r="N130" s="8">
        <f t="shared" si="50"/>
        <v>610.33290317190915</v>
      </c>
      <c r="O130" s="84">
        <f t="shared" si="45"/>
        <v>541.46981103919802</v>
      </c>
    </row>
    <row r="131" spans="1:15" x14ac:dyDescent="0.2">
      <c r="A131" s="17" t="s">
        <v>65</v>
      </c>
      <c r="B131" s="81" t="str">
        <f t="shared" si="53"/>
        <v>Q3/2019</v>
      </c>
      <c r="C131" s="82">
        <f t="shared" si="51"/>
        <v>43647</v>
      </c>
      <c r="D131" s="82">
        <f t="shared" si="52"/>
        <v>43738</v>
      </c>
      <c r="E131" s="81">
        <f t="shared" si="46"/>
        <v>92</v>
      </c>
      <c r="F131" s="83">
        <f>VLOOKUP(D131,'FERC Interest Rate'!$A:$B,2,TRUE)</f>
        <v>0.06</v>
      </c>
      <c r="G131" s="84">
        <f t="shared" si="47"/>
        <v>541.46981103919802</v>
      </c>
      <c r="H131" s="84">
        <v>0</v>
      </c>
      <c r="I131" s="109">
        <f t="shared" si="54"/>
        <v>4.7133123376886772</v>
      </c>
      <c r="J131" s="85">
        <f t="shared" si="56"/>
        <v>8.188803717633899</v>
      </c>
      <c r="K131" s="129">
        <f t="shared" si="48"/>
        <v>12.902116055322576</v>
      </c>
      <c r="L131" s="85">
        <f t="shared" si="55"/>
        <v>55.45</v>
      </c>
      <c r="M131" s="130">
        <f t="shared" si="49"/>
        <v>68.352116055322583</v>
      </c>
      <c r="N131" s="8">
        <f t="shared" si="50"/>
        <v>549.65861475683187</v>
      </c>
      <c r="O131" s="84">
        <f t="shared" si="45"/>
        <v>481.30649870150933</v>
      </c>
    </row>
    <row r="132" spans="1:15" x14ac:dyDescent="0.2">
      <c r="A132" s="17" t="s">
        <v>66</v>
      </c>
      <c r="B132" s="81" t="str">
        <f t="shared" si="53"/>
        <v>Q4/2019</v>
      </c>
      <c r="C132" s="82">
        <f t="shared" si="51"/>
        <v>43739</v>
      </c>
      <c r="D132" s="82">
        <f t="shared" si="52"/>
        <v>43830</v>
      </c>
      <c r="E132" s="81">
        <f t="shared" si="46"/>
        <v>92</v>
      </c>
      <c r="F132" s="83">
        <f>VLOOKUP(D132,'FERC Interest Rate'!$A:$B,2,TRUE)</f>
        <v>6.0349460000000001E-2</v>
      </c>
      <c r="G132" s="84">
        <f t="shared" si="47"/>
        <v>481.30649870150933</v>
      </c>
      <c r="H132" s="84">
        <v>0</v>
      </c>
      <c r="I132" s="109">
        <f t="shared" si="54"/>
        <v>4.7133123376886772</v>
      </c>
      <c r="J132" s="85">
        <f t="shared" si="56"/>
        <v>7.3213315911881232</v>
      </c>
      <c r="K132" s="129">
        <f t="shared" si="48"/>
        <v>12.0346439288768</v>
      </c>
      <c r="L132" s="85">
        <f t="shared" si="55"/>
        <v>55.45</v>
      </c>
      <c r="M132" s="130">
        <f t="shared" si="49"/>
        <v>67.484643928876807</v>
      </c>
      <c r="N132" s="8">
        <f t="shared" si="50"/>
        <v>488.62783029269747</v>
      </c>
      <c r="O132" s="84">
        <f t="shared" si="45"/>
        <v>421.14318636382063</v>
      </c>
    </row>
    <row r="133" spans="1:15" x14ac:dyDescent="0.2">
      <c r="A133" s="17" t="s">
        <v>67</v>
      </c>
      <c r="B133" s="81" t="str">
        <f t="shared" si="53"/>
        <v>Q1/2020</v>
      </c>
      <c r="C133" s="82">
        <f t="shared" si="51"/>
        <v>43831</v>
      </c>
      <c r="D133" s="82">
        <f t="shared" si="52"/>
        <v>43921</v>
      </c>
      <c r="E133" s="81">
        <f t="shared" si="46"/>
        <v>91</v>
      </c>
      <c r="F133" s="83">
        <f>VLOOKUP(D133,'FERC Interest Rate'!$A:$B,2,TRUE)</f>
        <v>6.2501040000000008E-2</v>
      </c>
      <c r="G133" s="84">
        <f t="shared" si="47"/>
        <v>421.14318636382063</v>
      </c>
      <c r="H133" s="84">
        <v>0</v>
      </c>
      <c r="I133" s="109">
        <f t="shared" si="54"/>
        <v>4.7133123376886772</v>
      </c>
      <c r="J133" s="85">
        <f t="shared" si="56"/>
        <v>6.5445129219546105</v>
      </c>
      <c r="K133" s="129">
        <f t="shared" si="48"/>
        <v>11.257825259643287</v>
      </c>
      <c r="L133" s="85">
        <f t="shared" si="55"/>
        <v>55.45</v>
      </c>
      <c r="M133" s="130">
        <f t="shared" si="49"/>
        <v>66.707825259643286</v>
      </c>
      <c r="N133" s="8">
        <f t="shared" si="50"/>
        <v>427.68769928577524</v>
      </c>
      <c r="O133" s="84">
        <f t="shared" si="45"/>
        <v>360.97987402613194</v>
      </c>
    </row>
    <row r="134" spans="1:15" x14ac:dyDescent="0.2">
      <c r="A134" s="17" t="s">
        <v>68</v>
      </c>
      <c r="B134" s="81" t="str">
        <f t="shared" si="53"/>
        <v>Q2/2020</v>
      </c>
      <c r="C134" s="82">
        <f t="shared" si="51"/>
        <v>43922</v>
      </c>
      <c r="D134" s="82">
        <f t="shared" si="52"/>
        <v>44012</v>
      </c>
      <c r="E134" s="81">
        <f t="shared" si="46"/>
        <v>91</v>
      </c>
      <c r="F134" s="83">
        <f>VLOOKUP(D134,'FERC Interest Rate'!$A:$B,2,TRUE)</f>
        <v>6.3055559999999997E-2</v>
      </c>
      <c r="G134" s="84">
        <f t="shared" si="47"/>
        <v>360.97987402613194</v>
      </c>
      <c r="H134" s="84">
        <v>0</v>
      </c>
      <c r="I134" s="109">
        <f t="shared" si="54"/>
        <v>4.7133123376886772</v>
      </c>
      <c r="J134" s="85">
        <f t="shared" si="56"/>
        <v>5.6593516874199326</v>
      </c>
      <c r="K134" s="129">
        <f t="shared" si="48"/>
        <v>10.372664025108609</v>
      </c>
      <c r="L134" s="85">
        <f t="shared" si="55"/>
        <v>55.45</v>
      </c>
      <c r="M134" s="130">
        <f t="shared" si="49"/>
        <v>65.822664025108608</v>
      </c>
      <c r="N134" s="8">
        <f t="shared" si="50"/>
        <v>366.63922571355187</v>
      </c>
      <c r="O134" s="84">
        <f t="shared" si="45"/>
        <v>300.81656168844324</v>
      </c>
    </row>
    <row r="135" spans="1:15" x14ac:dyDescent="0.2">
      <c r="A135" s="17" t="s">
        <v>69</v>
      </c>
      <c r="B135" s="81" t="str">
        <f>+IF(MONTH(C135)&lt;4,"Q1",IF(MONTH(C135)&lt;7,"Q2",IF(MONTH(C135)&lt;10,"Q3","Q4")))&amp;"/"&amp;YEAR(C135)</f>
        <v>Q3/2020</v>
      </c>
      <c r="C135" s="82">
        <f t="shared" si="51"/>
        <v>44013</v>
      </c>
      <c r="D135" s="82">
        <f t="shared" si="52"/>
        <v>44104</v>
      </c>
      <c r="E135" s="81">
        <f t="shared" si="46"/>
        <v>92</v>
      </c>
      <c r="F135" s="83">
        <f>VLOOKUP(D135,'FERC Interest Rate'!$A:$B,2,TRUE)</f>
        <v>6.5000000000000002E-2</v>
      </c>
      <c r="G135" s="84">
        <f t="shared" si="47"/>
        <v>300.81656168844324</v>
      </c>
      <c r="H135" s="84">
        <v>0</v>
      </c>
      <c r="I135" s="109">
        <f t="shared" si="54"/>
        <v>4.7133123376886772</v>
      </c>
      <c r="J135" s="85">
        <f t="shared" si="56"/>
        <v>4.9149809805925981</v>
      </c>
      <c r="K135" s="129">
        <f t="shared" si="48"/>
        <v>9.6282933182812762</v>
      </c>
      <c r="L135" s="85">
        <f t="shared" si="55"/>
        <v>55.45</v>
      </c>
      <c r="M135" s="130">
        <f t="shared" si="49"/>
        <v>65.078293318281283</v>
      </c>
      <c r="N135" s="8">
        <f t="shared" si="50"/>
        <v>305.73154266903583</v>
      </c>
      <c r="O135" s="84">
        <f t="shared" si="45"/>
        <v>240.65324935075458</v>
      </c>
    </row>
    <row r="136" spans="1:15" x14ac:dyDescent="0.2">
      <c r="A136" s="17" t="s">
        <v>70</v>
      </c>
      <c r="B136" s="81" t="str">
        <f>+IF(MONTH(C136)&lt;4,"Q1",IF(MONTH(C136)&lt;7,"Q2",IF(MONTH(C136)&lt;10,"Q3","Q4")))&amp;"/"&amp;YEAR(C136)</f>
        <v>Q4/2020</v>
      </c>
      <c r="C136" s="82">
        <f t="shared" si="51"/>
        <v>44105</v>
      </c>
      <c r="D136" s="82">
        <f t="shared" si="52"/>
        <v>44196</v>
      </c>
      <c r="E136" s="81">
        <f t="shared" si="46"/>
        <v>92</v>
      </c>
      <c r="F136" s="83">
        <f>VLOOKUP(D136,'FERC Interest Rate'!$A:$B,2,TRUE)</f>
        <v>6.5000000000000002E-2</v>
      </c>
      <c r="G136" s="84">
        <f t="shared" si="47"/>
        <v>240.65324935075458</v>
      </c>
      <c r="H136" s="84">
        <v>0</v>
      </c>
      <c r="I136" s="109">
        <f t="shared" si="54"/>
        <v>4.7133123376886772</v>
      </c>
      <c r="J136" s="85">
        <f t="shared" si="56"/>
        <v>3.9319847844740776</v>
      </c>
      <c r="K136" s="129">
        <f t="shared" si="48"/>
        <v>8.6452971221627557</v>
      </c>
      <c r="L136" s="85">
        <f t="shared" si="55"/>
        <v>55.45</v>
      </c>
      <c r="M136" s="130">
        <f t="shared" si="49"/>
        <v>64.095297122162762</v>
      </c>
      <c r="N136" s="8">
        <f t="shared" si="50"/>
        <v>244.58523413522866</v>
      </c>
      <c r="O136" s="84">
        <f t="shared" si="45"/>
        <v>180.48993701306588</v>
      </c>
    </row>
    <row r="137" spans="1:15" x14ac:dyDescent="0.2">
      <c r="A137" s="17" t="s">
        <v>71</v>
      </c>
      <c r="B137" s="81" t="str">
        <f>+IF(MONTH(C137)&lt;4,"Q1",IF(MONTH(C137)&lt;7,"Q2",IF(MONTH(C137)&lt;10,"Q3","Q4")))&amp;"/"&amp;YEAR(C137)</f>
        <v>Q1/2021</v>
      </c>
      <c r="C137" s="82">
        <f t="shared" si="51"/>
        <v>44197</v>
      </c>
      <c r="D137" s="82">
        <f t="shared" si="52"/>
        <v>44286</v>
      </c>
      <c r="E137" s="81">
        <f t="shared" si="46"/>
        <v>90</v>
      </c>
      <c r="F137" s="83">
        <f>VLOOKUP(D137,'FERC Interest Rate'!$A:$B,2,TRUE)</f>
        <v>6.5000000000000002E-2</v>
      </c>
      <c r="G137" s="84">
        <f t="shared" si="47"/>
        <v>180.48993701306588</v>
      </c>
      <c r="H137" s="84">
        <v>0</v>
      </c>
      <c r="I137" s="109">
        <f t="shared" si="54"/>
        <v>4.7133123376886772</v>
      </c>
      <c r="J137" s="85">
        <f t="shared" si="56"/>
        <v>2.892783921990234</v>
      </c>
      <c r="K137" s="129">
        <f t="shared" si="48"/>
        <v>7.6060962596789112</v>
      </c>
      <c r="L137" s="85">
        <f t="shared" si="55"/>
        <v>55.45</v>
      </c>
      <c r="M137" s="130">
        <f t="shared" si="49"/>
        <v>63.056096259678917</v>
      </c>
      <c r="N137" s="8">
        <f t="shared" si="50"/>
        <v>183.38272093505611</v>
      </c>
      <c r="O137" s="84">
        <f t="shared" si="45"/>
        <v>120.3266246753772</v>
      </c>
    </row>
    <row r="138" spans="1:15" x14ac:dyDescent="0.2">
      <c r="A138" s="17" t="s">
        <v>72</v>
      </c>
      <c r="B138" s="81" t="str">
        <f t="shared" ref="B138:B139" si="57">+IF(MONTH(C138)&lt;4,"Q1",IF(MONTH(C138)&lt;7,"Q2",IF(MONTH(C138)&lt;10,"Q3","Q4")))&amp;"/"&amp;YEAR(C138)</f>
        <v>Q2/2021</v>
      </c>
      <c r="C138" s="82">
        <f t="shared" ref="C138:C139" si="58">D137+1</f>
        <v>44287</v>
      </c>
      <c r="D138" s="82">
        <f t="shared" si="52"/>
        <v>44377</v>
      </c>
      <c r="E138" s="81">
        <f t="shared" ref="E138:E139" si="59">D138-C138+1</f>
        <v>91</v>
      </c>
      <c r="F138" s="83">
        <f>VLOOKUP(D138,'FERC Interest Rate'!$A:$B,2,TRUE)</f>
        <v>6.5000000000000002E-2</v>
      </c>
      <c r="G138" s="84">
        <f t="shared" ref="G138:G139" si="60">O137</f>
        <v>120.3266246753772</v>
      </c>
      <c r="H138" s="84">
        <v>0</v>
      </c>
      <c r="I138" s="109">
        <f t="shared" si="54"/>
        <v>4.7133123376886772</v>
      </c>
      <c r="J138" s="85">
        <f t="shared" ref="J138:J139" si="61">G138*F138*(E138/(DATE(YEAR(D138),12,31)-DATE(YEAR(D138),1,1)+1))</f>
        <v>1.9499506437119349</v>
      </c>
      <c r="K138" s="129">
        <f t="shared" ref="K138:K139" si="62">+SUM(I138:J138)</f>
        <v>6.6632629814006119</v>
      </c>
      <c r="L138" s="85">
        <f t="shared" si="55"/>
        <v>55.45</v>
      </c>
      <c r="M138" s="130">
        <f t="shared" ref="M138:M139" si="63">+SUM(K138:L138)</f>
        <v>62.113262981400617</v>
      </c>
      <c r="N138" s="8">
        <f t="shared" ref="N138:N139" si="64">+G138+H138+J138</f>
        <v>122.27657531908913</v>
      </c>
      <c r="O138" s="84">
        <f t="shared" ref="O138:O139" si="65">G138+H138-L138-I138</f>
        <v>60.163312337688524</v>
      </c>
    </row>
    <row r="139" spans="1:15" x14ac:dyDescent="0.2">
      <c r="A139" s="17" t="s">
        <v>73</v>
      </c>
      <c r="B139" s="81" t="str">
        <f t="shared" si="57"/>
        <v>Q3/2021</v>
      </c>
      <c r="C139" s="82">
        <f t="shared" si="58"/>
        <v>44378</v>
      </c>
      <c r="D139" s="82">
        <f t="shared" si="52"/>
        <v>44469</v>
      </c>
      <c r="E139" s="81">
        <f t="shared" si="59"/>
        <v>92</v>
      </c>
      <c r="F139" s="83">
        <f>VLOOKUP(D139,'FERC Interest Rate'!$A:$B,2,TRUE)</f>
        <v>6.5000000000000002E-2</v>
      </c>
      <c r="G139" s="84">
        <f t="shared" si="60"/>
        <v>60.163312337688524</v>
      </c>
      <c r="H139" s="84">
        <v>0</v>
      </c>
      <c r="I139" s="109">
        <f t="shared" si="54"/>
        <v>4.7133123376886772</v>
      </c>
      <c r="J139" s="85">
        <f t="shared" si="61"/>
        <v>0.98568933638185585</v>
      </c>
      <c r="K139" s="129">
        <f t="shared" si="62"/>
        <v>5.6990016740705327</v>
      </c>
      <c r="L139" s="85">
        <f t="shared" si="55"/>
        <v>55.45</v>
      </c>
      <c r="M139" s="130">
        <f t="shared" si="63"/>
        <v>61.149001674070533</v>
      </c>
      <c r="N139" s="8">
        <f t="shared" si="64"/>
        <v>61.149001674070377</v>
      </c>
      <c r="O139" s="84">
        <f t="shared" si="65"/>
        <v>-1.5631940186722204E-13</v>
      </c>
    </row>
    <row r="140" spans="1:15" x14ac:dyDescent="0.2">
      <c r="A140" s="96"/>
      <c r="B140" s="81"/>
      <c r="C140" s="82"/>
      <c r="D140" s="82"/>
      <c r="E140" s="81"/>
      <c r="F140" s="83"/>
      <c r="G140" s="84"/>
      <c r="H140" s="84"/>
      <c r="I140" s="109"/>
      <c r="J140" s="85"/>
      <c r="K140" s="129"/>
      <c r="L140" s="85"/>
      <c r="M140" s="130"/>
      <c r="N140" s="8"/>
      <c r="O140" s="84"/>
    </row>
    <row r="141" spans="1:15" ht="13.5" thickBot="1" x14ac:dyDescent="0.25">
      <c r="A141" s="151"/>
      <c r="B141" s="152"/>
      <c r="C141" s="153"/>
      <c r="D141" s="153"/>
      <c r="E141" s="154"/>
      <c r="F141" s="152"/>
      <c r="G141" s="137">
        <f t="shared" ref="G141:O141" si="66">SUM(G111:G140)</f>
        <v>22925.277851883515</v>
      </c>
      <c r="H141" s="137">
        <f t="shared" si="66"/>
        <v>94.266246753773544</v>
      </c>
      <c r="I141" s="138">
        <f t="shared" si="66"/>
        <v>94.266246753773544</v>
      </c>
      <c r="J141" s="137">
        <f t="shared" si="66"/>
        <v>138.75305236874701</v>
      </c>
      <c r="K141" s="137">
        <f t="shared" si="66"/>
        <v>233.01929912252055</v>
      </c>
      <c r="L141" s="137">
        <f t="shared" si="66"/>
        <v>1109.0000000000005</v>
      </c>
      <c r="M141" s="139">
        <f t="shared" si="66"/>
        <v>1342.0192991225208</v>
      </c>
      <c r="N141" s="137">
        <f t="shared" si="66"/>
        <v>23158.297151006038</v>
      </c>
      <c r="O141" s="137">
        <f t="shared" si="66"/>
        <v>21816.277851883515</v>
      </c>
    </row>
    <row r="142" spans="1:15" ht="13.5" thickTop="1" x14ac:dyDescent="0.2">
      <c r="B142" s="117"/>
      <c r="C142" s="117"/>
      <c r="D142" s="117"/>
      <c r="E142" s="117"/>
      <c r="F142" s="117"/>
      <c r="G142" s="117"/>
      <c r="H142" s="117"/>
      <c r="I142" s="116"/>
      <c r="J142" s="117"/>
      <c r="K142" s="117"/>
      <c r="L142" s="117"/>
      <c r="M142" s="131"/>
      <c r="O142" s="117"/>
    </row>
    <row r="143" spans="1:15" ht="38.25" x14ac:dyDescent="0.2">
      <c r="A143" s="90" t="s">
        <v>53</v>
      </c>
      <c r="B143" s="90" t="s">
        <v>3</v>
      </c>
      <c r="C143" s="90" t="s">
        <v>4</v>
      </c>
      <c r="D143" s="90" t="s">
        <v>5</v>
      </c>
      <c r="E143" s="90" t="s">
        <v>6</v>
      </c>
      <c r="F143" s="90" t="s">
        <v>7</v>
      </c>
      <c r="G143" s="90" t="s">
        <v>93</v>
      </c>
      <c r="H143" s="90" t="s">
        <v>94</v>
      </c>
      <c r="I143" s="105" t="s">
        <v>95</v>
      </c>
      <c r="J143" s="106" t="s">
        <v>96</v>
      </c>
      <c r="K143" s="106" t="s">
        <v>97</v>
      </c>
      <c r="L143" s="106" t="s">
        <v>98</v>
      </c>
      <c r="M143" s="107" t="s">
        <v>99</v>
      </c>
      <c r="N143" s="90" t="s">
        <v>100</v>
      </c>
      <c r="O143" s="90" t="s">
        <v>101</v>
      </c>
    </row>
    <row r="144" spans="1:15" x14ac:dyDescent="0.2">
      <c r="A144" s="309" t="s">
        <v>15</v>
      </c>
      <c r="B144" s="309"/>
      <c r="C144" s="282">
        <f>VLOOKUP(B145,A$1:F$18,2,FALSE)</f>
        <v>41857</v>
      </c>
      <c r="D144" s="282">
        <f>DATE(YEAR(C144),IF(MONTH(C144)&lt;=3,3,IF(MONTH(C144)&lt;=6,6,IF(MONTH(C144)&lt;=9,9,12))),IF(OR(MONTH(C144)&lt;=3,MONTH(C144)&gt;=10),31,30))</f>
        <v>41912</v>
      </c>
      <c r="E144" s="283">
        <f>D144-C144+1</f>
        <v>56</v>
      </c>
      <c r="F144" s="284">
        <f>VLOOKUP(D144,'FERC Interest Rate'!$A:$B,2,TRUE)</f>
        <v>3.2500000000000001E-2</v>
      </c>
      <c r="G144" s="167">
        <f>VLOOKUP(B145,$A$1:$F$18,5,FALSE)</f>
        <v>1383</v>
      </c>
      <c r="H144" s="167">
        <f t="shared" ref="H144:H153" si="67">G144*F144*(E144/(DATE(YEAR(D144),12,31)-DATE(YEAR(D144),1,1)+1))</f>
        <v>6.8960547945205484</v>
      </c>
      <c r="I144" s="291">
        <v>0</v>
      </c>
      <c r="J144" s="286">
        <v>0</v>
      </c>
      <c r="K144" s="288">
        <f t="shared" ref="K144:K169" si="68">+SUM(I144:J144)</f>
        <v>0</v>
      </c>
      <c r="L144" s="286">
        <v>0</v>
      </c>
      <c r="M144" s="289">
        <f t="shared" ref="M144:M169" si="69">+SUM(K144:L144)</f>
        <v>0</v>
      </c>
      <c r="N144" s="290">
        <f t="shared" ref="N144:N169" si="70">+G144+H144+J144</f>
        <v>1389.8960547945205</v>
      </c>
      <c r="O144" s="167">
        <f t="shared" ref="O144:O169" si="71">G144+H144-L144-I144</f>
        <v>1389.8960547945205</v>
      </c>
    </row>
    <row r="145" spans="1:15" x14ac:dyDescent="0.2">
      <c r="A145" s="275" t="s">
        <v>38</v>
      </c>
      <c r="B145" s="276" t="s">
        <v>56</v>
      </c>
      <c r="C145" s="282">
        <f>D144+1</f>
        <v>41913</v>
      </c>
      <c r="D145" s="282">
        <f>EOMONTH(D144,3)</f>
        <v>42004</v>
      </c>
      <c r="E145" s="283">
        <f t="shared" ref="E145:E169" si="72">D145-C145+1</f>
        <v>92</v>
      </c>
      <c r="F145" s="284">
        <f>VLOOKUP(D145,'FERC Interest Rate'!$A:$B,2,TRUE)</f>
        <v>3.2500000000000001E-2</v>
      </c>
      <c r="G145" s="167">
        <f t="shared" ref="G145:G169" si="73">O144</f>
        <v>1389.8960547945205</v>
      </c>
      <c r="H145" s="167">
        <f t="shared" si="67"/>
        <v>11.385723846124977</v>
      </c>
      <c r="I145" s="291">
        <v>0</v>
      </c>
      <c r="J145" s="286">
        <v>0</v>
      </c>
      <c r="K145" s="288">
        <f t="shared" si="68"/>
        <v>0</v>
      </c>
      <c r="L145" s="286">
        <v>0</v>
      </c>
      <c r="M145" s="289">
        <f t="shared" si="69"/>
        <v>0</v>
      </c>
      <c r="N145" s="290">
        <f t="shared" si="70"/>
        <v>1401.2817786406456</v>
      </c>
      <c r="O145" s="167">
        <f t="shared" si="71"/>
        <v>1401.2817786406456</v>
      </c>
    </row>
    <row r="146" spans="1:15" x14ac:dyDescent="0.2">
      <c r="B146" s="283"/>
      <c r="C146" s="282">
        <f t="shared" ref="C146:C169" si="74">D145+1</f>
        <v>42005</v>
      </c>
      <c r="D146" s="282">
        <f t="shared" ref="D146:D172" si="75">EOMONTH(D145,3)</f>
        <v>42094</v>
      </c>
      <c r="E146" s="283">
        <f t="shared" si="72"/>
        <v>90</v>
      </c>
      <c r="F146" s="284">
        <f>VLOOKUP(D146,'FERC Interest Rate'!$A:$B,2,TRUE)</f>
        <v>3.2500000000000001E-2</v>
      </c>
      <c r="G146" s="167">
        <f t="shared" si="73"/>
        <v>1401.2817786406456</v>
      </c>
      <c r="H146" s="167">
        <f t="shared" si="67"/>
        <v>11.229449869928461</v>
      </c>
      <c r="I146" s="291">
        <v>0</v>
      </c>
      <c r="J146" s="286">
        <v>0</v>
      </c>
      <c r="K146" s="288">
        <f t="shared" si="68"/>
        <v>0</v>
      </c>
      <c r="L146" s="286">
        <v>0</v>
      </c>
      <c r="M146" s="289">
        <f t="shared" si="69"/>
        <v>0</v>
      </c>
      <c r="N146" s="290">
        <f t="shared" si="70"/>
        <v>1412.511228510574</v>
      </c>
      <c r="O146" s="167">
        <f t="shared" si="71"/>
        <v>1412.511228510574</v>
      </c>
    </row>
    <row r="147" spans="1:15" x14ac:dyDescent="0.2">
      <c r="B147" s="283"/>
      <c r="C147" s="282">
        <f t="shared" si="74"/>
        <v>42095</v>
      </c>
      <c r="D147" s="282">
        <f t="shared" si="75"/>
        <v>42185</v>
      </c>
      <c r="E147" s="283">
        <f t="shared" si="72"/>
        <v>91</v>
      </c>
      <c r="F147" s="284">
        <f>VLOOKUP(D147,'FERC Interest Rate'!$A:$B,2,TRUE)</f>
        <v>3.2500000000000001E-2</v>
      </c>
      <c r="G147" s="167">
        <f t="shared" si="73"/>
        <v>1412.511228510574</v>
      </c>
      <c r="H147" s="167">
        <f t="shared" si="67"/>
        <v>11.44521084471239</v>
      </c>
      <c r="I147" s="291">
        <v>0</v>
      </c>
      <c r="J147" s="286">
        <v>0</v>
      </c>
      <c r="K147" s="288">
        <f t="shared" si="68"/>
        <v>0</v>
      </c>
      <c r="L147" s="286">
        <v>0</v>
      </c>
      <c r="M147" s="289">
        <f t="shared" si="69"/>
        <v>0</v>
      </c>
      <c r="N147" s="290">
        <f t="shared" si="70"/>
        <v>1423.9564393552864</v>
      </c>
      <c r="O147" s="167">
        <f t="shared" si="71"/>
        <v>1423.9564393552864</v>
      </c>
    </row>
    <row r="148" spans="1:15" x14ac:dyDescent="0.2">
      <c r="B148" s="283"/>
      <c r="C148" s="282">
        <f t="shared" si="74"/>
        <v>42186</v>
      </c>
      <c r="D148" s="282">
        <f t="shared" si="75"/>
        <v>42277</v>
      </c>
      <c r="E148" s="283">
        <f t="shared" si="72"/>
        <v>92</v>
      </c>
      <c r="F148" s="284">
        <f>VLOOKUP(D148,'FERC Interest Rate'!$A:$B,2,TRUE)</f>
        <v>3.2500000000000001E-2</v>
      </c>
      <c r="G148" s="167">
        <f t="shared" si="73"/>
        <v>1423.9564393552864</v>
      </c>
      <c r="H148" s="167">
        <f t="shared" si="67"/>
        <v>11.664739051157005</v>
      </c>
      <c r="I148" s="291">
        <v>0</v>
      </c>
      <c r="J148" s="286">
        <v>0</v>
      </c>
      <c r="K148" s="288">
        <f t="shared" si="68"/>
        <v>0</v>
      </c>
      <c r="L148" s="286">
        <v>0</v>
      </c>
      <c r="M148" s="289">
        <f t="shared" si="69"/>
        <v>0</v>
      </c>
      <c r="N148" s="290">
        <f t="shared" si="70"/>
        <v>1435.6211784064435</v>
      </c>
      <c r="O148" s="167">
        <f t="shared" si="71"/>
        <v>1435.6211784064435</v>
      </c>
    </row>
    <row r="149" spans="1:15" x14ac:dyDescent="0.2">
      <c r="B149" s="283"/>
      <c r="C149" s="282">
        <f t="shared" si="74"/>
        <v>42278</v>
      </c>
      <c r="D149" s="282">
        <f t="shared" si="75"/>
        <v>42369</v>
      </c>
      <c r="E149" s="283">
        <f t="shared" si="72"/>
        <v>92</v>
      </c>
      <c r="F149" s="284">
        <f>VLOOKUP(D149,'FERC Interest Rate'!$A:$B,2,TRUE)</f>
        <v>3.2500000000000001E-2</v>
      </c>
      <c r="G149" s="167">
        <f t="shared" si="73"/>
        <v>1435.6211784064435</v>
      </c>
      <c r="H149" s="167">
        <f t="shared" si="67"/>
        <v>11.760294036808949</v>
      </c>
      <c r="I149" s="291">
        <v>0</v>
      </c>
      <c r="J149" s="286">
        <v>0</v>
      </c>
      <c r="K149" s="288">
        <f t="shared" si="68"/>
        <v>0</v>
      </c>
      <c r="L149" s="286">
        <v>0</v>
      </c>
      <c r="M149" s="289">
        <f t="shared" si="69"/>
        <v>0</v>
      </c>
      <c r="N149" s="290">
        <f t="shared" si="70"/>
        <v>1447.3814724432525</v>
      </c>
      <c r="O149" s="167">
        <f t="shared" si="71"/>
        <v>1447.3814724432525</v>
      </c>
    </row>
    <row r="150" spans="1:15" x14ac:dyDescent="0.2">
      <c r="B150" s="81"/>
      <c r="C150" s="282">
        <f t="shared" si="74"/>
        <v>42370</v>
      </c>
      <c r="D150" s="282">
        <f t="shared" si="75"/>
        <v>42460</v>
      </c>
      <c r="E150" s="283">
        <f t="shared" si="72"/>
        <v>91</v>
      </c>
      <c r="F150" s="284">
        <f>VLOOKUP(D150,'FERC Interest Rate'!$A:$B,2,TRUE)</f>
        <v>3.2500000000000001E-2</v>
      </c>
      <c r="G150" s="167">
        <f t="shared" si="73"/>
        <v>1447.3814724432525</v>
      </c>
      <c r="H150" s="167">
        <f t="shared" si="67"/>
        <v>11.695712308062621</v>
      </c>
      <c r="I150" s="291">
        <v>0</v>
      </c>
      <c r="J150" s="286">
        <v>0</v>
      </c>
      <c r="K150" s="288">
        <f t="shared" si="68"/>
        <v>0</v>
      </c>
      <c r="L150" s="286">
        <v>0</v>
      </c>
      <c r="M150" s="289">
        <f t="shared" si="69"/>
        <v>0</v>
      </c>
      <c r="N150" s="290">
        <f t="shared" si="70"/>
        <v>1459.0771847513151</v>
      </c>
      <c r="O150" s="167">
        <f t="shared" si="71"/>
        <v>1459.0771847513151</v>
      </c>
    </row>
    <row r="151" spans="1:15" x14ac:dyDescent="0.2">
      <c r="A151" s="96"/>
      <c r="B151" s="81"/>
      <c r="C151" s="82">
        <f t="shared" si="74"/>
        <v>42461</v>
      </c>
      <c r="D151" s="82">
        <f t="shared" si="75"/>
        <v>42551</v>
      </c>
      <c r="E151" s="81">
        <f t="shared" si="72"/>
        <v>91</v>
      </c>
      <c r="F151" s="83">
        <f>VLOOKUP(D151,'FERC Interest Rate'!$A:$B,2,TRUE)</f>
        <v>3.4599999999999999E-2</v>
      </c>
      <c r="G151" s="84">
        <f t="shared" si="73"/>
        <v>1459.0771847513151</v>
      </c>
      <c r="H151" s="167">
        <f t="shared" si="67"/>
        <v>12.552050338546422</v>
      </c>
      <c r="I151" s="109">
        <v>0</v>
      </c>
      <c r="J151" s="286">
        <v>0</v>
      </c>
      <c r="K151" s="129">
        <f t="shared" si="68"/>
        <v>0</v>
      </c>
      <c r="L151" s="85">
        <v>0</v>
      </c>
      <c r="M151" s="130">
        <f t="shared" si="69"/>
        <v>0</v>
      </c>
      <c r="N151" s="8">
        <f t="shared" si="70"/>
        <v>1471.6292350898616</v>
      </c>
      <c r="O151" s="84">
        <f t="shared" si="71"/>
        <v>1471.6292350898616</v>
      </c>
    </row>
    <row r="152" spans="1:15" x14ac:dyDescent="0.2">
      <c r="A152" s="96"/>
      <c r="B152" s="81"/>
      <c r="C152" s="82">
        <f t="shared" si="74"/>
        <v>42552</v>
      </c>
      <c r="D152" s="82">
        <f t="shared" si="75"/>
        <v>42643</v>
      </c>
      <c r="E152" s="81">
        <f t="shared" si="72"/>
        <v>92</v>
      </c>
      <c r="F152" s="83">
        <f>VLOOKUP(D152,'FERC Interest Rate'!$A:$B,2,TRUE)</f>
        <v>3.5000000000000003E-2</v>
      </c>
      <c r="G152" s="84">
        <f t="shared" si="73"/>
        <v>1471.6292350898616</v>
      </c>
      <c r="H152" s="84">
        <f t="shared" si="67"/>
        <v>12.947120592867089</v>
      </c>
      <c r="I152" s="109">
        <v>0</v>
      </c>
      <c r="J152" s="85">
        <v>0</v>
      </c>
      <c r="K152" s="129">
        <f t="shared" si="68"/>
        <v>0</v>
      </c>
      <c r="L152" s="85">
        <v>0</v>
      </c>
      <c r="M152" s="130">
        <f t="shared" si="69"/>
        <v>0</v>
      </c>
      <c r="N152" s="8">
        <f t="shared" si="70"/>
        <v>1484.5763556827287</v>
      </c>
      <c r="O152" s="84">
        <f t="shared" si="71"/>
        <v>1484.5763556827287</v>
      </c>
    </row>
    <row r="153" spans="1:15" x14ac:dyDescent="0.2">
      <c r="A153" s="17" t="s">
        <v>54</v>
      </c>
      <c r="B153" s="81" t="str">
        <f t="shared" ref="B153:B167" si="76">+IF(MONTH(C153)&lt;4,"Q1",IF(MONTH(C153)&lt;7,"Q2",IF(MONTH(C153)&lt;10,"Q3","Q4")))&amp;"/"&amp;YEAR(C153)</f>
        <v>Q4/2016</v>
      </c>
      <c r="C153" s="82">
        <f t="shared" si="74"/>
        <v>42644</v>
      </c>
      <c r="D153" s="82">
        <f t="shared" si="75"/>
        <v>42735</v>
      </c>
      <c r="E153" s="81">
        <f t="shared" si="72"/>
        <v>92</v>
      </c>
      <c r="F153" s="83">
        <f>VLOOKUP(D153,'FERC Interest Rate'!$A:$B,2,TRUE)</f>
        <v>3.5000000000000003E-2</v>
      </c>
      <c r="G153" s="84">
        <f t="shared" si="73"/>
        <v>1484.5763556827287</v>
      </c>
      <c r="H153" s="84">
        <f t="shared" si="67"/>
        <v>13.061026954367177</v>
      </c>
      <c r="I153" s="109">
        <f>SUM($H$144:$H$173)/20</f>
        <v>5.7318691318547828</v>
      </c>
      <c r="J153" s="85">
        <v>0</v>
      </c>
      <c r="K153" s="129">
        <f t="shared" si="68"/>
        <v>5.7318691318547828</v>
      </c>
      <c r="L153" s="85">
        <f t="shared" ref="L153:L172" si="77">VLOOKUP($B$145,A$1:F$18,5,FALSE)/20</f>
        <v>69.150000000000006</v>
      </c>
      <c r="M153" s="130">
        <f t="shared" si="69"/>
        <v>74.881869131854785</v>
      </c>
      <c r="N153" s="8">
        <f t="shared" si="70"/>
        <v>1497.6373826370959</v>
      </c>
      <c r="O153" s="84">
        <f t="shared" si="71"/>
        <v>1422.755513505241</v>
      </c>
    </row>
    <row r="154" spans="1:15" x14ac:dyDescent="0.2">
      <c r="A154" s="17" t="s">
        <v>55</v>
      </c>
      <c r="B154" s="81" t="str">
        <f t="shared" si="76"/>
        <v>Q1/2017</v>
      </c>
      <c r="C154" s="82">
        <f t="shared" si="74"/>
        <v>42736</v>
      </c>
      <c r="D154" s="82">
        <f t="shared" si="75"/>
        <v>42825</v>
      </c>
      <c r="E154" s="81">
        <f t="shared" si="72"/>
        <v>90</v>
      </c>
      <c r="F154" s="83">
        <f>VLOOKUP(D154,'FERC Interest Rate'!$A:$B,2,TRUE)</f>
        <v>3.5000000000000003E-2</v>
      </c>
      <c r="G154" s="84">
        <f t="shared" si="73"/>
        <v>1422.755513505241</v>
      </c>
      <c r="H154" s="84">
        <v>0</v>
      </c>
      <c r="I154" s="109">
        <f>SUM($H$144:$H$173)/20</f>
        <v>5.7318691318547828</v>
      </c>
      <c r="J154" s="85">
        <f t="shared" ref="J154:J170" si="78">G154*F154*(E154/(DATE(YEAR(D154),12,31)-DATE(YEAR(D154),1,1)+1))</f>
        <v>12.278574979565779</v>
      </c>
      <c r="K154" s="129">
        <f t="shared" si="68"/>
        <v>18.010444111420561</v>
      </c>
      <c r="L154" s="85">
        <f t="shared" si="77"/>
        <v>69.150000000000006</v>
      </c>
      <c r="M154" s="130">
        <f t="shared" si="69"/>
        <v>87.16044411142056</v>
      </c>
      <c r="N154" s="8">
        <f t="shared" si="70"/>
        <v>1435.0340884848067</v>
      </c>
      <c r="O154" s="84">
        <f t="shared" si="71"/>
        <v>1347.873644373386</v>
      </c>
    </row>
    <row r="155" spans="1:15" x14ac:dyDescent="0.2">
      <c r="A155" s="17" t="s">
        <v>56</v>
      </c>
      <c r="B155" s="81" t="str">
        <f t="shared" si="76"/>
        <v>Q2/2017</v>
      </c>
      <c r="C155" s="82">
        <f t="shared" si="74"/>
        <v>42826</v>
      </c>
      <c r="D155" s="82">
        <f t="shared" si="75"/>
        <v>42916</v>
      </c>
      <c r="E155" s="81">
        <f t="shared" si="72"/>
        <v>91</v>
      </c>
      <c r="F155" s="83">
        <f>VLOOKUP(D155,'FERC Interest Rate'!$A:$B,2,TRUE)</f>
        <v>3.7100000000000001E-2</v>
      </c>
      <c r="G155" s="84">
        <f t="shared" si="73"/>
        <v>1347.873644373386</v>
      </c>
      <c r="H155" s="84">
        <v>0</v>
      </c>
      <c r="I155" s="109">
        <f t="shared" ref="I155:I172" si="79">SUM($H$144:$H$173)/20</f>
        <v>5.7318691318547828</v>
      </c>
      <c r="J155" s="85">
        <f t="shared" si="78"/>
        <v>12.467277289778051</v>
      </c>
      <c r="K155" s="129">
        <f t="shared" si="68"/>
        <v>18.199146421632832</v>
      </c>
      <c r="L155" s="85">
        <f t="shared" si="77"/>
        <v>69.150000000000006</v>
      </c>
      <c r="M155" s="130">
        <f t="shared" si="69"/>
        <v>87.349146421632838</v>
      </c>
      <c r="N155" s="8">
        <f t="shared" si="70"/>
        <v>1360.340921663164</v>
      </c>
      <c r="O155" s="84">
        <f t="shared" si="71"/>
        <v>1272.9917752415311</v>
      </c>
    </row>
    <row r="156" spans="1:15" x14ac:dyDescent="0.2">
      <c r="A156" s="17" t="s">
        <v>57</v>
      </c>
      <c r="B156" s="81" t="str">
        <f t="shared" si="76"/>
        <v>Q3/2017</v>
      </c>
      <c r="C156" s="82">
        <f t="shared" si="74"/>
        <v>42917</v>
      </c>
      <c r="D156" s="82">
        <f t="shared" si="75"/>
        <v>43008</v>
      </c>
      <c r="E156" s="81">
        <f t="shared" si="72"/>
        <v>92</v>
      </c>
      <c r="F156" s="83">
        <f>VLOOKUP(D156,'FERC Interest Rate'!$A:$B,2,TRUE)</f>
        <v>3.9600000000000003E-2</v>
      </c>
      <c r="G156" s="84">
        <f t="shared" si="73"/>
        <v>1272.9917752415311</v>
      </c>
      <c r="H156" s="84">
        <v>0</v>
      </c>
      <c r="I156" s="109">
        <f t="shared" si="79"/>
        <v>5.7318691318547828</v>
      </c>
      <c r="J156" s="85">
        <f t="shared" si="78"/>
        <v>12.706201741260127</v>
      </c>
      <c r="K156" s="129">
        <f t="shared" si="68"/>
        <v>18.43807087311491</v>
      </c>
      <c r="L156" s="85">
        <f t="shared" si="77"/>
        <v>69.150000000000006</v>
      </c>
      <c r="M156" s="130">
        <f t="shared" si="69"/>
        <v>87.588070873114916</v>
      </c>
      <c r="N156" s="8">
        <f t="shared" si="70"/>
        <v>1285.6979769827913</v>
      </c>
      <c r="O156" s="84">
        <f t="shared" si="71"/>
        <v>1198.1099061096761</v>
      </c>
    </row>
    <row r="157" spans="1:15" x14ac:dyDescent="0.2">
      <c r="A157" s="17" t="s">
        <v>58</v>
      </c>
      <c r="B157" s="81" t="str">
        <f t="shared" si="76"/>
        <v>Q4/2017</v>
      </c>
      <c r="C157" s="82">
        <f t="shared" si="74"/>
        <v>43009</v>
      </c>
      <c r="D157" s="82">
        <f t="shared" si="75"/>
        <v>43100</v>
      </c>
      <c r="E157" s="81">
        <f t="shared" si="72"/>
        <v>92</v>
      </c>
      <c r="F157" s="83">
        <f>VLOOKUP(D157,'FERC Interest Rate'!$A:$B,2,TRUE)</f>
        <v>4.2099999999999999E-2</v>
      </c>
      <c r="G157" s="84">
        <f t="shared" si="73"/>
        <v>1198.1099061096761</v>
      </c>
      <c r="H157" s="84">
        <v>0</v>
      </c>
      <c r="I157" s="109">
        <f t="shared" si="79"/>
        <v>5.7318691318547828</v>
      </c>
      <c r="J157" s="85">
        <f t="shared" si="78"/>
        <v>12.713751474915062</v>
      </c>
      <c r="K157" s="129">
        <f t="shared" si="68"/>
        <v>18.445620606769843</v>
      </c>
      <c r="L157" s="85">
        <f t="shared" si="77"/>
        <v>69.150000000000006</v>
      </c>
      <c r="M157" s="130">
        <f t="shared" si="69"/>
        <v>87.595620606769842</v>
      </c>
      <c r="N157" s="8">
        <f t="shared" si="70"/>
        <v>1210.8236575845913</v>
      </c>
      <c r="O157" s="84">
        <f t="shared" si="71"/>
        <v>1123.2280369778211</v>
      </c>
    </row>
    <row r="158" spans="1:15" x14ac:dyDescent="0.2">
      <c r="A158" s="17" t="s">
        <v>59</v>
      </c>
      <c r="B158" s="81" t="str">
        <f t="shared" si="76"/>
        <v>Q1/2018</v>
      </c>
      <c r="C158" s="82">
        <f t="shared" si="74"/>
        <v>43101</v>
      </c>
      <c r="D158" s="82">
        <f t="shared" si="75"/>
        <v>43190</v>
      </c>
      <c r="E158" s="81">
        <f t="shared" si="72"/>
        <v>90</v>
      </c>
      <c r="F158" s="83">
        <f>VLOOKUP(D158,'FERC Interest Rate'!$A:$B,2,TRUE)</f>
        <v>4.2500000000000003E-2</v>
      </c>
      <c r="G158" s="84">
        <f t="shared" si="73"/>
        <v>1123.2280369778211</v>
      </c>
      <c r="H158" s="84">
        <v>0</v>
      </c>
      <c r="I158" s="109">
        <f t="shared" si="79"/>
        <v>5.7318691318547828</v>
      </c>
      <c r="J158" s="85">
        <f t="shared" si="78"/>
        <v>11.770814360110045</v>
      </c>
      <c r="K158" s="129">
        <f t="shared" si="68"/>
        <v>17.502683491964827</v>
      </c>
      <c r="L158" s="85">
        <f t="shared" si="77"/>
        <v>69.150000000000006</v>
      </c>
      <c r="M158" s="130">
        <f t="shared" si="69"/>
        <v>86.652683491964837</v>
      </c>
      <c r="N158" s="8">
        <f t="shared" si="70"/>
        <v>1134.9988513379312</v>
      </c>
      <c r="O158" s="84">
        <f t="shared" si="71"/>
        <v>1048.3461678459662</v>
      </c>
    </row>
    <row r="159" spans="1:15" x14ac:dyDescent="0.2">
      <c r="A159" s="17" t="s">
        <v>60</v>
      </c>
      <c r="B159" s="81" t="str">
        <f t="shared" si="76"/>
        <v>Q2/2018</v>
      </c>
      <c r="C159" s="82">
        <f t="shared" si="74"/>
        <v>43191</v>
      </c>
      <c r="D159" s="82">
        <f t="shared" si="75"/>
        <v>43281</v>
      </c>
      <c r="E159" s="81">
        <f t="shared" si="72"/>
        <v>91</v>
      </c>
      <c r="F159" s="83">
        <f>VLOOKUP(D159,'FERC Interest Rate'!$A:$B,2,TRUE)</f>
        <v>4.4699999999999997E-2</v>
      </c>
      <c r="G159" s="84">
        <f t="shared" si="73"/>
        <v>1048.3461678459662</v>
      </c>
      <c r="H159" s="84">
        <v>0</v>
      </c>
      <c r="I159" s="109">
        <f t="shared" si="79"/>
        <v>5.7318691318547828</v>
      </c>
      <c r="J159" s="85">
        <f t="shared" si="78"/>
        <v>11.683171799854893</v>
      </c>
      <c r="K159" s="129">
        <f t="shared" si="68"/>
        <v>17.415040931709676</v>
      </c>
      <c r="L159" s="85">
        <f t="shared" si="77"/>
        <v>69.150000000000006</v>
      </c>
      <c r="M159" s="130">
        <f t="shared" si="69"/>
        <v>86.565040931709689</v>
      </c>
      <c r="N159" s="8">
        <f t="shared" si="70"/>
        <v>1060.029339645821</v>
      </c>
      <c r="O159" s="84">
        <f t="shared" si="71"/>
        <v>973.46429871411146</v>
      </c>
    </row>
    <row r="160" spans="1:15" x14ac:dyDescent="0.2">
      <c r="A160" s="17" t="s">
        <v>61</v>
      </c>
      <c r="B160" s="81" t="str">
        <f t="shared" si="76"/>
        <v>Q3/2018</v>
      </c>
      <c r="C160" s="82">
        <f t="shared" si="74"/>
        <v>43282</v>
      </c>
      <c r="D160" s="82">
        <f t="shared" si="75"/>
        <v>43373</v>
      </c>
      <c r="E160" s="81">
        <f t="shared" si="72"/>
        <v>92</v>
      </c>
      <c r="F160" s="83">
        <f>VLOOKUP(D160,'FERC Interest Rate'!$A:$B,2,TRUE)</f>
        <v>5.011111E-2</v>
      </c>
      <c r="G160" s="84">
        <f t="shared" si="73"/>
        <v>973.46429871411146</v>
      </c>
      <c r="H160" s="84">
        <v>0</v>
      </c>
      <c r="I160" s="109">
        <f t="shared" si="79"/>
        <v>5.7318691318547828</v>
      </c>
      <c r="J160" s="85">
        <f t="shared" si="78"/>
        <v>12.295579843731739</v>
      </c>
      <c r="K160" s="129">
        <f t="shared" si="68"/>
        <v>18.027448975586523</v>
      </c>
      <c r="L160" s="85">
        <f t="shared" si="77"/>
        <v>69.150000000000006</v>
      </c>
      <c r="M160" s="130">
        <f t="shared" si="69"/>
        <v>87.177448975586529</v>
      </c>
      <c r="N160" s="8">
        <f t="shared" si="70"/>
        <v>985.75987855784319</v>
      </c>
      <c r="O160" s="84">
        <f t="shared" si="71"/>
        <v>898.58242958225674</v>
      </c>
    </row>
    <row r="161" spans="1:15" x14ac:dyDescent="0.2">
      <c r="A161" s="17" t="s">
        <v>62</v>
      </c>
      <c r="B161" s="81" t="str">
        <f t="shared" si="76"/>
        <v>Q4/2018</v>
      </c>
      <c r="C161" s="82">
        <f t="shared" si="74"/>
        <v>43374</v>
      </c>
      <c r="D161" s="82">
        <f t="shared" si="75"/>
        <v>43465</v>
      </c>
      <c r="E161" s="81">
        <f t="shared" si="72"/>
        <v>92</v>
      </c>
      <c r="F161" s="83">
        <f>VLOOKUP(D161,'FERC Interest Rate'!$A:$B,2,TRUE)</f>
        <v>5.2822580000000001E-2</v>
      </c>
      <c r="G161" s="84">
        <f t="shared" si="73"/>
        <v>898.58242958225674</v>
      </c>
      <c r="H161" s="84">
        <v>0</v>
      </c>
      <c r="I161" s="109">
        <f t="shared" si="79"/>
        <v>5.7318691318547828</v>
      </c>
      <c r="J161" s="85">
        <f t="shared" si="78"/>
        <v>11.963892298999145</v>
      </c>
      <c r="K161" s="129">
        <f t="shared" si="68"/>
        <v>17.695761430853928</v>
      </c>
      <c r="L161" s="85">
        <f t="shared" si="77"/>
        <v>69.150000000000006</v>
      </c>
      <c r="M161" s="130">
        <f t="shared" si="69"/>
        <v>86.845761430853941</v>
      </c>
      <c r="N161" s="8">
        <f t="shared" si="70"/>
        <v>910.54632188125584</v>
      </c>
      <c r="O161" s="84">
        <f t="shared" si="71"/>
        <v>823.70056045040201</v>
      </c>
    </row>
    <row r="162" spans="1:15" x14ac:dyDescent="0.2">
      <c r="A162" s="17" t="s">
        <v>63</v>
      </c>
      <c r="B162" s="81" t="str">
        <f t="shared" si="76"/>
        <v>Q1/2019</v>
      </c>
      <c r="C162" s="82">
        <f t="shared" si="74"/>
        <v>43466</v>
      </c>
      <c r="D162" s="82">
        <f t="shared" si="75"/>
        <v>43555</v>
      </c>
      <c r="E162" s="81">
        <f t="shared" si="72"/>
        <v>90</v>
      </c>
      <c r="F162" s="83">
        <f>VLOOKUP(D162,'FERC Interest Rate'!$A:$B,2,TRUE)</f>
        <v>5.5296770000000002E-2</v>
      </c>
      <c r="G162" s="84">
        <f t="shared" si="73"/>
        <v>823.70056045040201</v>
      </c>
      <c r="H162" s="84">
        <v>0</v>
      </c>
      <c r="I162" s="109">
        <f t="shared" si="79"/>
        <v>5.7318691318547828</v>
      </c>
      <c r="J162" s="85">
        <f t="shared" si="78"/>
        <v>11.231008875640351</v>
      </c>
      <c r="K162" s="129">
        <f t="shared" si="68"/>
        <v>16.962878007495135</v>
      </c>
      <c r="L162" s="85">
        <f t="shared" si="77"/>
        <v>69.150000000000006</v>
      </c>
      <c r="M162" s="130">
        <f t="shared" si="69"/>
        <v>86.112878007495141</v>
      </c>
      <c r="N162" s="8">
        <f t="shared" si="70"/>
        <v>834.93156932604234</v>
      </c>
      <c r="O162" s="84">
        <f t="shared" si="71"/>
        <v>748.81869131854728</v>
      </c>
    </row>
    <row r="163" spans="1:15" x14ac:dyDescent="0.2">
      <c r="A163" s="17" t="s">
        <v>64</v>
      </c>
      <c r="B163" s="81" t="str">
        <f t="shared" si="76"/>
        <v>Q2/2019</v>
      </c>
      <c r="C163" s="82">
        <f t="shared" si="74"/>
        <v>43556</v>
      </c>
      <c r="D163" s="82">
        <f t="shared" si="75"/>
        <v>43646</v>
      </c>
      <c r="E163" s="81">
        <f t="shared" si="72"/>
        <v>91</v>
      </c>
      <c r="F163" s="83">
        <f>VLOOKUP(D163,'FERC Interest Rate'!$A:$B,2,TRUE)</f>
        <v>5.7999999999999996E-2</v>
      </c>
      <c r="G163" s="84">
        <f t="shared" si="73"/>
        <v>748.81869131854728</v>
      </c>
      <c r="H163" s="84">
        <v>0</v>
      </c>
      <c r="I163" s="109">
        <f t="shared" si="79"/>
        <v>5.7318691318547828</v>
      </c>
      <c r="J163" s="85">
        <f t="shared" si="78"/>
        <v>10.828123432272035</v>
      </c>
      <c r="K163" s="129">
        <f t="shared" si="68"/>
        <v>16.559992564126816</v>
      </c>
      <c r="L163" s="85">
        <f t="shared" si="77"/>
        <v>69.150000000000006</v>
      </c>
      <c r="M163" s="130">
        <f t="shared" si="69"/>
        <v>85.709992564126821</v>
      </c>
      <c r="N163" s="8">
        <f t="shared" si="70"/>
        <v>759.64681475081932</v>
      </c>
      <c r="O163" s="84">
        <f t="shared" si="71"/>
        <v>673.93682218669255</v>
      </c>
    </row>
    <row r="164" spans="1:15" x14ac:dyDescent="0.2">
      <c r="A164" s="17" t="s">
        <v>65</v>
      </c>
      <c r="B164" s="81" t="str">
        <f t="shared" si="76"/>
        <v>Q3/2019</v>
      </c>
      <c r="C164" s="82">
        <f t="shared" si="74"/>
        <v>43647</v>
      </c>
      <c r="D164" s="82">
        <f t="shared" si="75"/>
        <v>43738</v>
      </c>
      <c r="E164" s="81">
        <f t="shared" si="72"/>
        <v>92</v>
      </c>
      <c r="F164" s="83">
        <f>VLOOKUP(D164,'FERC Interest Rate'!$A:$B,2,TRUE)</f>
        <v>0.06</v>
      </c>
      <c r="G164" s="84">
        <f t="shared" si="73"/>
        <v>673.93682218669255</v>
      </c>
      <c r="H164" s="84">
        <v>0</v>
      </c>
      <c r="I164" s="109">
        <f t="shared" si="79"/>
        <v>5.7318691318547828</v>
      </c>
      <c r="J164" s="85">
        <f t="shared" si="78"/>
        <v>10.192140434165871</v>
      </c>
      <c r="K164" s="129">
        <f t="shared" si="68"/>
        <v>15.924009566020654</v>
      </c>
      <c r="L164" s="85">
        <f t="shared" si="77"/>
        <v>69.150000000000006</v>
      </c>
      <c r="M164" s="130">
        <f t="shared" si="69"/>
        <v>85.074009566020663</v>
      </c>
      <c r="N164" s="8">
        <f t="shared" si="70"/>
        <v>684.12896262085837</v>
      </c>
      <c r="O164" s="84">
        <f t="shared" si="71"/>
        <v>599.05495305483782</v>
      </c>
    </row>
    <row r="165" spans="1:15" x14ac:dyDescent="0.2">
      <c r="A165" s="17" t="s">
        <v>66</v>
      </c>
      <c r="B165" s="81" t="str">
        <f t="shared" si="76"/>
        <v>Q4/2019</v>
      </c>
      <c r="C165" s="82">
        <f t="shared" si="74"/>
        <v>43739</v>
      </c>
      <c r="D165" s="82">
        <f t="shared" si="75"/>
        <v>43830</v>
      </c>
      <c r="E165" s="81">
        <f t="shared" si="72"/>
        <v>92</v>
      </c>
      <c r="F165" s="83">
        <f>VLOOKUP(D165,'FERC Interest Rate'!$A:$B,2,TRUE)</f>
        <v>6.0349460000000001E-2</v>
      </c>
      <c r="G165" s="84">
        <f t="shared" si="73"/>
        <v>599.05495305483782</v>
      </c>
      <c r="H165" s="84">
        <v>0</v>
      </c>
      <c r="I165" s="109">
        <f t="shared" si="79"/>
        <v>5.7318691318547828</v>
      </c>
      <c r="J165" s="85">
        <f t="shared" si="78"/>
        <v>9.1124469843863096</v>
      </c>
      <c r="K165" s="129">
        <f t="shared" si="68"/>
        <v>14.844316116241092</v>
      </c>
      <c r="L165" s="85">
        <f t="shared" si="77"/>
        <v>69.150000000000006</v>
      </c>
      <c r="M165" s="130">
        <f t="shared" si="69"/>
        <v>83.994316116241095</v>
      </c>
      <c r="N165" s="8">
        <f t="shared" si="70"/>
        <v>608.16740003922416</v>
      </c>
      <c r="O165" s="84">
        <f t="shared" si="71"/>
        <v>524.1730839229831</v>
      </c>
    </row>
    <row r="166" spans="1:15" x14ac:dyDescent="0.2">
      <c r="A166" s="17" t="s">
        <v>67</v>
      </c>
      <c r="B166" s="81" t="str">
        <f t="shared" si="76"/>
        <v>Q1/2020</v>
      </c>
      <c r="C166" s="82">
        <f t="shared" si="74"/>
        <v>43831</v>
      </c>
      <c r="D166" s="82">
        <f t="shared" si="75"/>
        <v>43921</v>
      </c>
      <c r="E166" s="81">
        <f t="shared" si="72"/>
        <v>91</v>
      </c>
      <c r="F166" s="83">
        <f>VLOOKUP(D166,'FERC Interest Rate'!$A:$B,2,TRUE)</f>
        <v>6.2501040000000008E-2</v>
      </c>
      <c r="G166" s="84">
        <f t="shared" si="73"/>
        <v>524.1730839229831</v>
      </c>
      <c r="H166" s="84">
        <v>0</v>
      </c>
      <c r="I166" s="109">
        <f t="shared" si="79"/>
        <v>5.7318691318547828</v>
      </c>
      <c r="J166" s="85">
        <f t="shared" si="78"/>
        <v>8.1455847610727563</v>
      </c>
      <c r="K166" s="129">
        <f t="shared" si="68"/>
        <v>13.877453892927539</v>
      </c>
      <c r="L166" s="85">
        <f t="shared" si="77"/>
        <v>69.150000000000006</v>
      </c>
      <c r="M166" s="130">
        <f t="shared" si="69"/>
        <v>83.027453892927539</v>
      </c>
      <c r="N166" s="8">
        <f t="shared" si="70"/>
        <v>532.31866868405587</v>
      </c>
      <c r="O166" s="84">
        <f t="shared" si="71"/>
        <v>449.29121479112831</v>
      </c>
    </row>
    <row r="167" spans="1:15" x14ac:dyDescent="0.2">
      <c r="A167" s="17" t="s">
        <v>68</v>
      </c>
      <c r="B167" s="81" t="str">
        <f t="shared" si="76"/>
        <v>Q2/2020</v>
      </c>
      <c r="C167" s="82">
        <f t="shared" si="74"/>
        <v>43922</v>
      </c>
      <c r="D167" s="82">
        <f t="shared" si="75"/>
        <v>44012</v>
      </c>
      <c r="E167" s="81">
        <f t="shared" si="72"/>
        <v>91</v>
      </c>
      <c r="F167" s="83">
        <f>VLOOKUP(D167,'FERC Interest Rate'!$A:$B,2,TRUE)</f>
        <v>6.3055559999999997E-2</v>
      </c>
      <c r="G167" s="84">
        <f t="shared" si="73"/>
        <v>449.29121479112831</v>
      </c>
      <c r="H167" s="84">
        <v>0</v>
      </c>
      <c r="I167" s="109">
        <f t="shared" si="79"/>
        <v>5.7318691318547828</v>
      </c>
      <c r="J167" s="85">
        <f t="shared" si="78"/>
        <v>7.0438746798029337</v>
      </c>
      <c r="K167" s="129">
        <f t="shared" si="68"/>
        <v>12.775743811657716</v>
      </c>
      <c r="L167" s="85">
        <f t="shared" si="77"/>
        <v>69.150000000000006</v>
      </c>
      <c r="M167" s="130">
        <f t="shared" si="69"/>
        <v>81.925743811657725</v>
      </c>
      <c r="N167" s="8">
        <f t="shared" si="70"/>
        <v>456.33508947093122</v>
      </c>
      <c r="O167" s="84">
        <f t="shared" si="71"/>
        <v>374.40934565927347</v>
      </c>
    </row>
    <row r="168" spans="1:15" x14ac:dyDescent="0.2">
      <c r="A168" s="17" t="s">
        <v>69</v>
      </c>
      <c r="B168" s="81" t="str">
        <f>+IF(MONTH(C168)&lt;4,"Q1",IF(MONTH(C168)&lt;7,"Q2",IF(MONTH(C168)&lt;10,"Q3","Q4")))&amp;"/"&amp;YEAR(C168)</f>
        <v>Q3/2020</v>
      </c>
      <c r="C168" s="82">
        <f t="shared" si="74"/>
        <v>44013</v>
      </c>
      <c r="D168" s="82">
        <f t="shared" si="75"/>
        <v>44104</v>
      </c>
      <c r="E168" s="81">
        <f t="shared" si="72"/>
        <v>92</v>
      </c>
      <c r="F168" s="83">
        <f>VLOOKUP(D168,'FERC Interest Rate'!$A:$B,2,TRUE)</f>
        <v>6.5000000000000002E-2</v>
      </c>
      <c r="G168" s="84">
        <f t="shared" si="73"/>
        <v>374.40934565927347</v>
      </c>
      <c r="H168" s="84">
        <v>0</v>
      </c>
      <c r="I168" s="109">
        <f t="shared" si="79"/>
        <v>5.7318691318547828</v>
      </c>
      <c r="J168" s="85">
        <f t="shared" si="78"/>
        <v>6.1173985984766537</v>
      </c>
      <c r="K168" s="129">
        <f t="shared" si="68"/>
        <v>11.849267730331437</v>
      </c>
      <c r="L168" s="85">
        <f t="shared" si="77"/>
        <v>69.150000000000006</v>
      </c>
      <c r="M168" s="130">
        <f t="shared" si="69"/>
        <v>80.999267730331439</v>
      </c>
      <c r="N168" s="8">
        <f t="shared" si="70"/>
        <v>380.52674425775012</v>
      </c>
      <c r="O168" s="84">
        <f t="shared" si="71"/>
        <v>299.52747652741863</v>
      </c>
    </row>
    <row r="169" spans="1:15" x14ac:dyDescent="0.2">
      <c r="A169" s="17" t="s">
        <v>70</v>
      </c>
      <c r="B169" s="81" t="str">
        <f>+IF(MONTH(C169)&lt;4,"Q1",IF(MONTH(C169)&lt;7,"Q2",IF(MONTH(C169)&lt;10,"Q3","Q4")))&amp;"/"&amp;YEAR(C169)</f>
        <v>Q4/2020</v>
      </c>
      <c r="C169" s="82">
        <f t="shared" si="74"/>
        <v>44105</v>
      </c>
      <c r="D169" s="82">
        <f t="shared" si="75"/>
        <v>44196</v>
      </c>
      <c r="E169" s="81">
        <f t="shared" si="72"/>
        <v>92</v>
      </c>
      <c r="F169" s="83">
        <f>VLOOKUP(D169,'FERC Interest Rate'!$A:$B,2,TRUE)</f>
        <v>6.5000000000000002E-2</v>
      </c>
      <c r="G169" s="84">
        <f t="shared" si="73"/>
        <v>299.52747652741863</v>
      </c>
      <c r="H169" s="84">
        <v>0</v>
      </c>
      <c r="I169" s="109">
        <f t="shared" si="79"/>
        <v>5.7318691318547828</v>
      </c>
      <c r="J169" s="85">
        <f t="shared" si="78"/>
        <v>4.8939188787813208</v>
      </c>
      <c r="K169" s="129">
        <f t="shared" si="68"/>
        <v>10.625788010636104</v>
      </c>
      <c r="L169" s="85">
        <f t="shared" si="77"/>
        <v>69.150000000000006</v>
      </c>
      <c r="M169" s="130">
        <f t="shared" si="69"/>
        <v>79.775788010636106</v>
      </c>
      <c r="N169" s="8">
        <f t="shared" si="70"/>
        <v>304.42139540619996</v>
      </c>
      <c r="O169" s="84">
        <f t="shared" si="71"/>
        <v>224.64560739556384</v>
      </c>
    </row>
    <row r="170" spans="1:15" x14ac:dyDescent="0.2">
      <c r="A170" s="17" t="s">
        <v>71</v>
      </c>
      <c r="B170" s="81" t="str">
        <f>+IF(MONTH(C170)&lt;4,"Q1",IF(MONTH(C170)&lt;7,"Q2",IF(MONTH(C170)&lt;10,"Q3","Q4")))&amp;"/"&amp;YEAR(C170)</f>
        <v>Q1/2021</v>
      </c>
      <c r="C170" s="82">
        <f>D169+1</f>
        <v>44197</v>
      </c>
      <c r="D170" s="82">
        <f t="shared" si="75"/>
        <v>44286</v>
      </c>
      <c r="E170" s="81">
        <f>D170-C170+1</f>
        <v>90</v>
      </c>
      <c r="F170" s="83">
        <f>VLOOKUP(D170,'FERC Interest Rate'!$A:$B,2,TRUE)</f>
        <v>6.5000000000000002E-2</v>
      </c>
      <c r="G170" s="84">
        <f>O169</f>
        <v>224.64560739556384</v>
      </c>
      <c r="H170" s="84">
        <v>0</v>
      </c>
      <c r="I170" s="109">
        <f t="shared" si="79"/>
        <v>5.7318691318547828</v>
      </c>
      <c r="J170" s="85">
        <f t="shared" si="78"/>
        <v>3.6004843925042422</v>
      </c>
      <c r="K170" s="129">
        <f>+SUM(I170:J170)</f>
        <v>9.332353524359025</v>
      </c>
      <c r="L170" s="85">
        <f t="shared" si="77"/>
        <v>69.150000000000006</v>
      </c>
      <c r="M170" s="130">
        <f>+SUM(K170:L170)</f>
        <v>78.482353524359027</v>
      </c>
      <c r="N170" s="8">
        <f>+G170+H170+J170</f>
        <v>228.2460917880681</v>
      </c>
      <c r="O170" s="84">
        <f>G170+H170-L170-I170</f>
        <v>149.76373826370906</v>
      </c>
    </row>
    <row r="171" spans="1:15" x14ac:dyDescent="0.2">
      <c r="A171" s="17" t="s">
        <v>72</v>
      </c>
      <c r="B171" s="81" t="str">
        <f t="shared" ref="B171:B172" si="80">+IF(MONTH(C171)&lt;4,"Q1",IF(MONTH(C171)&lt;7,"Q2",IF(MONTH(C171)&lt;10,"Q3","Q4")))&amp;"/"&amp;YEAR(C171)</f>
        <v>Q2/2021</v>
      </c>
      <c r="C171" s="82">
        <f t="shared" ref="C171:C172" si="81">D170+1</f>
        <v>44287</v>
      </c>
      <c r="D171" s="82">
        <f t="shared" si="75"/>
        <v>44377</v>
      </c>
      <c r="E171" s="81">
        <f t="shared" ref="E171:E172" si="82">D171-C171+1</f>
        <v>91</v>
      </c>
      <c r="F171" s="83">
        <f>VLOOKUP(D171,'FERC Interest Rate'!$A:$B,2,TRUE)</f>
        <v>6.5000000000000002E-2</v>
      </c>
      <c r="G171" s="84">
        <f t="shared" ref="G171:G172" si="83">O170</f>
        <v>149.76373826370906</v>
      </c>
      <c r="H171" s="84">
        <v>0</v>
      </c>
      <c r="I171" s="109">
        <f t="shared" si="79"/>
        <v>5.7318691318547828</v>
      </c>
      <c r="J171" s="85">
        <f t="shared" ref="J171:J172" si="84">G171*F171*(E171/(DATE(YEAR(D171),12,31)-DATE(YEAR(D171),1,1)+1))</f>
        <v>2.4269931830954499</v>
      </c>
      <c r="K171" s="129">
        <f t="shared" ref="K171:K172" si="85">+SUM(I171:J171)</f>
        <v>8.1588623149502322</v>
      </c>
      <c r="L171" s="85">
        <f t="shared" si="77"/>
        <v>69.150000000000006</v>
      </c>
      <c r="M171" s="130">
        <f t="shared" ref="M171:M172" si="86">+SUM(K171:L171)</f>
        <v>77.308862314950233</v>
      </c>
      <c r="N171" s="8">
        <f t="shared" ref="N171:N172" si="87">+G171+H171+J171</f>
        <v>152.19073144680451</v>
      </c>
      <c r="O171" s="84">
        <f t="shared" ref="O171:O172" si="88">G171+H171-L171-I171</f>
        <v>74.881869131854273</v>
      </c>
    </row>
    <row r="172" spans="1:15" x14ac:dyDescent="0.2">
      <c r="A172" s="17" t="s">
        <v>73</v>
      </c>
      <c r="B172" s="81" t="str">
        <f t="shared" si="80"/>
        <v>Q3/2021</v>
      </c>
      <c r="C172" s="82">
        <f t="shared" si="81"/>
        <v>44378</v>
      </c>
      <c r="D172" s="82">
        <f t="shared" si="75"/>
        <v>44469</v>
      </c>
      <c r="E172" s="81">
        <f t="shared" si="82"/>
        <v>92</v>
      </c>
      <c r="F172" s="83">
        <f>VLOOKUP(D172,'FERC Interest Rate'!$A:$B,2,TRUE)</f>
        <v>6.5000000000000002E-2</v>
      </c>
      <c r="G172" s="84">
        <f t="shared" si="83"/>
        <v>74.881869131854273</v>
      </c>
      <c r="H172" s="84">
        <v>0</v>
      </c>
      <c r="I172" s="109">
        <f t="shared" si="79"/>
        <v>5.7318691318547828</v>
      </c>
      <c r="J172" s="85">
        <f t="shared" si="84"/>
        <v>1.2268317189273661</v>
      </c>
      <c r="K172" s="129">
        <f t="shared" si="85"/>
        <v>6.9587008507821491</v>
      </c>
      <c r="L172" s="85">
        <f t="shared" si="77"/>
        <v>69.150000000000006</v>
      </c>
      <c r="M172" s="130">
        <f t="shared" si="86"/>
        <v>76.108700850782157</v>
      </c>
      <c r="N172" s="8">
        <f t="shared" si="87"/>
        <v>76.108700850781645</v>
      </c>
      <c r="O172" s="84">
        <f t="shared" si="88"/>
        <v>-5.1514348342607263E-13</v>
      </c>
    </row>
    <row r="173" spans="1:15" x14ac:dyDescent="0.2">
      <c r="A173" s="96"/>
      <c r="B173" s="81"/>
      <c r="C173" s="82"/>
      <c r="D173" s="82"/>
      <c r="E173" s="81"/>
      <c r="F173" s="83"/>
      <c r="G173" s="84"/>
      <c r="H173" s="84"/>
      <c r="I173" s="109"/>
      <c r="J173" s="85"/>
      <c r="K173" s="129"/>
      <c r="L173" s="85"/>
      <c r="M173" s="130"/>
      <c r="N173" s="8"/>
      <c r="O173" s="84"/>
    </row>
    <row r="174" spans="1:15" ht="13.5" thickBot="1" x14ac:dyDescent="0.25">
      <c r="A174" s="151"/>
      <c r="B174" s="152"/>
      <c r="C174" s="153"/>
      <c r="D174" s="153"/>
      <c r="E174" s="154"/>
      <c r="F174" s="152"/>
      <c r="G174" s="137">
        <f t="shared" ref="G174:O174" si="89">SUM(G144:G173)</f>
        <v>28536.486062727021</v>
      </c>
      <c r="H174" s="137">
        <f t="shared" si="89"/>
        <v>114.63738263709566</v>
      </c>
      <c r="I174" s="138">
        <f t="shared" si="89"/>
        <v>114.63738263709561</v>
      </c>
      <c r="J174" s="137">
        <f t="shared" si="89"/>
        <v>172.6980697273402</v>
      </c>
      <c r="K174" s="137">
        <f t="shared" si="89"/>
        <v>287.33545236443575</v>
      </c>
      <c r="L174" s="137">
        <f t="shared" si="89"/>
        <v>1383.0000000000002</v>
      </c>
      <c r="M174" s="139">
        <f t="shared" si="89"/>
        <v>1670.3354523644357</v>
      </c>
      <c r="N174" s="137">
        <f t="shared" si="89"/>
        <v>28823.821515091469</v>
      </c>
      <c r="O174" s="137">
        <f t="shared" si="89"/>
        <v>27153.486062727021</v>
      </c>
    </row>
    <row r="175" spans="1:15" ht="13.5" thickTop="1" x14ac:dyDescent="0.2">
      <c r="B175" s="117"/>
      <c r="C175" s="117"/>
      <c r="D175" s="117"/>
      <c r="E175" s="117"/>
      <c r="F175" s="117"/>
      <c r="G175" s="117"/>
      <c r="H175" s="117"/>
      <c r="I175" s="116"/>
      <c r="J175" s="117"/>
      <c r="K175" s="117"/>
      <c r="L175" s="117"/>
      <c r="M175" s="131"/>
      <c r="O175" s="117"/>
    </row>
    <row r="176" spans="1:15" ht="38.25" x14ac:dyDescent="0.2">
      <c r="A176" s="90" t="s">
        <v>53</v>
      </c>
      <c r="B176" s="90" t="s">
        <v>3</v>
      </c>
      <c r="C176" s="90" t="s">
        <v>4</v>
      </c>
      <c r="D176" s="90" t="s">
        <v>5</v>
      </c>
      <c r="E176" s="90" t="s">
        <v>6</v>
      </c>
      <c r="F176" s="90" t="s">
        <v>7</v>
      </c>
      <c r="G176" s="90" t="s">
        <v>93</v>
      </c>
      <c r="H176" s="90" t="s">
        <v>94</v>
      </c>
      <c r="I176" s="105" t="s">
        <v>95</v>
      </c>
      <c r="J176" s="106" t="s">
        <v>96</v>
      </c>
      <c r="K176" s="106" t="s">
        <v>97</v>
      </c>
      <c r="L176" s="106" t="s">
        <v>98</v>
      </c>
      <c r="M176" s="107" t="s">
        <v>99</v>
      </c>
      <c r="N176" s="90" t="s">
        <v>100</v>
      </c>
      <c r="O176" s="90" t="s">
        <v>101</v>
      </c>
    </row>
    <row r="177" spans="1:15" x14ac:dyDescent="0.2">
      <c r="A177" s="309" t="s">
        <v>15</v>
      </c>
      <c r="B177" s="309"/>
      <c r="C177" s="282">
        <f>VLOOKUP(B178,A$1:F$18,2,FALSE)</f>
        <v>41887</v>
      </c>
      <c r="D177" s="282">
        <f>DATE(YEAR(C177),IF(MONTH(C177)&lt;=3,3,IF(MONTH(C177)&lt;=6,6,IF(MONTH(C177)&lt;=9,9,12))),IF(OR(MONTH(C177)&lt;=3,MONTH(C177)&gt;=10),31,30))</f>
        <v>41912</v>
      </c>
      <c r="E177" s="283">
        <f>D177-C177+1</f>
        <v>26</v>
      </c>
      <c r="F177" s="284">
        <f>VLOOKUP(D177,'FERC Interest Rate'!$A:$B,2,TRUE)</f>
        <v>3.2500000000000001E-2</v>
      </c>
      <c r="G177" s="167">
        <f>VLOOKUP(B178,$A$1:$F$22,5,FALSE)</f>
        <v>1675.5</v>
      </c>
      <c r="H177" s="167">
        <f t="shared" ref="H177:H186" si="90">G177*F177*(E177/(DATE(YEAR(D177),12,31)-DATE(YEAR(D177),1,1)+1))</f>
        <v>3.8788972602739724</v>
      </c>
      <c r="I177" s="291">
        <v>0</v>
      </c>
      <c r="J177" s="286">
        <v>0</v>
      </c>
      <c r="K177" s="288">
        <f t="shared" ref="K177:K202" si="91">+SUM(I177:J177)</f>
        <v>0</v>
      </c>
      <c r="L177" s="286">
        <v>0</v>
      </c>
      <c r="M177" s="289">
        <f t="shared" ref="M177:M202" si="92">+SUM(K177:L177)</f>
        <v>0</v>
      </c>
      <c r="N177" s="290">
        <f t="shared" ref="N177:N202" si="93">+G177+H177+J177</f>
        <v>1679.378897260274</v>
      </c>
      <c r="O177" s="167">
        <f t="shared" ref="O177:O202" si="94">G177+H177-L177-I177</f>
        <v>1679.378897260274</v>
      </c>
    </row>
    <row r="178" spans="1:15" x14ac:dyDescent="0.2">
      <c r="A178" s="275" t="s">
        <v>38</v>
      </c>
      <c r="B178" s="276" t="s">
        <v>57</v>
      </c>
      <c r="C178" s="282">
        <f>D177+1</f>
        <v>41913</v>
      </c>
      <c r="D178" s="282">
        <f>EOMONTH(D177,3)</f>
        <v>42004</v>
      </c>
      <c r="E178" s="283">
        <f t="shared" ref="E178:E202" si="95">D178-C178+1</f>
        <v>92</v>
      </c>
      <c r="F178" s="284">
        <f>VLOOKUP(D178,'FERC Interest Rate'!$A:$B,2,TRUE)</f>
        <v>3.2500000000000001E-2</v>
      </c>
      <c r="G178" s="167">
        <f t="shared" ref="G178:G202" si="96">O177</f>
        <v>1679.378897260274</v>
      </c>
      <c r="H178" s="167">
        <f t="shared" si="90"/>
        <v>13.757103843310192</v>
      </c>
      <c r="I178" s="291">
        <v>0</v>
      </c>
      <c r="J178" s="286">
        <v>0</v>
      </c>
      <c r="K178" s="288">
        <f t="shared" si="91"/>
        <v>0</v>
      </c>
      <c r="L178" s="286">
        <v>0</v>
      </c>
      <c r="M178" s="289">
        <f t="shared" si="92"/>
        <v>0</v>
      </c>
      <c r="N178" s="290">
        <f t="shared" si="93"/>
        <v>1693.1360011035842</v>
      </c>
      <c r="O178" s="167">
        <f t="shared" si="94"/>
        <v>1693.1360011035842</v>
      </c>
    </row>
    <row r="179" spans="1:15" x14ac:dyDescent="0.2">
      <c r="B179" s="283"/>
      <c r="C179" s="282">
        <f t="shared" ref="C179:C202" si="97">D178+1</f>
        <v>42005</v>
      </c>
      <c r="D179" s="282">
        <f t="shared" ref="D179:D205" si="98">EOMONTH(D178,3)</f>
        <v>42094</v>
      </c>
      <c r="E179" s="283">
        <f t="shared" si="95"/>
        <v>90</v>
      </c>
      <c r="F179" s="284">
        <f>VLOOKUP(D179,'FERC Interest Rate'!$A:$B,2,TRUE)</f>
        <v>3.2500000000000001E-2</v>
      </c>
      <c r="G179" s="167">
        <f t="shared" si="96"/>
        <v>1693.1360011035842</v>
      </c>
      <c r="H179" s="167">
        <f t="shared" si="90"/>
        <v>13.568281652679408</v>
      </c>
      <c r="I179" s="291">
        <v>0</v>
      </c>
      <c r="J179" s="286">
        <v>0</v>
      </c>
      <c r="K179" s="288">
        <f t="shared" si="91"/>
        <v>0</v>
      </c>
      <c r="L179" s="286">
        <v>0</v>
      </c>
      <c r="M179" s="289">
        <f t="shared" si="92"/>
        <v>0</v>
      </c>
      <c r="N179" s="290">
        <f t="shared" si="93"/>
        <v>1706.7042827562636</v>
      </c>
      <c r="O179" s="167">
        <f t="shared" si="94"/>
        <v>1706.7042827562636</v>
      </c>
    </row>
    <row r="180" spans="1:15" x14ac:dyDescent="0.2">
      <c r="B180" s="283"/>
      <c r="C180" s="282">
        <f t="shared" si="97"/>
        <v>42095</v>
      </c>
      <c r="D180" s="282">
        <f t="shared" si="98"/>
        <v>42185</v>
      </c>
      <c r="E180" s="283">
        <f t="shared" si="95"/>
        <v>91</v>
      </c>
      <c r="F180" s="284">
        <f>VLOOKUP(D180,'FERC Interest Rate'!$A:$B,2,TRUE)</f>
        <v>3.2500000000000001E-2</v>
      </c>
      <c r="G180" s="167">
        <f t="shared" si="96"/>
        <v>1706.7042827562636</v>
      </c>
      <c r="H180" s="167">
        <f t="shared" si="90"/>
        <v>13.828980592470273</v>
      </c>
      <c r="I180" s="291">
        <v>0</v>
      </c>
      <c r="J180" s="286">
        <v>0</v>
      </c>
      <c r="K180" s="288">
        <f t="shared" si="91"/>
        <v>0</v>
      </c>
      <c r="L180" s="286">
        <v>0</v>
      </c>
      <c r="M180" s="289">
        <f t="shared" si="92"/>
        <v>0</v>
      </c>
      <c r="N180" s="290">
        <f t="shared" si="93"/>
        <v>1720.533263348734</v>
      </c>
      <c r="O180" s="167">
        <f t="shared" si="94"/>
        <v>1720.533263348734</v>
      </c>
    </row>
    <row r="181" spans="1:15" x14ac:dyDescent="0.2">
      <c r="B181" s="283"/>
      <c r="C181" s="282">
        <f t="shared" si="97"/>
        <v>42186</v>
      </c>
      <c r="D181" s="282">
        <f t="shared" si="98"/>
        <v>42277</v>
      </c>
      <c r="E181" s="283">
        <f t="shared" si="95"/>
        <v>92</v>
      </c>
      <c r="F181" s="284">
        <f>VLOOKUP(D181,'FERC Interest Rate'!$A:$B,2,TRUE)</f>
        <v>3.2500000000000001E-2</v>
      </c>
      <c r="G181" s="167">
        <f t="shared" si="96"/>
        <v>1720.533263348734</v>
      </c>
      <c r="H181" s="167">
        <f t="shared" si="90"/>
        <v>14.094231390171821</v>
      </c>
      <c r="I181" s="291">
        <v>0</v>
      </c>
      <c r="J181" s="286">
        <v>0</v>
      </c>
      <c r="K181" s="288">
        <f t="shared" si="91"/>
        <v>0</v>
      </c>
      <c r="L181" s="286">
        <v>0</v>
      </c>
      <c r="M181" s="289">
        <f t="shared" si="92"/>
        <v>0</v>
      </c>
      <c r="N181" s="290">
        <f t="shared" si="93"/>
        <v>1734.6274947389059</v>
      </c>
      <c r="O181" s="167">
        <f t="shared" si="94"/>
        <v>1734.6274947389059</v>
      </c>
    </row>
    <row r="182" spans="1:15" x14ac:dyDescent="0.2">
      <c r="B182" s="283"/>
      <c r="C182" s="282">
        <f t="shared" si="97"/>
        <v>42278</v>
      </c>
      <c r="D182" s="282">
        <f t="shared" si="98"/>
        <v>42369</v>
      </c>
      <c r="E182" s="283">
        <f t="shared" si="95"/>
        <v>92</v>
      </c>
      <c r="F182" s="284">
        <f>VLOOKUP(D182,'FERC Interest Rate'!$A:$B,2,TRUE)</f>
        <v>3.2500000000000001E-2</v>
      </c>
      <c r="G182" s="167">
        <f t="shared" si="96"/>
        <v>1734.6274947389059</v>
      </c>
      <c r="H182" s="167">
        <f t="shared" si="90"/>
        <v>14.209688244573504</v>
      </c>
      <c r="I182" s="291">
        <v>0</v>
      </c>
      <c r="J182" s="286">
        <v>0</v>
      </c>
      <c r="K182" s="288">
        <f t="shared" si="91"/>
        <v>0</v>
      </c>
      <c r="L182" s="286">
        <v>0</v>
      </c>
      <c r="M182" s="289">
        <f t="shared" si="92"/>
        <v>0</v>
      </c>
      <c r="N182" s="290">
        <f t="shared" si="93"/>
        <v>1748.8371829834794</v>
      </c>
      <c r="O182" s="167">
        <f t="shared" si="94"/>
        <v>1748.8371829834794</v>
      </c>
    </row>
    <row r="183" spans="1:15" x14ac:dyDescent="0.2">
      <c r="A183" s="96"/>
      <c r="B183" s="81"/>
      <c r="C183" s="82">
        <f t="shared" si="97"/>
        <v>42370</v>
      </c>
      <c r="D183" s="82">
        <f t="shared" si="98"/>
        <v>42460</v>
      </c>
      <c r="E183" s="81">
        <f t="shared" si="95"/>
        <v>91</v>
      </c>
      <c r="F183" s="83">
        <f>VLOOKUP(D183,'FERC Interest Rate'!$A:$B,2,TRUE)</f>
        <v>3.2500000000000001E-2</v>
      </c>
      <c r="G183" s="84">
        <f t="shared" si="96"/>
        <v>1748.8371829834794</v>
      </c>
      <c r="H183" s="167">
        <f t="shared" si="90"/>
        <v>14.131655652113771</v>
      </c>
      <c r="I183" s="173">
        <v>0</v>
      </c>
      <c r="J183" s="286">
        <v>0</v>
      </c>
      <c r="K183" s="129">
        <f t="shared" si="91"/>
        <v>0</v>
      </c>
      <c r="L183" s="85">
        <v>0</v>
      </c>
      <c r="M183" s="130">
        <f t="shared" si="92"/>
        <v>0</v>
      </c>
      <c r="N183" s="8">
        <f t="shared" si="93"/>
        <v>1762.9688386355931</v>
      </c>
      <c r="O183" s="84">
        <f t="shared" si="94"/>
        <v>1762.9688386355931</v>
      </c>
    </row>
    <row r="184" spans="1:15" x14ac:dyDescent="0.2">
      <c r="A184" s="96"/>
      <c r="B184" s="81"/>
      <c r="C184" s="82">
        <f t="shared" si="97"/>
        <v>42461</v>
      </c>
      <c r="D184" s="82">
        <f t="shared" si="98"/>
        <v>42551</v>
      </c>
      <c r="E184" s="81">
        <f t="shared" si="95"/>
        <v>91</v>
      </c>
      <c r="F184" s="83">
        <f>VLOOKUP(D184,'FERC Interest Rate'!$A:$B,2,TRUE)</f>
        <v>3.4599999999999999E-2</v>
      </c>
      <c r="G184" s="84">
        <f t="shared" si="96"/>
        <v>1762.9688386355931</v>
      </c>
      <c r="H184" s="84">
        <f t="shared" si="90"/>
        <v>15.16634886701647</v>
      </c>
      <c r="I184" s="173">
        <v>0</v>
      </c>
      <c r="J184" s="85">
        <v>0</v>
      </c>
      <c r="K184" s="129">
        <f t="shared" si="91"/>
        <v>0</v>
      </c>
      <c r="L184" s="85">
        <v>0</v>
      </c>
      <c r="M184" s="130">
        <f t="shared" si="92"/>
        <v>0</v>
      </c>
      <c r="N184" s="8">
        <f t="shared" si="93"/>
        <v>1778.1351875026096</v>
      </c>
      <c r="O184" s="84">
        <f t="shared" si="94"/>
        <v>1778.1351875026096</v>
      </c>
    </row>
    <row r="185" spans="1:15" x14ac:dyDescent="0.2">
      <c r="A185" s="96"/>
      <c r="B185" s="81"/>
      <c r="C185" s="82">
        <f t="shared" si="97"/>
        <v>42552</v>
      </c>
      <c r="D185" s="82">
        <f t="shared" si="98"/>
        <v>42643</v>
      </c>
      <c r="E185" s="81">
        <f t="shared" si="95"/>
        <v>92</v>
      </c>
      <c r="F185" s="83">
        <f>VLOOKUP(D185,'FERC Interest Rate'!$A:$B,2,TRUE)</f>
        <v>3.5000000000000003E-2</v>
      </c>
      <c r="G185" s="84">
        <f t="shared" si="96"/>
        <v>1778.1351875026096</v>
      </c>
      <c r="H185" s="84">
        <f t="shared" si="90"/>
        <v>15.643703015733344</v>
      </c>
      <c r="I185" s="173">
        <v>0</v>
      </c>
      <c r="J185" s="85">
        <v>0</v>
      </c>
      <c r="K185" s="129">
        <f t="shared" si="91"/>
        <v>0</v>
      </c>
      <c r="L185" s="85">
        <v>0</v>
      </c>
      <c r="M185" s="130">
        <f t="shared" si="92"/>
        <v>0</v>
      </c>
      <c r="N185" s="8">
        <f t="shared" si="93"/>
        <v>1793.7788905183429</v>
      </c>
      <c r="O185" s="84">
        <f t="shared" si="94"/>
        <v>1793.7788905183429</v>
      </c>
    </row>
    <row r="186" spans="1:15" x14ac:dyDescent="0.2">
      <c r="A186" s="17" t="s">
        <v>54</v>
      </c>
      <c r="B186" s="81" t="str">
        <f t="shared" ref="B186:B199" si="99">+IF(MONTH(C186)&lt;4,"Q1",IF(MONTH(C186)&lt;7,"Q2",IF(MONTH(C186)&lt;10,"Q3","Q4")))&amp;"/"&amp;YEAR(C186)</f>
        <v>Q4/2016</v>
      </c>
      <c r="C186" s="82">
        <f t="shared" si="97"/>
        <v>42644</v>
      </c>
      <c r="D186" s="82">
        <f t="shared" si="98"/>
        <v>42735</v>
      </c>
      <c r="E186" s="81">
        <f t="shared" si="95"/>
        <v>92</v>
      </c>
      <c r="F186" s="83">
        <f>VLOOKUP(D186,'FERC Interest Rate'!$A:$B,2,TRUE)</f>
        <v>3.5000000000000003E-2</v>
      </c>
      <c r="G186" s="84">
        <f t="shared" si="96"/>
        <v>1793.7788905183429</v>
      </c>
      <c r="H186" s="84">
        <f t="shared" si="90"/>
        <v>15.781333408385423</v>
      </c>
      <c r="I186" s="109">
        <f t="shared" ref="I186:I202" si="100">(SUM($H$177:$H$206)/20)</f>
        <v>6.7030111963364076</v>
      </c>
      <c r="J186" s="85">
        <v>0</v>
      </c>
      <c r="K186" s="129">
        <f t="shared" si="91"/>
        <v>6.7030111963364076</v>
      </c>
      <c r="L186" s="85">
        <f t="shared" ref="L186:L205" si="101">VLOOKUP($B$178,A$1:F$18,5,FALSE)/20</f>
        <v>83.775000000000006</v>
      </c>
      <c r="M186" s="130">
        <f t="shared" si="92"/>
        <v>90.478011196336411</v>
      </c>
      <c r="N186" s="8">
        <f t="shared" si="93"/>
        <v>1809.5602239267284</v>
      </c>
      <c r="O186" s="84">
        <f t="shared" si="94"/>
        <v>1719.082212730392</v>
      </c>
    </row>
    <row r="187" spans="1:15" x14ac:dyDescent="0.2">
      <c r="A187" s="17" t="s">
        <v>55</v>
      </c>
      <c r="B187" s="81" t="str">
        <f t="shared" si="99"/>
        <v>Q1/2017</v>
      </c>
      <c r="C187" s="82">
        <f t="shared" si="97"/>
        <v>42736</v>
      </c>
      <c r="D187" s="82">
        <f t="shared" si="98"/>
        <v>42825</v>
      </c>
      <c r="E187" s="81">
        <f t="shared" si="95"/>
        <v>90</v>
      </c>
      <c r="F187" s="83">
        <f>VLOOKUP(D187,'FERC Interest Rate'!$A:$B,2,TRUE)</f>
        <v>3.5000000000000003E-2</v>
      </c>
      <c r="G187" s="84">
        <f t="shared" si="96"/>
        <v>1719.082212730392</v>
      </c>
      <c r="H187" s="84">
        <v>0</v>
      </c>
      <c r="I187" s="109">
        <f t="shared" si="100"/>
        <v>6.7030111963364076</v>
      </c>
      <c r="J187" s="85">
        <f>G187*F187*(E187/(DATE(YEAR(D187),12,31)-DATE(YEAR(D187),1,1)+1))</f>
        <v>14.835914986577356</v>
      </c>
      <c r="K187" s="129">
        <f t="shared" si="91"/>
        <v>21.538926182913762</v>
      </c>
      <c r="L187" s="85">
        <f t="shared" si="101"/>
        <v>83.775000000000006</v>
      </c>
      <c r="M187" s="130">
        <f t="shared" si="92"/>
        <v>105.31392618291378</v>
      </c>
      <c r="N187" s="8">
        <f t="shared" si="93"/>
        <v>1733.9181277169694</v>
      </c>
      <c r="O187" s="84">
        <f t="shared" si="94"/>
        <v>1628.6042015340556</v>
      </c>
    </row>
    <row r="188" spans="1:15" x14ac:dyDescent="0.2">
      <c r="A188" s="17" t="s">
        <v>56</v>
      </c>
      <c r="B188" s="81" t="str">
        <f t="shared" si="99"/>
        <v>Q2/2017</v>
      </c>
      <c r="C188" s="82">
        <f t="shared" si="97"/>
        <v>42826</v>
      </c>
      <c r="D188" s="82">
        <f t="shared" si="98"/>
        <v>42916</v>
      </c>
      <c r="E188" s="81">
        <f t="shared" si="95"/>
        <v>91</v>
      </c>
      <c r="F188" s="83">
        <f>VLOOKUP(D188,'FERC Interest Rate'!$A:$B,2,TRUE)</f>
        <v>3.7100000000000001E-2</v>
      </c>
      <c r="G188" s="84">
        <f t="shared" si="96"/>
        <v>1628.6042015340556</v>
      </c>
      <c r="H188" s="84">
        <v>0</v>
      </c>
      <c r="I188" s="109">
        <f t="shared" si="100"/>
        <v>6.7030111963364076</v>
      </c>
      <c r="J188" s="85">
        <f>G188*F188*(E188/(DATE(YEAR(D188),12,31)-DATE(YEAR(D188),1,1)+1))</f>
        <v>15.063919574792124</v>
      </c>
      <c r="K188" s="129">
        <f t="shared" si="91"/>
        <v>21.766930771128532</v>
      </c>
      <c r="L188" s="85">
        <f t="shared" si="101"/>
        <v>83.775000000000006</v>
      </c>
      <c r="M188" s="130">
        <f t="shared" si="92"/>
        <v>105.54193077112853</v>
      </c>
      <c r="N188" s="8">
        <f t="shared" si="93"/>
        <v>1643.6681211088478</v>
      </c>
      <c r="O188" s="84">
        <f t="shared" si="94"/>
        <v>1538.1261903377192</v>
      </c>
    </row>
    <row r="189" spans="1:15" x14ac:dyDescent="0.2">
      <c r="A189" s="17" t="s">
        <v>57</v>
      </c>
      <c r="B189" s="81" t="str">
        <f t="shared" si="99"/>
        <v>Q3/2017</v>
      </c>
      <c r="C189" s="82">
        <f t="shared" si="97"/>
        <v>42917</v>
      </c>
      <c r="D189" s="82">
        <f t="shared" si="98"/>
        <v>43008</v>
      </c>
      <c r="E189" s="81">
        <f t="shared" si="95"/>
        <v>92</v>
      </c>
      <c r="F189" s="83">
        <f>VLOOKUP(D189,'FERC Interest Rate'!$A:$B,2,TRUE)</f>
        <v>3.9600000000000003E-2</v>
      </c>
      <c r="G189" s="84">
        <f t="shared" si="96"/>
        <v>1538.1261903377192</v>
      </c>
      <c r="H189" s="84">
        <v>0</v>
      </c>
      <c r="I189" s="109">
        <f t="shared" si="100"/>
        <v>6.7030111963364076</v>
      </c>
      <c r="J189" s="85">
        <f t="shared" ref="J189:J202" si="102">G189*F189*(E189/(DATE(YEAR(D189),12,31)-DATE(YEAR(D189),1,1)+1))</f>
        <v>15.352606401748986</v>
      </c>
      <c r="K189" s="129">
        <f t="shared" si="91"/>
        <v>22.055617598085394</v>
      </c>
      <c r="L189" s="85">
        <f t="shared" si="101"/>
        <v>83.775000000000006</v>
      </c>
      <c r="M189" s="130">
        <f t="shared" si="92"/>
        <v>105.8306175980854</v>
      </c>
      <c r="N189" s="8">
        <f t="shared" si="93"/>
        <v>1553.4787967394682</v>
      </c>
      <c r="O189" s="84">
        <f t="shared" si="94"/>
        <v>1447.6481791413828</v>
      </c>
    </row>
    <row r="190" spans="1:15" x14ac:dyDescent="0.2">
      <c r="A190" s="17" t="s">
        <v>58</v>
      </c>
      <c r="B190" s="81" t="str">
        <f t="shared" si="99"/>
        <v>Q4/2017</v>
      </c>
      <c r="C190" s="82">
        <f t="shared" si="97"/>
        <v>43009</v>
      </c>
      <c r="D190" s="82">
        <f t="shared" si="98"/>
        <v>43100</v>
      </c>
      <c r="E190" s="81">
        <f t="shared" si="95"/>
        <v>92</v>
      </c>
      <c r="F190" s="83">
        <f>VLOOKUP(D190,'FERC Interest Rate'!$A:$B,2,TRUE)</f>
        <v>4.2099999999999999E-2</v>
      </c>
      <c r="G190" s="84">
        <f t="shared" si="96"/>
        <v>1447.6481791413828</v>
      </c>
      <c r="H190" s="84">
        <v>0</v>
      </c>
      <c r="I190" s="109">
        <f t="shared" si="100"/>
        <v>6.7030111963364076</v>
      </c>
      <c r="J190" s="85">
        <f t="shared" si="102"/>
        <v>15.361728568357272</v>
      </c>
      <c r="K190" s="129">
        <f t="shared" si="91"/>
        <v>22.06473976469368</v>
      </c>
      <c r="L190" s="85">
        <f t="shared" si="101"/>
        <v>83.775000000000006</v>
      </c>
      <c r="M190" s="130">
        <f t="shared" si="92"/>
        <v>105.83973976469369</v>
      </c>
      <c r="N190" s="8">
        <f t="shared" si="93"/>
        <v>1463.00990770974</v>
      </c>
      <c r="O190" s="84">
        <f t="shared" si="94"/>
        <v>1357.1701679450464</v>
      </c>
    </row>
    <row r="191" spans="1:15" x14ac:dyDescent="0.2">
      <c r="A191" s="17" t="s">
        <v>59</v>
      </c>
      <c r="B191" s="81" t="str">
        <f t="shared" si="99"/>
        <v>Q1/2018</v>
      </c>
      <c r="C191" s="82">
        <f t="shared" si="97"/>
        <v>43101</v>
      </c>
      <c r="D191" s="82">
        <f t="shared" si="98"/>
        <v>43190</v>
      </c>
      <c r="E191" s="81">
        <f t="shared" si="95"/>
        <v>90</v>
      </c>
      <c r="F191" s="83">
        <f>VLOOKUP(D191,'FERC Interest Rate'!$A:$B,2,TRUE)</f>
        <v>4.2500000000000003E-2</v>
      </c>
      <c r="G191" s="84">
        <f t="shared" si="96"/>
        <v>1357.1701679450464</v>
      </c>
      <c r="H191" s="84">
        <v>0</v>
      </c>
      <c r="I191" s="109">
        <f t="shared" si="100"/>
        <v>6.7030111963364076</v>
      </c>
      <c r="J191" s="85">
        <f t="shared" si="102"/>
        <v>14.222399705177541</v>
      </c>
      <c r="K191" s="129">
        <f t="shared" si="91"/>
        <v>20.925410901513949</v>
      </c>
      <c r="L191" s="85">
        <f t="shared" si="101"/>
        <v>83.775000000000006</v>
      </c>
      <c r="M191" s="130">
        <f t="shared" si="92"/>
        <v>104.70041090151395</v>
      </c>
      <c r="N191" s="8">
        <f t="shared" si="93"/>
        <v>1371.392567650224</v>
      </c>
      <c r="O191" s="84">
        <f t="shared" si="94"/>
        <v>1266.69215674871</v>
      </c>
    </row>
    <row r="192" spans="1:15" x14ac:dyDescent="0.2">
      <c r="A192" s="17" t="s">
        <v>60</v>
      </c>
      <c r="B192" s="81" t="str">
        <f t="shared" si="99"/>
        <v>Q2/2018</v>
      </c>
      <c r="C192" s="82">
        <f t="shared" si="97"/>
        <v>43191</v>
      </c>
      <c r="D192" s="82">
        <f t="shared" si="98"/>
        <v>43281</v>
      </c>
      <c r="E192" s="81">
        <f t="shared" si="95"/>
        <v>91</v>
      </c>
      <c r="F192" s="83">
        <f>VLOOKUP(D192,'FERC Interest Rate'!$A:$B,2,TRUE)</f>
        <v>4.4699999999999997E-2</v>
      </c>
      <c r="G192" s="84">
        <f t="shared" si="96"/>
        <v>1266.69215674871</v>
      </c>
      <c r="H192" s="84">
        <v>0</v>
      </c>
      <c r="I192" s="109">
        <f t="shared" si="100"/>
        <v>6.7030111963364076</v>
      </c>
      <c r="J192" s="85">
        <f t="shared" si="102"/>
        <v>14.116503249333499</v>
      </c>
      <c r="K192" s="129">
        <f t="shared" si="91"/>
        <v>20.819514445669906</v>
      </c>
      <c r="L192" s="85">
        <f t="shared" si="101"/>
        <v>83.775000000000006</v>
      </c>
      <c r="M192" s="130">
        <f t="shared" si="92"/>
        <v>104.59451444566992</v>
      </c>
      <c r="N192" s="8">
        <f t="shared" si="93"/>
        <v>1280.8086599980434</v>
      </c>
      <c r="O192" s="84">
        <f t="shared" si="94"/>
        <v>1176.2141455523736</v>
      </c>
    </row>
    <row r="193" spans="1:15" x14ac:dyDescent="0.2">
      <c r="A193" s="17" t="s">
        <v>61</v>
      </c>
      <c r="B193" s="81" t="str">
        <f t="shared" si="99"/>
        <v>Q3/2018</v>
      </c>
      <c r="C193" s="82">
        <f t="shared" si="97"/>
        <v>43282</v>
      </c>
      <c r="D193" s="82">
        <f t="shared" si="98"/>
        <v>43373</v>
      </c>
      <c r="E193" s="81">
        <f t="shared" si="95"/>
        <v>92</v>
      </c>
      <c r="F193" s="83">
        <f>VLOOKUP(D193,'FERC Interest Rate'!$A:$B,2,TRUE)</f>
        <v>5.011111E-2</v>
      </c>
      <c r="G193" s="84">
        <f t="shared" si="96"/>
        <v>1176.2141455523736</v>
      </c>
      <c r="H193" s="84">
        <v>0</v>
      </c>
      <c r="I193" s="109">
        <f t="shared" si="100"/>
        <v>6.7030111963364076</v>
      </c>
      <c r="J193" s="85">
        <f t="shared" si="102"/>
        <v>14.856461566253294</v>
      </c>
      <c r="K193" s="129">
        <f t="shared" si="91"/>
        <v>21.559472762589703</v>
      </c>
      <c r="L193" s="85">
        <f t="shared" si="101"/>
        <v>83.775000000000006</v>
      </c>
      <c r="M193" s="130">
        <f t="shared" si="92"/>
        <v>105.33447276258971</v>
      </c>
      <c r="N193" s="8">
        <f t="shared" si="93"/>
        <v>1191.0706071186269</v>
      </c>
      <c r="O193" s="84">
        <f t="shared" si="94"/>
        <v>1085.7361343560372</v>
      </c>
    </row>
    <row r="194" spans="1:15" x14ac:dyDescent="0.2">
      <c r="A194" s="17" t="s">
        <v>62</v>
      </c>
      <c r="B194" s="81" t="str">
        <f t="shared" si="99"/>
        <v>Q4/2018</v>
      </c>
      <c r="C194" s="82">
        <f t="shared" si="97"/>
        <v>43374</v>
      </c>
      <c r="D194" s="82">
        <f t="shared" si="98"/>
        <v>43465</v>
      </c>
      <c r="E194" s="81">
        <f t="shared" si="95"/>
        <v>92</v>
      </c>
      <c r="F194" s="83">
        <f>VLOOKUP(D194,'FERC Interest Rate'!$A:$B,2,TRUE)</f>
        <v>5.2822580000000001E-2</v>
      </c>
      <c r="G194" s="84">
        <f t="shared" si="96"/>
        <v>1085.7361343560372</v>
      </c>
      <c r="H194" s="84">
        <v>0</v>
      </c>
      <c r="I194" s="109">
        <f t="shared" si="100"/>
        <v>6.7030111963364076</v>
      </c>
      <c r="J194" s="85">
        <f t="shared" si="102"/>
        <v>14.455691263188911</v>
      </c>
      <c r="K194" s="129">
        <f t="shared" si="91"/>
        <v>21.158702459525319</v>
      </c>
      <c r="L194" s="85">
        <f t="shared" si="101"/>
        <v>83.775000000000006</v>
      </c>
      <c r="M194" s="130">
        <f t="shared" si="92"/>
        <v>104.93370245952532</v>
      </c>
      <c r="N194" s="8">
        <f t="shared" si="93"/>
        <v>1100.1918256192262</v>
      </c>
      <c r="O194" s="84">
        <f t="shared" si="94"/>
        <v>995.25812315970074</v>
      </c>
    </row>
    <row r="195" spans="1:15" x14ac:dyDescent="0.2">
      <c r="A195" s="17" t="s">
        <v>63</v>
      </c>
      <c r="B195" s="81" t="str">
        <f t="shared" si="99"/>
        <v>Q1/2019</v>
      </c>
      <c r="C195" s="82">
        <f t="shared" si="97"/>
        <v>43466</v>
      </c>
      <c r="D195" s="82">
        <f t="shared" si="98"/>
        <v>43555</v>
      </c>
      <c r="E195" s="81">
        <f t="shared" si="95"/>
        <v>90</v>
      </c>
      <c r="F195" s="83">
        <f>VLOOKUP(D195,'FERC Interest Rate'!$A:$B,2,TRUE)</f>
        <v>5.5296770000000002E-2</v>
      </c>
      <c r="G195" s="84">
        <f t="shared" si="96"/>
        <v>995.25812315970074</v>
      </c>
      <c r="H195" s="84">
        <v>0</v>
      </c>
      <c r="I195" s="109">
        <f t="shared" si="100"/>
        <v>6.7030111963364076</v>
      </c>
      <c r="J195" s="85">
        <f t="shared" si="102"/>
        <v>13.570165362820351</v>
      </c>
      <c r="K195" s="129">
        <f t="shared" si="91"/>
        <v>20.273176559156759</v>
      </c>
      <c r="L195" s="85">
        <f t="shared" si="101"/>
        <v>83.775000000000006</v>
      </c>
      <c r="M195" s="130">
        <f t="shared" si="92"/>
        <v>104.04817655915676</v>
      </c>
      <c r="N195" s="8">
        <f t="shared" si="93"/>
        <v>1008.8282885225211</v>
      </c>
      <c r="O195" s="84">
        <f t="shared" si="94"/>
        <v>904.78011196336433</v>
      </c>
    </row>
    <row r="196" spans="1:15" x14ac:dyDescent="0.2">
      <c r="A196" s="17" t="s">
        <v>64</v>
      </c>
      <c r="B196" s="81" t="str">
        <f t="shared" si="99"/>
        <v>Q2/2019</v>
      </c>
      <c r="C196" s="82">
        <f t="shared" si="97"/>
        <v>43556</v>
      </c>
      <c r="D196" s="82">
        <f t="shared" si="98"/>
        <v>43646</v>
      </c>
      <c r="E196" s="81">
        <f t="shared" si="95"/>
        <v>91</v>
      </c>
      <c r="F196" s="83">
        <f>VLOOKUP(D196,'FERC Interest Rate'!$A:$B,2,TRUE)</f>
        <v>5.7999999999999996E-2</v>
      </c>
      <c r="G196" s="84">
        <f t="shared" si="96"/>
        <v>904.78011196336433</v>
      </c>
      <c r="H196" s="84">
        <v>0</v>
      </c>
      <c r="I196" s="109">
        <f t="shared" si="100"/>
        <v>6.7030111963364076</v>
      </c>
      <c r="J196" s="85">
        <f t="shared" si="102"/>
        <v>13.08336830395243</v>
      </c>
      <c r="K196" s="129">
        <f t="shared" si="91"/>
        <v>19.786379500288838</v>
      </c>
      <c r="L196" s="85">
        <f t="shared" si="101"/>
        <v>83.775000000000006</v>
      </c>
      <c r="M196" s="130">
        <f t="shared" si="92"/>
        <v>103.56137950028884</v>
      </c>
      <c r="N196" s="8">
        <f t="shared" si="93"/>
        <v>917.86348026731673</v>
      </c>
      <c r="O196" s="84">
        <f t="shared" si="94"/>
        <v>814.30210076702792</v>
      </c>
    </row>
    <row r="197" spans="1:15" x14ac:dyDescent="0.2">
      <c r="A197" s="17" t="s">
        <v>65</v>
      </c>
      <c r="B197" s="81" t="str">
        <f t="shared" si="99"/>
        <v>Q3/2019</v>
      </c>
      <c r="C197" s="82">
        <f t="shared" si="97"/>
        <v>43647</v>
      </c>
      <c r="D197" s="82">
        <f t="shared" si="98"/>
        <v>43738</v>
      </c>
      <c r="E197" s="81">
        <f t="shared" si="95"/>
        <v>92</v>
      </c>
      <c r="F197" s="83">
        <f>VLOOKUP(D197,'FERC Interest Rate'!$A:$B,2,TRUE)</f>
        <v>0.06</v>
      </c>
      <c r="G197" s="84">
        <f t="shared" si="96"/>
        <v>814.30210076702792</v>
      </c>
      <c r="H197" s="84">
        <v>0</v>
      </c>
      <c r="I197" s="109">
        <f t="shared" si="100"/>
        <v>6.7030111963364076</v>
      </c>
      <c r="J197" s="85">
        <f t="shared" si="102"/>
        <v>12.314924921189025</v>
      </c>
      <c r="K197" s="129">
        <f t="shared" si="91"/>
        <v>19.017936117525434</v>
      </c>
      <c r="L197" s="85">
        <f t="shared" si="101"/>
        <v>83.775000000000006</v>
      </c>
      <c r="M197" s="130">
        <f t="shared" si="92"/>
        <v>102.79293611752544</v>
      </c>
      <c r="N197" s="8">
        <f t="shared" si="93"/>
        <v>826.61702568821693</v>
      </c>
      <c r="O197" s="84">
        <f t="shared" si="94"/>
        <v>723.82408957069151</v>
      </c>
    </row>
    <row r="198" spans="1:15" x14ac:dyDescent="0.2">
      <c r="A198" s="17" t="s">
        <v>66</v>
      </c>
      <c r="B198" s="81" t="str">
        <f t="shared" si="99"/>
        <v>Q4/2019</v>
      </c>
      <c r="C198" s="82">
        <f t="shared" si="97"/>
        <v>43739</v>
      </c>
      <c r="D198" s="82">
        <f t="shared" si="98"/>
        <v>43830</v>
      </c>
      <c r="E198" s="81">
        <f t="shared" si="95"/>
        <v>92</v>
      </c>
      <c r="F198" s="83">
        <f>VLOOKUP(D198,'FERC Interest Rate'!$A:$B,2,TRUE)</f>
        <v>6.0349460000000001E-2</v>
      </c>
      <c r="G198" s="84">
        <f t="shared" si="96"/>
        <v>723.82408957069151</v>
      </c>
      <c r="H198" s="84">
        <v>0</v>
      </c>
      <c r="I198" s="109">
        <f t="shared" si="100"/>
        <v>6.7030111963364076</v>
      </c>
      <c r="J198" s="85">
        <f t="shared" si="102"/>
        <v>11.010356576804449</v>
      </c>
      <c r="K198" s="129">
        <f t="shared" si="91"/>
        <v>17.713367773140856</v>
      </c>
      <c r="L198" s="85">
        <f t="shared" si="101"/>
        <v>83.775000000000006</v>
      </c>
      <c r="M198" s="130">
        <f t="shared" si="92"/>
        <v>101.48836777314087</v>
      </c>
      <c r="N198" s="8">
        <f t="shared" si="93"/>
        <v>734.83444614749601</v>
      </c>
      <c r="O198" s="84">
        <f t="shared" si="94"/>
        <v>633.3460783743551</v>
      </c>
    </row>
    <row r="199" spans="1:15" x14ac:dyDescent="0.2">
      <c r="A199" s="17" t="s">
        <v>67</v>
      </c>
      <c r="B199" s="81" t="str">
        <f t="shared" si="99"/>
        <v>Q1/2020</v>
      </c>
      <c r="C199" s="82">
        <f t="shared" si="97"/>
        <v>43831</v>
      </c>
      <c r="D199" s="82">
        <f t="shared" si="98"/>
        <v>43921</v>
      </c>
      <c r="E199" s="81">
        <f t="shared" si="95"/>
        <v>91</v>
      </c>
      <c r="F199" s="83">
        <f>VLOOKUP(D199,'FERC Interest Rate'!$A:$B,2,TRUE)</f>
        <v>6.2501040000000008E-2</v>
      </c>
      <c r="G199" s="84">
        <f t="shared" si="96"/>
        <v>633.3460783743551</v>
      </c>
      <c r="H199" s="84">
        <v>0</v>
      </c>
      <c r="I199" s="109">
        <f t="shared" si="100"/>
        <v>6.7030111963364076</v>
      </c>
      <c r="J199" s="85">
        <f t="shared" si="102"/>
        <v>9.8421195645546522</v>
      </c>
      <c r="K199" s="129">
        <f t="shared" si="91"/>
        <v>16.545130760891059</v>
      </c>
      <c r="L199" s="85">
        <f t="shared" si="101"/>
        <v>83.775000000000006</v>
      </c>
      <c r="M199" s="130">
        <f t="shared" si="92"/>
        <v>100.32013076089106</v>
      </c>
      <c r="N199" s="8">
        <f t="shared" si="93"/>
        <v>643.18819793890975</v>
      </c>
      <c r="O199" s="84">
        <f t="shared" si="94"/>
        <v>542.86806717801869</v>
      </c>
    </row>
    <row r="200" spans="1:15" x14ac:dyDescent="0.2">
      <c r="A200" s="17" t="s">
        <v>68</v>
      </c>
      <c r="B200" s="81" t="str">
        <f>+IF(MONTH(C200)&lt;4,"Q1",IF(MONTH(C200)&lt;7,"Q2",IF(MONTH(C200)&lt;10,"Q3","Q4")))&amp;"/"&amp;YEAR(C200)</f>
        <v>Q2/2020</v>
      </c>
      <c r="C200" s="82">
        <f t="shared" si="97"/>
        <v>43922</v>
      </c>
      <c r="D200" s="82">
        <f t="shared" si="98"/>
        <v>44012</v>
      </c>
      <c r="E200" s="81">
        <f t="shared" si="95"/>
        <v>91</v>
      </c>
      <c r="F200" s="83">
        <f>VLOOKUP(D200,'FERC Interest Rate'!$A:$B,2,TRUE)</f>
        <v>6.3055559999999997E-2</v>
      </c>
      <c r="G200" s="84">
        <f t="shared" si="96"/>
        <v>542.86806717801869</v>
      </c>
      <c r="H200" s="84">
        <v>0</v>
      </c>
      <c r="I200" s="109">
        <f t="shared" si="100"/>
        <v>6.7030111963364076</v>
      </c>
      <c r="J200" s="85">
        <f t="shared" si="102"/>
        <v>8.5109490392472953</v>
      </c>
      <c r="K200" s="129">
        <f t="shared" si="91"/>
        <v>15.213960235583702</v>
      </c>
      <c r="L200" s="85">
        <f t="shared" si="101"/>
        <v>83.775000000000006</v>
      </c>
      <c r="M200" s="130">
        <f t="shared" si="92"/>
        <v>98.988960235583704</v>
      </c>
      <c r="N200" s="8">
        <f t="shared" si="93"/>
        <v>551.37901621726598</v>
      </c>
      <c r="O200" s="84">
        <f t="shared" si="94"/>
        <v>452.39005598168228</v>
      </c>
    </row>
    <row r="201" spans="1:15" x14ac:dyDescent="0.2">
      <c r="A201" s="17" t="s">
        <v>69</v>
      </c>
      <c r="B201" s="81" t="str">
        <f>+IF(MONTH(C201)&lt;4,"Q1",IF(MONTH(C201)&lt;7,"Q2",IF(MONTH(C201)&lt;10,"Q3","Q4")))&amp;"/"&amp;YEAR(C201)</f>
        <v>Q3/2020</v>
      </c>
      <c r="C201" s="82">
        <f t="shared" si="97"/>
        <v>44013</v>
      </c>
      <c r="D201" s="82">
        <f t="shared" si="98"/>
        <v>44104</v>
      </c>
      <c r="E201" s="81">
        <f t="shared" si="95"/>
        <v>92</v>
      </c>
      <c r="F201" s="83">
        <f>VLOOKUP(D201,'FERC Interest Rate'!$A:$B,2,TRUE)</f>
        <v>6.5000000000000002E-2</v>
      </c>
      <c r="G201" s="84">
        <f t="shared" si="96"/>
        <v>452.39005598168228</v>
      </c>
      <c r="H201" s="84">
        <v>0</v>
      </c>
      <c r="I201" s="109">
        <f t="shared" si="100"/>
        <v>6.7030111963364076</v>
      </c>
      <c r="J201" s="85">
        <f t="shared" si="102"/>
        <v>7.3915096578427875</v>
      </c>
      <c r="K201" s="129">
        <f t="shared" si="91"/>
        <v>14.094520854179194</v>
      </c>
      <c r="L201" s="85">
        <f t="shared" si="101"/>
        <v>83.775000000000006</v>
      </c>
      <c r="M201" s="130">
        <f t="shared" si="92"/>
        <v>97.8695208541792</v>
      </c>
      <c r="N201" s="8">
        <f t="shared" si="93"/>
        <v>459.78156563952507</v>
      </c>
      <c r="O201" s="84">
        <f t="shared" si="94"/>
        <v>361.91204478534587</v>
      </c>
    </row>
    <row r="202" spans="1:15" x14ac:dyDescent="0.2">
      <c r="A202" s="17" t="s">
        <v>70</v>
      </c>
      <c r="B202" s="81" t="str">
        <f>+IF(MONTH(C202)&lt;4,"Q1",IF(MONTH(C202)&lt;7,"Q2",IF(MONTH(C202)&lt;10,"Q3","Q4")))&amp;"/"&amp;YEAR(C202)</f>
        <v>Q4/2020</v>
      </c>
      <c r="C202" s="82">
        <f t="shared" si="97"/>
        <v>44105</v>
      </c>
      <c r="D202" s="82">
        <f t="shared" si="98"/>
        <v>44196</v>
      </c>
      <c r="E202" s="81">
        <f t="shared" si="95"/>
        <v>92</v>
      </c>
      <c r="F202" s="83">
        <f>VLOOKUP(D202,'FERC Interest Rate'!$A:$B,2,TRUE)</f>
        <v>6.5000000000000002E-2</v>
      </c>
      <c r="G202" s="84">
        <f t="shared" si="96"/>
        <v>361.91204478534587</v>
      </c>
      <c r="H202" s="84">
        <v>0</v>
      </c>
      <c r="I202" s="109">
        <f t="shared" si="100"/>
        <v>6.7030111963364076</v>
      </c>
      <c r="J202" s="85">
        <f t="shared" si="102"/>
        <v>5.9132077262742309</v>
      </c>
      <c r="K202" s="129">
        <f t="shared" si="91"/>
        <v>12.616218922610638</v>
      </c>
      <c r="L202" s="85">
        <f t="shared" si="101"/>
        <v>83.775000000000006</v>
      </c>
      <c r="M202" s="130">
        <f t="shared" si="92"/>
        <v>96.391218922610648</v>
      </c>
      <c r="N202" s="8">
        <f t="shared" si="93"/>
        <v>367.82525251162008</v>
      </c>
      <c r="O202" s="84">
        <f t="shared" si="94"/>
        <v>271.43403358900946</v>
      </c>
    </row>
    <row r="203" spans="1:15" x14ac:dyDescent="0.2">
      <c r="A203" s="17" t="s">
        <v>71</v>
      </c>
      <c r="B203" s="81" t="str">
        <f t="shared" ref="B203:B205" si="103">+IF(MONTH(C203)&lt;4,"Q1",IF(MONTH(C203)&lt;7,"Q2",IF(MONTH(C203)&lt;10,"Q3","Q4")))&amp;"/"&amp;YEAR(C203)</f>
        <v>Q1/2021</v>
      </c>
      <c r="C203" s="82">
        <f t="shared" ref="C203:C205" si="104">D202+1</f>
        <v>44197</v>
      </c>
      <c r="D203" s="82">
        <f t="shared" si="98"/>
        <v>44286</v>
      </c>
      <c r="E203" s="81">
        <f t="shared" ref="E203:E205" si="105">D203-C203+1</f>
        <v>90</v>
      </c>
      <c r="F203" s="83">
        <f>VLOOKUP(D203,'FERC Interest Rate'!$A:$B,2,TRUE)</f>
        <v>6.5000000000000002E-2</v>
      </c>
      <c r="G203" s="84">
        <f t="shared" ref="G203:G205" si="106">O202</f>
        <v>271.43403358900946</v>
      </c>
      <c r="H203" s="84">
        <v>0</v>
      </c>
      <c r="I203" s="109">
        <f t="shared" ref="I203:I205" si="107">(SUM($H$177:$H$206)/20)</f>
        <v>6.7030111963364076</v>
      </c>
      <c r="J203" s="85">
        <f t="shared" ref="J203:J205" si="108">G203*F203*(E203/(DATE(YEAR(D203),12,31)-DATE(YEAR(D203),1,1)+1))</f>
        <v>4.3503810862896035</v>
      </c>
      <c r="K203" s="129">
        <f t="shared" ref="K203:K205" si="109">+SUM(I203:J203)</f>
        <v>11.05339228262601</v>
      </c>
      <c r="L203" s="85">
        <f t="shared" si="101"/>
        <v>83.775000000000006</v>
      </c>
      <c r="M203" s="130">
        <f t="shared" ref="M203:M205" si="110">+SUM(K203:L203)</f>
        <v>94.828392282626012</v>
      </c>
      <c r="N203" s="8">
        <f t="shared" ref="N203:N205" si="111">+G203+H203+J203</f>
        <v>275.78441467529905</v>
      </c>
      <c r="O203" s="84">
        <f t="shared" ref="O203:O205" si="112">G203+H203-L203-I203</f>
        <v>180.95602239267305</v>
      </c>
    </row>
    <row r="204" spans="1:15" x14ac:dyDescent="0.2">
      <c r="A204" s="17" t="s">
        <v>72</v>
      </c>
      <c r="B204" s="81" t="str">
        <f t="shared" si="103"/>
        <v>Q2/2021</v>
      </c>
      <c r="C204" s="82">
        <f t="shared" si="104"/>
        <v>44287</v>
      </c>
      <c r="D204" s="82">
        <f t="shared" si="98"/>
        <v>44377</v>
      </c>
      <c r="E204" s="81">
        <f t="shared" si="105"/>
        <v>91</v>
      </c>
      <c r="F204" s="83">
        <f>VLOOKUP(D204,'FERC Interest Rate'!$A:$B,2,TRUE)</f>
        <v>6.5000000000000002E-2</v>
      </c>
      <c r="G204" s="84">
        <f t="shared" si="106"/>
        <v>180.95602239267305</v>
      </c>
      <c r="H204" s="84">
        <v>0</v>
      </c>
      <c r="I204" s="109">
        <f t="shared" si="107"/>
        <v>6.7030111963364076</v>
      </c>
      <c r="J204" s="85">
        <f t="shared" si="108"/>
        <v>2.9324791026100305</v>
      </c>
      <c r="K204" s="129">
        <f t="shared" si="109"/>
        <v>9.6354902989464382</v>
      </c>
      <c r="L204" s="85">
        <f t="shared" si="101"/>
        <v>83.775000000000006</v>
      </c>
      <c r="M204" s="130">
        <f t="shared" si="110"/>
        <v>93.410490298946442</v>
      </c>
      <c r="N204" s="8">
        <f t="shared" si="111"/>
        <v>183.88850149528307</v>
      </c>
      <c r="O204" s="84">
        <f t="shared" si="112"/>
        <v>90.478011196336638</v>
      </c>
    </row>
    <row r="205" spans="1:15" x14ac:dyDescent="0.2">
      <c r="A205" s="17" t="s">
        <v>73</v>
      </c>
      <c r="B205" s="81" t="str">
        <f t="shared" si="103"/>
        <v>Q3/2021</v>
      </c>
      <c r="C205" s="82">
        <f t="shared" si="104"/>
        <v>44378</v>
      </c>
      <c r="D205" s="82">
        <f t="shared" si="98"/>
        <v>44469</v>
      </c>
      <c r="E205" s="81">
        <f t="shared" si="105"/>
        <v>92</v>
      </c>
      <c r="F205" s="83">
        <f>VLOOKUP(D205,'FERC Interest Rate'!$A:$B,2,TRUE)</f>
        <v>6.5000000000000002E-2</v>
      </c>
      <c r="G205" s="84">
        <f t="shared" si="106"/>
        <v>90.478011196336638</v>
      </c>
      <c r="H205" s="84">
        <v>0</v>
      </c>
      <c r="I205" s="109">
        <f t="shared" si="107"/>
        <v>6.7030111963364076</v>
      </c>
      <c r="J205" s="85">
        <f t="shared" si="108"/>
        <v>1.4823520738468308</v>
      </c>
      <c r="K205" s="129">
        <f t="shared" si="109"/>
        <v>8.1853632701832382</v>
      </c>
      <c r="L205" s="85">
        <f t="shared" si="101"/>
        <v>83.775000000000006</v>
      </c>
      <c r="M205" s="130">
        <f t="shared" si="110"/>
        <v>91.960363270183251</v>
      </c>
      <c r="N205" s="8">
        <f t="shared" si="111"/>
        <v>91.960363270183464</v>
      </c>
      <c r="O205" s="84">
        <f t="shared" si="112"/>
        <v>2.2470914018413168E-13</v>
      </c>
    </row>
    <row r="206" spans="1:15" x14ac:dyDescent="0.2">
      <c r="A206" s="96"/>
      <c r="B206" s="81"/>
      <c r="C206" s="82"/>
      <c r="D206" s="82"/>
      <c r="E206" s="81"/>
      <c r="F206" s="83"/>
      <c r="G206" s="84"/>
      <c r="H206" s="84"/>
      <c r="I206" s="109"/>
      <c r="J206" s="85"/>
      <c r="K206" s="129"/>
      <c r="L206" s="85"/>
      <c r="M206" s="130"/>
      <c r="N206" s="8"/>
      <c r="O206" s="84"/>
    </row>
    <row r="207" spans="1:15" ht="13.5" thickBot="1" x14ac:dyDescent="0.25">
      <c r="A207" s="151"/>
      <c r="B207" s="152"/>
      <c r="C207" s="153"/>
      <c r="D207" s="153"/>
      <c r="E207" s="154"/>
      <c r="F207" s="152"/>
      <c r="G207" s="137">
        <f t="shared" ref="G207:O207" si="113">SUM(G177:G206)</f>
        <v>34484.422166151715</v>
      </c>
      <c r="H207" s="137">
        <f t="shared" si="113"/>
        <v>134.06022392672816</v>
      </c>
      <c r="I207" s="138">
        <f t="shared" si="113"/>
        <v>134.06022392672813</v>
      </c>
      <c r="J207" s="137">
        <f t="shared" si="113"/>
        <v>208.6670387308607</v>
      </c>
      <c r="K207" s="137">
        <f t="shared" si="113"/>
        <v>342.72726265758882</v>
      </c>
      <c r="L207" s="137">
        <f t="shared" si="113"/>
        <v>1675.5000000000005</v>
      </c>
      <c r="M207" s="139">
        <f t="shared" si="113"/>
        <v>2018.2272626575889</v>
      </c>
      <c r="N207" s="137">
        <f t="shared" si="113"/>
        <v>34827.149428809302</v>
      </c>
      <c r="O207" s="137">
        <f t="shared" si="113"/>
        <v>32808.922166151715</v>
      </c>
    </row>
    <row r="208" spans="1:15" ht="13.5" thickTop="1" x14ac:dyDescent="0.2">
      <c r="B208" s="117"/>
      <c r="C208" s="117"/>
      <c r="D208" s="117"/>
      <c r="E208" s="117"/>
      <c r="F208" s="117"/>
      <c r="G208" s="117"/>
      <c r="H208" s="117"/>
      <c r="I208" s="116"/>
      <c r="J208" s="117"/>
      <c r="K208" s="117"/>
      <c r="L208" s="117"/>
      <c r="M208" s="131"/>
      <c r="O208" s="117"/>
    </row>
    <row r="209" spans="1:15" ht="38.25" x14ac:dyDescent="0.2">
      <c r="A209" s="90" t="s">
        <v>53</v>
      </c>
      <c r="B209" s="90" t="s">
        <v>3</v>
      </c>
      <c r="C209" s="90" t="s">
        <v>4</v>
      </c>
      <c r="D209" s="90" t="s">
        <v>5</v>
      </c>
      <c r="E209" s="90" t="s">
        <v>6</v>
      </c>
      <c r="F209" s="90" t="s">
        <v>7</v>
      </c>
      <c r="G209" s="90" t="s">
        <v>93</v>
      </c>
      <c r="H209" s="90" t="s">
        <v>94</v>
      </c>
      <c r="I209" s="105" t="s">
        <v>95</v>
      </c>
      <c r="J209" s="106" t="s">
        <v>96</v>
      </c>
      <c r="K209" s="106" t="s">
        <v>97</v>
      </c>
      <c r="L209" s="106" t="s">
        <v>98</v>
      </c>
      <c r="M209" s="107" t="s">
        <v>99</v>
      </c>
      <c r="N209" s="90" t="s">
        <v>100</v>
      </c>
      <c r="O209" s="90" t="s">
        <v>101</v>
      </c>
    </row>
    <row r="210" spans="1:15" x14ac:dyDescent="0.2">
      <c r="A210" s="309" t="s">
        <v>15</v>
      </c>
      <c r="B210" s="309"/>
      <c r="C210" s="282">
        <f>VLOOKUP(B211,A$1:F$18,2,FALSE)</f>
        <v>41922</v>
      </c>
      <c r="D210" s="282">
        <f>DATE(YEAR(C210),IF(MONTH(C210)&lt;=3,3,IF(MONTH(C210)&lt;=6,6,IF(MONTH(C210)&lt;=9,9,12))),IF(OR(MONTH(C210)&lt;=3,MONTH(C210)&gt;=10),31,30))</f>
        <v>42004</v>
      </c>
      <c r="E210" s="283">
        <f>D210-C210+1</f>
        <v>83</v>
      </c>
      <c r="F210" s="284">
        <f>VLOOKUP(D210,'FERC Interest Rate'!$A:$B,2,TRUE)</f>
        <v>3.2500000000000001E-2</v>
      </c>
      <c r="G210" s="167">
        <f>VLOOKUP(B211,$A$1:$F$22,5,FALSE)</f>
        <v>1962</v>
      </c>
      <c r="H210" s="167">
        <f t="shared" ref="H210:H218" si="114">G210*F210*(E210/(DATE(YEAR(D210),12,31)-DATE(YEAR(D210),1,1)+1))</f>
        <v>14.499986301369864</v>
      </c>
      <c r="I210" s="291">
        <v>0</v>
      </c>
      <c r="J210" s="286">
        <v>0</v>
      </c>
      <c r="K210" s="129">
        <f t="shared" ref="K210:K234" si="115">+SUM(I210:J210)</f>
        <v>0</v>
      </c>
      <c r="L210" s="286">
        <v>0</v>
      </c>
      <c r="M210" s="130">
        <f t="shared" ref="M210:M234" si="116">+SUM(K210:L210)</f>
        <v>0</v>
      </c>
      <c r="N210" s="8">
        <f t="shared" ref="N210:N234" si="117">+G210+H210+J210</f>
        <v>1976.49998630137</v>
      </c>
      <c r="O210" s="167">
        <f t="shared" ref="O210:O234" si="118">G210+H210-L210-I210</f>
        <v>1976.49998630137</v>
      </c>
    </row>
    <row r="211" spans="1:15" x14ac:dyDescent="0.2">
      <c r="A211" s="275" t="s">
        <v>38</v>
      </c>
      <c r="B211" s="276" t="s">
        <v>58</v>
      </c>
      <c r="C211" s="282">
        <f>D210+1</f>
        <v>42005</v>
      </c>
      <c r="D211" s="282">
        <f>EOMONTH(D210,3)</f>
        <v>42094</v>
      </c>
      <c r="E211" s="283">
        <f t="shared" ref="E211:E234" si="119">D211-C211+1</f>
        <v>90</v>
      </c>
      <c r="F211" s="284">
        <f>VLOOKUP(D211,'FERC Interest Rate'!$A:$B,2,TRUE)</f>
        <v>3.2500000000000001E-2</v>
      </c>
      <c r="G211" s="167">
        <f t="shared" ref="G211:G234" si="120">O210</f>
        <v>1976.49998630137</v>
      </c>
      <c r="H211" s="167">
        <f t="shared" si="114"/>
        <v>15.83907523268906</v>
      </c>
      <c r="I211" s="291">
        <v>0</v>
      </c>
      <c r="J211" s="286">
        <v>0</v>
      </c>
      <c r="K211" s="129">
        <f t="shared" si="115"/>
        <v>0</v>
      </c>
      <c r="L211" s="286">
        <v>0</v>
      </c>
      <c r="M211" s="130">
        <f t="shared" si="116"/>
        <v>0</v>
      </c>
      <c r="N211" s="8">
        <f t="shared" si="117"/>
        <v>1992.3390615340591</v>
      </c>
      <c r="O211" s="167">
        <f t="shared" si="118"/>
        <v>1992.3390615340591</v>
      </c>
    </row>
    <row r="212" spans="1:15" x14ac:dyDescent="0.2">
      <c r="B212" s="283"/>
      <c r="C212" s="282">
        <f t="shared" ref="C212:C234" si="121">D211+1</f>
        <v>42095</v>
      </c>
      <c r="D212" s="282">
        <f t="shared" ref="D212:D237" si="122">EOMONTH(D211,3)</f>
        <v>42185</v>
      </c>
      <c r="E212" s="283">
        <f t="shared" si="119"/>
        <v>91</v>
      </c>
      <c r="F212" s="284">
        <f>VLOOKUP(D212,'FERC Interest Rate'!$A:$B,2,TRUE)</f>
        <v>3.2500000000000001E-2</v>
      </c>
      <c r="G212" s="167">
        <f t="shared" si="120"/>
        <v>1992.3390615340591</v>
      </c>
      <c r="H212" s="167">
        <f t="shared" si="114"/>
        <v>16.143404861608165</v>
      </c>
      <c r="I212" s="291">
        <v>0</v>
      </c>
      <c r="J212" s="286">
        <v>0</v>
      </c>
      <c r="K212" s="129">
        <f t="shared" si="115"/>
        <v>0</v>
      </c>
      <c r="L212" s="286">
        <v>0</v>
      </c>
      <c r="M212" s="130">
        <f t="shared" si="116"/>
        <v>0</v>
      </c>
      <c r="N212" s="8">
        <f t="shared" si="117"/>
        <v>2008.4824663956672</v>
      </c>
      <c r="O212" s="167">
        <f t="shared" si="118"/>
        <v>2008.4824663956672</v>
      </c>
    </row>
    <row r="213" spans="1:15" x14ac:dyDescent="0.2">
      <c r="B213" s="283"/>
      <c r="C213" s="282">
        <f t="shared" si="121"/>
        <v>42186</v>
      </c>
      <c r="D213" s="282">
        <f t="shared" si="122"/>
        <v>42277</v>
      </c>
      <c r="E213" s="283">
        <f t="shared" si="119"/>
        <v>92</v>
      </c>
      <c r="F213" s="284">
        <f>VLOOKUP(D213,'FERC Interest Rate'!$A:$B,2,TRUE)</f>
        <v>3.2500000000000001E-2</v>
      </c>
      <c r="G213" s="167">
        <f t="shared" si="120"/>
        <v>2008.4824663956672</v>
      </c>
      <c r="H213" s="167">
        <f t="shared" si="114"/>
        <v>16.453048149378208</v>
      </c>
      <c r="I213" s="291">
        <v>0</v>
      </c>
      <c r="J213" s="286">
        <v>0</v>
      </c>
      <c r="K213" s="129">
        <f t="shared" si="115"/>
        <v>0</v>
      </c>
      <c r="L213" s="286">
        <v>0</v>
      </c>
      <c r="M213" s="130">
        <f t="shared" si="116"/>
        <v>0</v>
      </c>
      <c r="N213" s="8">
        <f t="shared" si="117"/>
        <v>2024.9355145450454</v>
      </c>
      <c r="O213" s="167">
        <f t="shared" si="118"/>
        <v>2024.9355145450454</v>
      </c>
    </row>
    <row r="214" spans="1:15" x14ac:dyDescent="0.2">
      <c r="B214" s="283"/>
      <c r="C214" s="282">
        <f t="shared" si="121"/>
        <v>42278</v>
      </c>
      <c r="D214" s="282">
        <f t="shared" si="122"/>
        <v>42369</v>
      </c>
      <c r="E214" s="283">
        <f t="shared" si="119"/>
        <v>92</v>
      </c>
      <c r="F214" s="284">
        <f>VLOOKUP(D214,'FERC Interest Rate'!$A:$B,2,TRUE)</f>
        <v>3.2500000000000001E-2</v>
      </c>
      <c r="G214" s="167">
        <f t="shared" si="120"/>
        <v>2024.9355145450454</v>
      </c>
      <c r="H214" s="167">
        <f t="shared" si="114"/>
        <v>16.587827913670374</v>
      </c>
      <c r="I214" s="291">
        <v>0</v>
      </c>
      <c r="J214" s="286">
        <v>0</v>
      </c>
      <c r="K214" s="129">
        <f t="shared" si="115"/>
        <v>0</v>
      </c>
      <c r="L214" s="286">
        <v>0</v>
      </c>
      <c r="M214" s="130">
        <f t="shared" si="116"/>
        <v>0</v>
      </c>
      <c r="N214" s="8">
        <f t="shared" si="117"/>
        <v>2041.5233424587159</v>
      </c>
      <c r="O214" s="167">
        <f t="shared" si="118"/>
        <v>2041.5233424587159</v>
      </c>
    </row>
    <row r="215" spans="1:15" x14ac:dyDescent="0.2">
      <c r="A215" s="96"/>
      <c r="B215" s="81"/>
      <c r="C215" s="82">
        <f t="shared" si="121"/>
        <v>42370</v>
      </c>
      <c r="D215" s="82">
        <f t="shared" si="122"/>
        <v>42460</v>
      </c>
      <c r="E215" s="81">
        <f t="shared" si="119"/>
        <v>91</v>
      </c>
      <c r="F215" s="83">
        <f>VLOOKUP(D215,'FERC Interest Rate'!$A:$B,2,TRUE)</f>
        <v>3.2500000000000001E-2</v>
      </c>
      <c r="G215" s="84">
        <f t="shared" si="120"/>
        <v>2041.5233424587159</v>
      </c>
      <c r="H215" s="167">
        <f t="shared" si="114"/>
        <v>16.496735752244952</v>
      </c>
      <c r="I215" s="173">
        <v>0</v>
      </c>
      <c r="J215" s="286">
        <v>0</v>
      </c>
      <c r="K215" s="129">
        <f t="shared" si="115"/>
        <v>0</v>
      </c>
      <c r="L215" s="85">
        <v>0</v>
      </c>
      <c r="M215" s="130">
        <f t="shared" si="116"/>
        <v>0</v>
      </c>
      <c r="N215" s="8">
        <f t="shared" si="117"/>
        <v>2058.0200782109609</v>
      </c>
      <c r="O215" s="84">
        <f t="shared" si="118"/>
        <v>2058.0200782109609</v>
      </c>
    </row>
    <row r="216" spans="1:15" x14ac:dyDescent="0.2">
      <c r="A216" s="96"/>
      <c r="B216" s="81"/>
      <c r="C216" s="82">
        <f t="shared" si="121"/>
        <v>42461</v>
      </c>
      <c r="D216" s="82">
        <f t="shared" si="122"/>
        <v>42551</v>
      </c>
      <c r="E216" s="81">
        <f t="shared" si="119"/>
        <v>91</v>
      </c>
      <c r="F216" s="83">
        <f>VLOOKUP(D216,'FERC Interest Rate'!$A:$B,2,TRUE)</f>
        <v>3.4599999999999999E-2</v>
      </c>
      <c r="G216" s="84">
        <f t="shared" si="120"/>
        <v>2058.0200782109609</v>
      </c>
      <c r="H216" s="84">
        <f t="shared" si="114"/>
        <v>17.704595678292435</v>
      </c>
      <c r="I216" s="173">
        <v>0</v>
      </c>
      <c r="J216" s="85">
        <v>0</v>
      </c>
      <c r="K216" s="129">
        <f t="shared" si="115"/>
        <v>0</v>
      </c>
      <c r="L216" s="85">
        <v>0</v>
      </c>
      <c r="M216" s="130">
        <f t="shared" si="116"/>
        <v>0</v>
      </c>
      <c r="N216" s="8">
        <f t="shared" si="117"/>
        <v>2075.7246738892536</v>
      </c>
      <c r="O216" s="84">
        <f t="shared" si="118"/>
        <v>2075.7246738892536</v>
      </c>
    </row>
    <row r="217" spans="1:15" x14ac:dyDescent="0.2">
      <c r="A217" s="96"/>
      <c r="B217" s="81"/>
      <c r="C217" s="82">
        <f t="shared" si="121"/>
        <v>42552</v>
      </c>
      <c r="D217" s="82">
        <f t="shared" si="122"/>
        <v>42643</v>
      </c>
      <c r="E217" s="81">
        <f t="shared" si="119"/>
        <v>92</v>
      </c>
      <c r="F217" s="83">
        <f>VLOOKUP(D217,'FERC Interest Rate'!$A:$B,2,TRUE)</f>
        <v>3.5000000000000003E-2</v>
      </c>
      <c r="G217" s="84">
        <f t="shared" si="120"/>
        <v>2075.7246738892536</v>
      </c>
      <c r="H217" s="84">
        <f t="shared" si="114"/>
        <v>18.261840027113109</v>
      </c>
      <c r="I217" s="173">
        <v>0</v>
      </c>
      <c r="J217" s="85">
        <v>0</v>
      </c>
      <c r="K217" s="129">
        <f t="shared" si="115"/>
        <v>0</v>
      </c>
      <c r="L217" s="85">
        <v>0</v>
      </c>
      <c r="M217" s="130">
        <f t="shared" si="116"/>
        <v>0</v>
      </c>
      <c r="N217" s="8">
        <f t="shared" si="117"/>
        <v>2093.9865139163667</v>
      </c>
      <c r="O217" s="84">
        <f t="shared" si="118"/>
        <v>2093.9865139163667</v>
      </c>
    </row>
    <row r="218" spans="1:15" x14ac:dyDescent="0.2">
      <c r="A218" s="17" t="s">
        <v>54</v>
      </c>
      <c r="B218" s="81" t="str">
        <f t="shared" ref="B218:B231" si="123">+IF(MONTH(C218)&lt;4,"Q1",IF(MONTH(C218)&lt;7,"Q2",IF(MONTH(C218)&lt;10,"Q3","Q4")))&amp;"/"&amp;YEAR(C218)</f>
        <v>Q4/2016</v>
      </c>
      <c r="C218" s="82">
        <f t="shared" si="121"/>
        <v>42644</v>
      </c>
      <c r="D218" s="82">
        <f t="shared" si="122"/>
        <v>42735</v>
      </c>
      <c r="E218" s="81">
        <f t="shared" si="119"/>
        <v>92</v>
      </c>
      <c r="F218" s="83">
        <f>VLOOKUP(D218,'FERC Interest Rate'!$A:$B,2,TRUE)</f>
        <v>3.5000000000000003E-2</v>
      </c>
      <c r="G218" s="84">
        <f t="shared" si="120"/>
        <v>2093.9865139163667</v>
      </c>
      <c r="H218" s="84">
        <f t="shared" si="114"/>
        <v>18.422504302761482</v>
      </c>
      <c r="I218" s="173">
        <f>SUM($H$210:$H$238)/20</f>
        <v>7.5204509109563817</v>
      </c>
      <c r="J218" s="85">
        <v>0</v>
      </c>
      <c r="K218" s="129">
        <f t="shared" si="115"/>
        <v>7.5204509109563817</v>
      </c>
      <c r="L218" s="85">
        <f t="shared" ref="L218:L237" si="124">VLOOKUP($B$211,A$1:F$18,5,FALSE)/20</f>
        <v>98.1</v>
      </c>
      <c r="M218" s="130">
        <f t="shared" si="116"/>
        <v>105.62045091095638</v>
      </c>
      <c r="N218" s="8">
        <f t="shared" si="117"/>
        <v>2112.409018219128</v>
      </c>
      <c r="O218" s="84">
        <f t="shared" si="118"/>
        <v>2006.7885673081717</v>
      </c>
    </row>
    <row r="219" spans="1:15" x14ac:dyDescent="0.2">
      <c r="A219" s="17" t="s">
        <v>55</v>
      </c>
      <c r="B219" s="81" t="str">
        <f t="shared" si="123"/>
        <v>Q1/2017</v>
      </c>
      <c r="C219" s="82">
        <f t="shared" si="121"/>
        <v>42736</v>
      </c>
      <c r="D219" s="82">
        <f t="shared" si="122"/>
        <v>42825</v>
      </c>
      <c r="E219" s="81">
        <f t="shared" si="119"/>
        <v>90</v>
      </c>
      <c r="F219" s="83">
        <f>VLOOKUP(D219,'FERC Interest Rate'!$A:$B,2,TRUE)</f>
        <v>3.5000000000000003E-2</v>
      </c>
      <c r="G219" s="84">
        <f t="shared" si="120"/>
        <v>2006.7885673081717</v>
      </c>
      <c r="H219" s="84">
        <v>0</v>
      </c>
      <c r="I219" s="109">
        <f t="shared" ref="I219:I237" si="125">SUM($H$210:$H$238)/20</f>
        <v>7.5204509109563817</v>
      </c>
      <c r="J219" s="85">
        <f t="shared" ref="J219:J234" si="126">G219*F219*(E219/(DATE(YEAR(D219),12,31)-DATE(YEAR(D219),1,1)+1))</f>
        <v>17.318860238412988</v>
      </c>
      <c r="K219" s="129">
        <f t="shared" si="115"/>
        <v>24.839311149369369</v>
      </c>
      <c r="L219" s="85">
        <f t="shared" si="124"/>
        <v>98.1</v>
      </c>
      <c r="M219" s="130">
        <f t="shared" si="116"/>
        <v>122.93931114936936</v>
      </c>
      <c r="N219" s="8">
        <f t="shared" si="117"/>
        <v>2024.1074275465846</v>
      </c>
      <c r="O219" s="84">
        <f t="shared" si="118"/>
        <v>1901.1681163972153</v>
      </c>
    </row>
    <row r="220" spans="1:15" x14ac:dyDescent="0.2">
      <c r="A220" s="17" t="s">
        <v>56</v>
      </c>
      <c r="B220" s="81" t="str">
        <f t="shared" si="123"/>
        <v>Q2/2017</v>
      </c>
      <c r="C220" s="82">
        <f t="shared" si="121"/>
        <v>42826</v>
      </c>
      <c r="D220" s="82">
        <f t="shared" si="122"/>
        <v>42916</v>
      </c>
      <c r="E220" s="81">
        <f t="shared" si="119"/>
        <v>91</v>
      </c>
      <c r="F220" s="83">
        <f>VLOOKUP(D220,'FERC Interest Rate'!$A:$B,2,TRUE)</f>
        <v>3.7100000000000001E-2</v>
      </c>
      <c r="G220" s="84">
        <f t="shared" si="120"/>
        <v>1901.1681163972153</v>
      </c>
      <c r="H220" s="84">
        <v>0</v>
      </c>
      <c r="I220" s="109">
        <f t="shared" si="125"/>
        <v>7.5204509109563817</v>
      </c>
      <c r="J220" s="85">
        <f t="shared" si="126"/>
        <v>17.585023774708599</v>
      </c>
      <c r="K220" s="129">
        <f t="shared" si="115"/>
        <v>25.10547468566498</v>
      </c>
      <c r="L220" s="85">
        <f t="shared" si="124"/>
        <v>98.1</v>
      </c>
      <c r="M220" s="130">
        <f t="shared" si="116"/>
        <v>123.20547468566497</v>
      </c>
      <c r="N220" s="8">
        <f t="shared" si="117"/>
        <v>1918.7531401719239</v>
      </c>
      <c r="O220" s="84">
        <f t="shared" si="118"/>
        <v>1795.5476654862589</v>
      </c>
    </row>
    <row r="221" spans="1:15" x14ac:dyDescent="0.2">
      <c r="A221" s="17" t="s">
        <v>57</v>
      </c>
      <c r="B221" s="81" t="str">
        <f t="shared" si="123"/>
        <v>Q3/2017</v>
      </c>
      <c r="C221" s="82">
        <f t="shared" si="121"/>
        <v>42917</v>
      </c>
      <c r="D221" s="82">
        <f t="shared" si="122"/>
        <v>43008</v>
      </c>
      <c r="E221" s="81">
        <f t="shared" si="119"/>
        <v>92</v>
      </c>
      <c r="F221" s="83">
        <f>VLOOKUP(D221,'FERC Interest Rate'!$A:$B,2,TRUE)</f>
        <v>3.9600000000000003E-2</v>
      </c>
      <c r="G221" s="84">
        <f t="shared" si="120"/>
        <v>1795.5476654862589</v>
      </c>
      <c r="H221" s="84">
        <v>0</v>
      </c>
      <c r="I221" s="109">
        <f t="shared" si="125"/>
        <v>7.5204509109563817</v>
      </c>
      <c r="J221" s="85">
        <f t="shared" si="126"/>
        <v>17.922025355889147</v>
      </c>
      <c r="K221" s="129">
        <f t="shared" si="115"/>
        <v>25.442476266845528</v>
      </c>
      <c r="L221" s="85">
        <f t="shared" si="124"/>
        <v>98.1</v>
      </c>
      <c r="M221" s="130">
        <f t="shared" si="116"/>
        <v>123.54247626684553</v>
      </c>
      <c r="N221" s="8">
        <f t="shared" si="117"/>
        <v>1813.4696908421481</v>
      </c>
      <c r="O221" s="84">
        <f t="shared" si="118"/>
        <v>1689.9272145753025</v>
      </c>
    </row>
    <row r="222" spans="1:15" x14ac:dyDescent="0.2">
      <c r="A222" s="17" t="s">
        <v>58</v>
      </c>
      <c r="B222" s="81" t="str">
        <f t="shared" si="123"/>
        <v>Q4/2017</v>
      </c>
      <c r="C222" s="82">
        <f t="shared" si="121"/>
        <v>43009</v>
      </c>
      <c r="D222" s="82">
        <f t="shared" si="122"/>
        <v>43100</v>
      </c>
      <c r="E222" s="81">
        <f t="shared" si="119"/>
        <v>92</v>
      </c>
      <c r="F222" s="83">
        <f>VLOOKUP(D222,'FERC Interest Rate'!$A:$B,2,TRUE)</f>
        <v>4.2099999999999999E-2</v>
      </c>
      <c r="G222" s="84">
        <f t="shared" si="120"/>
        <v>1689.9272145753025</v>
      </c>
      <c r="H222" s="84">
        <v>0</v>
      </c>
      <c r="I222" s="109">
        <f t="shared" si="125"/>
        <v>7.5204509109563817</v>
      </c>
      <c r="J222" s="85">
        <f>G222*F222*(E222/(DATE(YEAR(D222),12,31)-DATE(YEAR(D222),1,1)+1))</f>
        <v>17.93267421230976</v>
      </c>
      <c r="K222" s="129">
        <f t="shared" si="115"/>
        <v>25.45312512326614</v>
      </c>
      <c r="L222" s="85">
        <f t="shared" si="124"/>
        <v>98.1</v>
      </c>
      <c r="M222" s="130">
        <f t="shared" si="116"/>
        <v>123.55312512326614</v>
      </c>
      <c r="N222" s="8">
        <f t="shared" si="117"/>
        <v>1707.8598887876124</v>
      </c>
      <c r="O222" s="84">
        <f t="shared" si="118"/>
        <v>1584.3067636643461</v>
      </c>
    </row>
    <row r="223" spans="1:15" x14ac:dyDescent="0.2">
      <c r="A223" s="17" t="s">
        <v>59</v>
      </c>
      <c r="B223" s="81" t="str">
        <f t="shared" si="123"/>
        <v>Q1/2018</v>
      </c>
      <c r="C223" s="82">
        <f t="shared" si="121"/>
        <v>43101</v>
      </c>
      <c r="D223" s="82">
        <f t="shared" si="122"/>
        <v>43190</v>
      </c>
      <c r="E223" s="81">
        <f t="shared" si="119"/>
        <v>90</v>
      </c>
      <c r="F223" s="83">
        <f>VLOOKUP(D223,'FERC Interest Rate'!$A:$B,2,TRUE)</f>
        <v>4.2500000000000003E-2</v>
      </c>
      <c r="G223" s="84">
        <f t="shared" si="120"/>
        <v>1584.3067636643461</v>
      </c>
      <c r="H223" s="84">
        <v>0</v>
      </c>
      <c r="I223" s="109">
        <f t="shared" si="125"/>
        <v>7.5204509109563817</v>
      </c>
      <c r="J223" s="85">
        <f t="shared" si="126"/>
        <v>16.602666769907188</v>
      </c>
      <c r="K223" s="129">
        <f t="shared" si="115"/>
        <v>24.123117680863569</v>
      </c>
      <c r="L223" s="85">
        <f t="shared" si="124"/>
        <v>98.1</v>
      </c>
      <c r="M223" s="130">
        <f t="shared" si="116"/>
        <v>122.22311768086357</v>
      </c>
      <c r="N223" s="8">
        <f t="shared" si="117"/>
        <v>1600.9094304342534</v>
      </c>
      <c r="O223" s="84">
        <f t="shared" si="118"/>
        <v>1478.6863127533898</v>
      </c>
    </row>
    <row r="224" spans="1:15" x14ac:dyDescent="0.2">
      <c r="A224" s="17" t="s">
        <v>60</v>
      </c>
      <c r="B224" s="81" t="str">
        <f t="shared" si="123"/>
        <v>Q2/2018</v>
      </c>
      <c r="C224" s="82">
        <f t="shared" si="121"/>
        <v>43191</v>
      </c>
      <c r="D224" s="82">
        <f t="shared" si="122"/>
        <v>43281</v>
      </c>
      <c r="E224" s="81">
        <f t="shared" si="119"/>
        <v>91</v>
      </c>
      <c r="F224" s="83">
        <f>VLOOKUP(D224,'FERC Interest Rate'!$A:$B,2,TRUE)</f>
        <v>4.4699999999999997E-2</v>
      </c>
      <c r="G224" s="84">
        <f t="shared" si="120"/>
        <v>1478.6863127533898</v>
      </c>
      <c r="H224" s="84">
        <v>0</v>
      </c>
      <c r="I224" s="109">
        <f t="shared" si="125"/>
        <v>7.5204509109563817</v>
      </c>
      <c r="J224" s="85">
        <f t="shared" si="126"/>
        <v>16.479047436676609</v>
      </c>
      <c r="K224" s="129">
        <f t="shared" si="115"/>
        <v>23.99949834763299</v>
      </c>
      <c r="L224" s="85">
        <f t="shared" si="124"/>
        <v>98.1</v>
      </c>
      <c r="M224" s="130">
        <f t="shared" si="116"/>
        <v>122.09949834763299</v>
      </c>
      <c r="N224" s="8">
        <f t="shared" si="117"/>
        <v>1495.1653601900664</v>
      </c>
      <c r="O224" s="84">
        <f t="shared" si="118"/>
        <v>1373.0658618424334</v>
      </c>
    </row>
    <row r="225" spans="1:15" x14ac:dyDescent="0.2">
      <c r="A225" s="17" t="s">
        <v>61</v>
      </c>
      <c r="B225" s="81" t="str">
        <f t="shared" si="123"/>
        <v>Q3/2018</v>
      </c>
      <c r="C225" s="82">
        <f t="shared" si="121"/>
        <v>43282</v>
      </c>
      <c r="D225" s="82">
        <f t="shared" si="122"/>
        <v>43373</v>
      </c>
      <c r="E225" s="81">
        <f t="shared" si="119"/>
        <v>92</v>
      </c>
      <c r="F225" s="83">
        <f>VLOOKUP(D225,'FERC Interest Rate'!$A:$B,2,TRUE)</f>
        <v>5.011111E-2</v>
      </c>
      <c r="G225" s="84">
        <f t="shared" si="120"/>
        <v>1373.0658618424334</v>
      </c>
      <c r="H225" s="84">
        <v>0</v>
      </c>
      <c r="I225" s="109">
        <f t="shared" si="125"/>
        <v>7.5204509109563817</v>
      </c>
      <c r="J225" s="85">
        <f t="shared" si="126"/>
        <v>17.342845502692743</v>
      </c>
      <c r="K225" s="129">
        <f t="shared" si="115"/>
        <v>24.863296413649124</v>
      </c>
      <c r="L225" s="85">
        <f t="shared" si="124"/>
        <v>98.1</v>
      </c>
      <c r="M225" s="130">
        <f t="shared" si="116"/>
        <v>122.96329641364912</v>
      </c>
      <c r="N225" s="8">
        <f t="shared" si="117"/>
        <v>1390.4087073451262</v>
      </c>
      <c r="O225" s="84">
        <f t="shared" si="118"/>
        <v>1267.445410931477</v>
      </c>
    </row>
    <row r="226" spans="1:15" x14ac:dyDescent="0.2">
      <c r="A226" s="17" t="s">
        <v>62</v>
      </c>
      <c r="B226" s="81" t="str">
        <f t="shared" si="123"/>
        <v>Q4/2018</v>
      </c>
      <c r="C226" s="82">
        <f t="shared" si="121"/>
        <v>43374</v>
      </c>
      <c r="D226" s="82">
        <f t="shared" si="122"/>
        <v>43465</v>
      </c>
      <c r="E226" s="81">
        <f t="shared" si="119"/>
        <v>92</v>
      </c>
      <c r="F226" s="83">
        <f>VLOOKUP(D226,'FERC Interest Rate'!$A:$B,2,TRUE)</f>
        <v>5.2822580000000001E-2</v>
      </c>
      <c r="G226" s="84">
        <f t="shared" si="120"/>
        <v>1267.445410931477</v>
      </c>
      <c r="H226" s="84">
        <v>0</v>
      </c>
      <c r="I226" s="109">
        <f t="shared" si="125"/>
        <v>7.5204509109563817</v>
      </c>
      <c r="J226" s="85">
        <f t="shared" si="126"/>
        <v>16.875002105587935</v>
      </c>
      <c r="K226" s="129">
        <f t="shared" si="115"/>
        <v>24.395453016544316</v>
      </c>
      <c r="L226" s="85">
        <f t="shared" si="124"/>
        <v>98.1</v>
      </c>
      <c r="M226" s="130">
        <f t="shared" si="116"/>
        <v>122.4954530165443</v>
      </c>
      <c r="N226" s="8">
        <f t="shared" si="117"/>
        <v>1284.320413037065</v>
      </c>
      <c r="O226" s="84">
        <f t="shared" si="118"/>
        <v>1161.8249600205206</v>
      </c>
    </row>
    <row r="227" spans="1:15" x14ac:dyDescent="0.2">
      <c r="A227" s="17" t="s">
        <v>63</v>
      </c>
      <c r="B227" s="81" t="str">
        <f t="shared" si="123"/>
        <v>Q1/2019</v>
      </c>
      <c r="C227" s="82">
        <f t="shared" si="121"/>
        <v>43466</v>
      </c>
      <c r="D227" s="82">
        <f t="shared" si="122"/>
        <v>43555</v>
      </c>
      <c r="E227" s="81">
        <f t="shared" si="119"/>
        <v>90</v>
      </c>
      <c r="F227" s="83">
        <f>VLOOKUP(D227,'FERC Interest Rate'!$A:$B,2,TRUE)</f>
        <v>5.5296770000000002E-2</v>
      </c>
      <c r="G227" s="84">
        <f t="shared" si="120"/>
        <v>1161.8249600205206</v>
      </c>
      <c r="H227" s="84">
        <v>0</v>
      </c>
      <c r="I227" s="109">
        <f t="shared" si="125"/>
        <v>7.5204509109563817</v>
      </c>
      <c r="J227" s="85">
        <f t="shared" si="126"/>
        <v>15.841274201386996</v>
      </c>
      <c r="K227" s="129">
        <f t="shared" si="115"/>
        <v>23.361725112343379</v>
      </c>
      <c r="L227" s="85">
        <f t="shared" si="124"/>
        <v>98.1</v>
      </c>
      <c r="M227" s="130">
        <f t="shared" si="116"/>
        <v>121.46172511234337</v>
      </c>
      <c r="N227" s="8">
        <f t="shared" si="117"/>
        <v>1177.6662342219076</v>
      </c>
      <c r="O227" s="84">
        <f t="shared" si="118"/>
        <v>1056.2045091095642</v>
      </c>
    </row>
    <row r="228" spans="1:15" x14ac:dyDescent="0.2">
      <c r="A228" s="17" t="s">
        <v>64</v>
      </c>
      <c r="B228" s="81" t="str">
        <f t="shared" si="123"/>
        <v>Q2/2019</v>
      </c>
      <c r="C228" s="82">
        <f t="shared" si="121"/>
        <v>43556</v>
      </c>
      <c r="D228" s="82">
        <f t="shared" si="122"/>
        <v>43646</v>
      </c>
      <c r="E228" s="81">
        <f t="shared" si="119"/>
        <v>91</v>
      </c>
      <c r="F228" s="83">
        <f>VLOOKUP(D228,'FERC Interest Rate'!$A:$B,2,TRUE)</f>
        <v>5.7999999999999996E-2</v>
      </c>
      <c r="G228" s="84">
        <f t="shared" si="120"/>
        <v>1056.2045091095642</v>
      </c>
      <c r="H228" s="84">
        <v>0</v>
      </c>
      <c r="I228" s="109">
        <f t="shared" si="125"/>
        <v>7.5204509109563817</v>
      </c>
      <c r="J228" s="85">
        <f t="shared" si="126"/>
        <v>15.273006572822684</v>
      </c>
      <c r="K228" s="129">
        <f t="shared" si="115"/>
        <v>22.793457483779065</v>
      </c>
      <c r="L228" s="85">
        <f t="shared" si="124"/>
        <v>98.1</v>
      </c>
      <c r="M228" s="130">
        <f t="shared" si="116"/>
        <v>120.89345748377906</v>
      </c>
      <c r="N228" s="8">
        <f t="shared" si="117"/>
        <v>1071.4775156823869</v>
      </c>
      <c r="O228" s="84">
        <f t="shared" si="118"/>
        <v>950.58405819860786</v>
      </c>
    </row>
    <row r="229" spans="1:15" x14ac:dyDescent="0.2">
      <c r="A229" s="17" t="s">
        <v>65</v>
      </c>
      <c r="B229" s="81" t="str">
        <f t="shared" si="123"/>
        <v>Q3/2019</v>
      </c>
      <c r="C229" s="82">
        <f t="shared" si="121"/>
        <v>43647</v>
      </c>
      <c r="D229" s="82">
        <f t="shared" si="122"/>
        <v>43738</v>
      </c>
      <c r="E229" s="81">
        <f t="shared" si="119"/>
        <v>92</v>
      </c>
      <c r="F229" s="83">
        <f>VLOOKUP(D229,'FERC Interest Rate'!$A:$B,2,TRUE)</f>
        <v>0.06</v>
      </c>
      <c r="G229" s="84">
        <f t="shared" si="120"/>
        <v>950.58405819860786</v>
      </c>
      <c r="H229" s="84">
        <v>0</v>
      </c>
      <c r="I229" s="109">
        <f t="shared" si="125"/>
        <v>7.5204509109563817</v>
      </c>
      <c r="J229" s="85">
        <f t="shared" si="126"/>
        <v>14.375956167825523</v>
      </c>
      <c r="K229" s="129">
        <f t="shared" si="115"/>
        <v>21.896407078781905</v>
      </c>
      <c r="L229" s="85">
        <f t="shared" si="124"/>
        <v>98.1</v>
      </c>
      <c r="M229" s="130">
        <f t="shared" si="116"/>
        <v>119.9964070787819</v>
      </c>
      <c r="N229" s="8">
        <f t="shared" si="117"/>
        <v>964.96001436643337</v>
      </c>
      <c r="O229" s="84">
        <f t="shared" si="118"/>
        <v>844.96360728765148</v>
      </c>
    </row>
    <row r="230" spans="1:15" x14ac:dyDescent="0.2">
      <c r="A230" s="17" t="s">
        <v>66</v>
      </c>
      <c r="B230" s="81" t="str">
        <f t="shared" si="123"/>
        <v>Q4/2019</v>
      </c>
      <c r="C230" s="82">
        <f t="shared" si="121"/>
        <v>43739</v>
      </c>
      <c r="D230" s="82">
        <f t="shared" si="122"/>
        <v>43830</v>
      </c>
      <c r="E230" s="81">
        <f t="shared" si="119"/>
        <v>92</v>
      </c>
      <c r="F230" s="83">
        <f>VLOOKUP(D230,'FERC Interest Rate'!$A:$B,2,TRUE)</f>
        <v>6.0349460000000001E-2</v>
      </c>
      <c r="G230" s="84">
        <f t="shared" si="120"/>
        <v>844.96360728765148</v>
      </c>
      <c r="H230" s="84">
        <v>0</v>
      </c>
      <c r="I230" s="109">
        <f t="shared" si="125"/>
        <v>7.5204509109563817</v>
      </c>
      <c r="J230" s="85">
        <f t="shared" si="126"/>
        <v>12.853054692028737</v>
      </c>
      <c r="K230" s="129">
        <f t="shared" si="115"/>
        <v>20.373505602985119</v>
      </c>
      <c r="L230" s="85">
        <f t="shared" si="124"/>
        <v>98.1</v>
      </c>
      <c r="M230" s="130">
        <f t="shared" si="116"/>
        <v>118.47350560298511</v>
      </c>
      <c r="N230" s="8">
        <f t="shared" si="117"/>
        <v>857.81666197968025</v>
      </c>
      <c r="O230" s="84">
        <f t="shared" si="118"/>
        <v>739.34315637669511</v>
      </c>
    </row>
    <row r="231" spans="1:15" x14ac:dyDescent="0.2">
      <c r="A231" s="17" t="s">
        <v>67</v>
      </c>
      <c r="B231" s="81" t="str">
        <f t="shared" si="123"/>
        <v>Q1/2020</v>
      </c>
      <c r="C231" s="82">
        <f t="shared" si="121"/>
        <v>43831</v>
      </c>
      <c r="D231" s="82">
        <f t="shared" si="122"/>
        <v>43921</v>
      </c>
      <c r="E231" s="81">
        <f t="shared" si="119"/>
        <v>91</v>
      </c>
      <c r="F231" s="83">
        <f>VLOOKUP(D231,'FERC Interest Rate'!$A:$B,2,TRUE)</f>
        <v>6.2501040000000008E-2</v>
      </c>
      <c r="G231" s="84">
        <f t="shared" si="120"/>
        <v>739.34315637669511</v>
      </c>
      <c r="H231" s="84">
        <v>0</v>
      </c>
      <c r="I231" s="109">
        <f t="shared" si="125"/>
        <v>7.5204509109563817</v>
      </c>
      <c r="J231" s="85">
        <f t="shared" si="126"/>
        <v>11.489301020023971</v>
      </c>
      <c r="K231" s="129">
        <f t="shared" si="115"/>
        <v>19.009751930980354</v>
      </c>
      <c r="L231" s="85">
        <f t="shared" si="124"/>
        <v>98.1</v>
      </c>
      <c r="M231" s="130">
        <f t="shared" si="116"/>
        <v>117.10975193098035</v>
      </c>
      <c r="N231" s="8">
        <f t="shared" si="117"/>
        <v>750.83245739671906</v>
      </c>
      <c r="O231" s="84">
        <f t="shared" si="118"/>
        <v>633.72270546573873</v>
      </c>
    </row>
    <row r="232" spans="1:15" x14ac:dyDescent="0.2">
      <c r="A232" s="17" t="s">
        <v>68</v>
      </c>
      <c r="B232" s="81" t="str">
        <f>+IF(MONTH(C232)&lt;4,"Q1",IF(MONTH(C232)&lt;7,"Q2",IF(MONTH(C232)&lt;10,"Q3","Q4")))&amp;"/"&amp;YEAR(C232)</f>
        <v>Q2/2020</v>
      </c>
      <c r="C232" s="82">
        <f t="shared" si="121"/>
        <v>43922</v>
      </c>
      <c r="D232" s="82">
        <f t="shared" si="122"/>
        <v>44012</v>
      </c>
      <c r="E232" s="81">
        <f t="shared" si="119"/>
        <v>91</v>
      </c>
      <c r="F232" s="83">
        <f>VLOOKUP(D232,'FERC Interest Rate'!$A:$B,2,TRUE)</f>
        <v>6.3055559999999997E-2</v>
      </c>
      <c r="G232" s="84">
        <f t="shared" si="120"/>
        <v>633.72270546573873</v>
      </c>
      <c r="H232" s="84">
        <v>0</v>
      </c>
      <c r="I232" s="109">
        <f t="shared" si="125"/>
        <v>7.5204509109563817</v>
      </c>
      <c r="J232" s="85">
        <f t="shared" si="126"/>
        <v>9.9353452106147717</v>
      </c>
      <c r="K232" s="129">
        <f t="shared" si="115"/>
        <v>17.455796121571154</v>
      </c>
      <c r="L232" s="85">
        <f t="shared" si="124"/>
        <v>98.1</v>
      </c>
      <c r="M232" s="130">
        <f t="shared" si="116"/>
        <v>115.55579612157115</v>
      </c>
      <c r="N232" s="8">
        <f t="shared" si="117"/>
        <v>643.65805067635347</v>
      </c>
      <c r="O232" s="84">
        <f t="shared" si="118"/>
        <v>528.10225455478235</v>
      </c>
    </row>
    <row r="233" spans="1:15" x14ac:dyDescent="0.2">
      <c r="A233" s="17" t="s">
        <v>69</v>
      </c>
      <c r="B233" s="81" t="str">
        <f>+IF(MONTH(C233)&lt;4,"Q1",IF(MONTH(C233)&lt;7,"Q2",IF(MONTH(C233)&lt;10,"Q3","Q4")))&amp;"/"&amp;YEAR(C233)</f>
        <v>Q3/2020</v>
      </c>
      <c r="C233" s="82">
        <f t="shared" si="121"/>
        <v>44013</v>
      </c>
      <c r="D233" s="82">
        <f t="shared" si="122"/>
        <v>44104</v>
      </c>
      <c r="E233" s="81">
        <f t="shared" si="119"/>
        <v>92</v>
      </c>
      <c r="F233" s="83">
        <f>VLOOKUP(D233,'FERC Interest Rate'!$A:$B,2,TRUE)</f>
        <v>6.5000000000000002E-2</v>
      </c>
      <c r="G233" s="84">
        <f t="shared" si="120"/>
        <v>528.10225455478235</v>
      </c>
      <c r="H233" s="84">
        <v>0</v>
      </c>
      <c r="I233" s="109">
        <f t="shared" si="125"/>
        <v>7.5204509109563817</v>
      </c>
      <c r="J233" s="85">
        <f t="shared" si="126"/>
        <v>8.6285559623978116</v>
      </c>
      <c r="K233" s="129">
        <f t="shared" si="115"/>
        <v>16.149006873354192</v>
      </c>
      <c r="L233" s="85">
        <f t="shared" si="124"/>
        <v>98.1</v>
      </c>
      <c r="M233" s="130">
        <f t="shared" si="116"/>
        <v>114.24900687335419</v>
      </c>
      <c r="N233" s="8">
        <f t="shared" si="117"/>
        <v>536.7308105171802</v>
      </c>
      <c r="O233" s="84">
        <f t="shared" si="118"/>
        <v>422.48180364382597</v>
      </c>
    </row>
    <row r="234" spans="1:15" x14ac:dyDescent="0.2">
      <c r="A234" s="17" t="s">
        <v>70</v>
      </c>
      <c r="B234" s="81" t="str">
        <f>+IF(MONTH(C234)&lt;4,"Q1",IF(MONTH(C234)&lt;7,"Q2",IF(MONTH(C234)&lt;10,"Q3","Q4")))&amp;"/"&amp;YEAR(C234)</f>
        <v>Q4/2020</v>
      </c>
      <c r="C234" s="82">
        <f t="shared" si="121"/>
        <v>44105</v>
      </c>
      <c r="D234" s="82">
        <f t="shared" si="122"/>
        <v>44196</v>
      </c>
      <c r="E234" s="81">
        <f t="shared" si="119"/>
        <v>92</v>
      </c>
      <c r="F234" s="83">
        <f>VLOOKUP(D234,'FERC Interest Rate'!$A:$B,2,TRUE)</f>
        <v>6.5000000000000002E-2</v>
      </c>
      <c r="G234" s="84">
        <f t="shared" si="120"/>
        <v>422.48180364382597</v>
      </c>
      <c r="H234" s="84">
        <v>0</v>
      </c>
      <c r="I234" s="109">
        <f t="shared" si="125"/>
        <v>7.5204509109563817</v>
      </c>
      <c r="J234" s="85">
        <f t="shared" si="126"/>
        <v>6.90284476991825</v>
      </c>
      <c r="K234" s="129">
        <f t="shared" si="115"/>
        <v>14.423295680874631</v>
      </c>
      <c r="L234" s="85">
        <f t="shared" si="124"/>
        <v>98.1</v>
      </c>
      <c r="M234" s="130">
        <f t="shared" si="116"/>
        <v>112.52329568087463</v>
      </c>
      <c r="N234" s="8">
        <f t="shared" si="117"/>
        <v>429.38464841374423</v>
      </c>
      <c r="O234" s="84">
        <f t="shared" si="118"/>
        <v>316.86135273286959</v>
      </c>
    </row>
    <row r="235" spans="1:15" x14ac:dyDescent="0.2">
      <c r="A235" s="17" t="s">
        <v>71</v>
      </c>
      <c r="B235" s="81" t="str">
        <f t="shared" ref="B235:B237" si="127">+IF(MONTH(C235)&lt;4,"Q1",IF(MONTH(C235)&lt;7,"Q2",IF(MONTH(C235)&lt;10,"Q3","Q4")))&amp;"/"&amp;YEAR(C235)</f>
        <v>Q1/2021</v>
      </c>
      <c r="C235" s="82">
        <f t="shared" ref="C235:C237" si="128">D234+1</f>
        <v>44197</v>
      </c>
      <c r="D235" s="82">
        <f t="shared" si="122"/>
        <v>44286</v>
      </c>
      <c r="E235" s="81">
        <f t="shared" ref="E235:E237" si="129">D235-C235+1</f>
        <v>90</v>
      </c>
      <c r="F235" s="83">
        <f>VLOOKUP(D235,'FERC Interest Rate'!$A:$B,2,TRUE)</f>
        <v>6.5000000000000002E-2</v>
      </c>
      <c r="G235" s="84">
        <f t="shared" ref="G235:G237" si="130">O234</f>
        <v>316.86135273286959</v>
      </c>
      <c r="H235" s="84">
        <v>0</v>
      </c>
      <c r="I235" s="109">
        <f t="shared" si="125"/>
        <v>7.5204509109563817</v>
      </c>
      <c r="J235" s="85">
        <f t="shared" ref="J235:J237" si="131">G235*F235*(E235/(DATE(YEAR(D235),12,31)-DATE(YEAR(D235),1,1)+1))</f>
        <v>5.0784627766774992</v>
      </c>
      <c r="K235" s="129">
        <f t="shared" ref="K235:K237" si="132">+SUM(I235:J235)</f>
        <v>12.598913687633882</v>
      </c>
      <c r="L235" s="85">
        <f t="shared" si="124"/>
        <v>98.1</v>
      </c>
      <c r="M235" s="130">
        <f t="shared" ref="M235:M237" si="133">+SUM(K235:L235)</f>
        <v>110.69891368763388</v>
      </c>
      <c r="N235" s="8">
        <f t="shared" ref="N235:N237" si="134">+G235+H235+J235</f>
        <v>321.93981550954709</v>
      </c>
      <c r="O235" s="84">
        <f t="shared" ref="O235:O237" si="135">G235+H235-L235-I235</f>
        <v>211.24090182191321</v>
      </c>
    </row>
    <row r="236" spans="1:15" x14ac:dyDescent="0.2">
      <c r="A236" s="17" t="s">
        <v>72</v>
      </c>
      <c r="B236" s="81" t="str">
        <f t="shared" si="127"/>
        <v>Q2/2021</v>
      </c>
      <c r="C236" s="82">
        <f t="shared" si="128"/>
        <v>44287</v>
      </c>
      <c r="D236" s="82">
        <f t="shared" si="122"/>
        <v>44377</v>
      </c>
      <c r="E236" s="81">
        <f t="shared" si="129"/>
        <v>91</v>
      </c>
      <c r="F236" s="83">
        <f>VLOOKUP(D236,'FERC Interest Rate'!$A:$B,2,TRUE)</f>
        <v>6.5000000000000002E-2</v>
      </c>
      <c r="G236" s="84">
        <f t="shared" si="130"/>
        <v>211.24090182191321</v>
      </c>
      <c r="H236" s="84">
        <v>0</v>
      </c>
      <c r="I236" s="109">
        <f t="shared" si="125"/>
        <v>7.5204509109563817</v>
      </c>
      <c r="J236" s="85">
        <f t="shared" si="131"/>
        <v>3.4232600939085387</v>
      </c>
      <c r="K236" s="129">
        <f t="shared" si="132"/>
        <v>10.94371100486492</v>
      </c>
      <c r="L236" s="85">
        <f t="shared" si="124"/>
        <v>98.1</v>
      </c>
      <c r="M236" s="130">
        <f t="shared" si="133"/>
        <v>109.04371100486492</v>
      </c>
      <c r="N236" s="8">
        <f t="shared" si="134"/>
        <v>214.66416191582175</v>
      </c>
      <c r="O236" s="84">
        <f t="shared" si="135"/>
        <v>105.62045091095683</v>
      </c>
    </row>
    <row r="237" spans="1:15" x14ac:dyDescent="0.2">
      <c r="A237" s="17" t="s">
        <v>73</v>
      </c>
      <c r="B237" s="81" t="str">
        <f t="shared" si="127"/>
        <v>Q3/2021</v>
      </c>
      <c r="C237" s="82">
        <f t="shared" si="128"/>
        <v>44378</v>
      </c>
      <c r="D237" s="82">
        <f t="shared" si="122"/>
        <v>44469</v>
      </c>
      <c r="E237" s="81">
        <f t="shared" si="129"/>
        <v>92</v>
      </c>
      <c r="F237" s="83">
        <f>VLOOKUP(D237,'FERC Interest Rate'!$A:$B,2,TRUE)</f>
        <v>6.5000000000000002E-2</v>
      </c>
      <c r="G237" s="84">
        <f t="shared" si="130"/>
        <v>105.62045091095683</v>
      </c>
      <c r="H237" s="84">
        <v>0</v>
      </c>
      <c r="I237" s="109">
        <f t="shared" si="125"/>
        <v>7.5204509109563817</v>
      </c>
      <c r="J237" s="85">
        <f t="shared" si="131"/>
        <v>1.7304391683493752</v>
      </c>
      <c r="K237" s="129">
        <f t="shared" si="132"/>
        <v>9.2508900793057567</v>
      </c>
      <c r="L237" s="85">
        <f t="shared" si="124"/>
        <v>98.1</v>
      </c>
      <c r="M237" s="130">
        <f t="shared" si="133"/>
        <v>107.35089007930576</v>
      </c>
      <c r="N237" s="8">
        <f t="shared" si="134"/>
        <v>107.35089007930621</v>
      </c>
      <c r="O237" s="84">
        <f t="shared" si="135"/>
        <v>4.5741188614556449E-13</v>
      </c>
    </row>
    <row r="238" spans="1:15" x14ac:dyDescent="0.2">
      <c r="A238" s="96"/>
      <c r="B238" s="81"/>
      <c r="C238" s="82"/>
      <c r="D238" s="82"/>
      <c r="E238" s="81"/>
      <c r="F238" s="83"/>
      <c r="G238" s="84"/>
      <c r="H238" s="84"/>
      <c r="I238" s="109"/>
      <c r="J238" s="85"/>
      <c r="K238" s="129"/>
      <c r="L238" s="85"/>
      <c r="M238" s="130"/>
      <c r="N238" s="8"/>
      <c r="O238" s="84"/>
    </row>
    <row r="239" spans="1:15" ht="13.5" thickBot="1" x14ac:dyDescent="0.25">
      <c r="A239" s="151"/>
      <c r="B239" s="152"/>
      <c r="C239" s="153"/>
      <c r="D239" s="153"/>
      <c r="E239" s="154"/>
      <c r="F239" s="152"/>
      <c r="G239" s="140">
        <f t="shared" ref="G239:O239" si="136">+SUM(G210:G238)</f>
        <v>38301.397310333159</v>
      </c>
      <c r="H239" s="140">
        <f t="shared" si="136"/>
        <v>150.40901821912763</v>
      </c>
      <c r="I239" s="141">
        <f t="shared" si="136"/>
        <v>150.40901821912766</v>
      </c>
      <c r="J239" s="140">
        <f t="shared" si="136"/>
        <v>243.58964603213909</v>
      </c>
      <c r="K239" s="140">
        <f t="shared" si="136"/>
        <v>393.99866425126669</v>
      </c>
      <c r="L239" s="140">
        <f t="shared" si="136"/>
        <v>1961.9999999999993</v>
      </c>
      <c r="M239" s="142">
        <f t="shared" si="136"/>
        <v>2355.9986642512667</v>
      </c>
      <c r="N239" s="140">
        <f t="shared" si="136"/>
        <v>38695.395974584448</v>
      </c>
      <c r="O239" s="140">
        <f t="shared" si="136"/>
        <v>36339.397310333159</v>
      </c>
    </row>
    <row r="240" spans="1:15" ht="13.5" thickTop="1" x14ac:dyDescent="0.2">
      <c r="B240" s="117"/>
      <c r="C240" s="117"/>
      <c r="D240" s="117"/>
      <c r="E240" s="117"/>
      <c r="F240" s="117"/>
      <c r="G240" s="117"/>
      <c r="H240" s="117"/>
      <c r="I240" s="116"/>
      <c r="J240" s="117"/>
      <c r="K240" s="117"/>
      <c r="L240" s="117"/>
      <c r="M240" s="131"/>
      <c r="O240" s="117"/>
    </row>
    <row r="241" spans="1:15" ht="38.25" x14ac:dyDescent="0.2">
      <c r="A241" s="90" t="s">
        <v>53</v>
      </c>
      <c r="B241" s="90" t="s">
        <v>3</v>
      </c>
      <c r="C241" s="90" t="s">
        <v>4</v>
      </c>
      <c r="D241" s="90" t="s">
        <v>5</v>
      </c>
      <c r="E241" s="90" t="s">
        <v>6</v>
      </c>
      <c r="F241" s="90" t="s">
        <v>7</v>
      </c>
      <c r="G241" s="90" t="s">
        <v>93</v>
      </c>
      <c r="H241" s="90" t="s">
        <v>94</v>
      </c>
      <c r="I241" s="105" t="s">
        <v>95</v>
      </c>
      <c r="J241" s="106" t="s">
        <v>96</v>
      </c>
      <c r="K241" s="106" t="s">
        <v>97</v>
      </c>
      <c r="L241" s="106" t="s">
        <v>98</v>
      </c>
      <c r="M241" s="107" t="s">
        <v>99</v>
      </c>
      <c r="N241" s="90" t="s">
        <v>100</v>
      </c>
      <c r="O241" s="90" t="s">
        <v>101</v>
      </c>
    </row>
    <row r="242" spans="1:15" x14ac:dyDescent="0.2">
      <c r="A242" s="309" t="s">
        <v>15</v>
      </c>
      <c r="B242" s="309"/>
      <c r="C242" s="282">
        <f>VLOOKUP(B243,A$1:F$18,2,FALSE)</f>
        <v>41956</v>
      </c>
      <c r="D242" s="282">
        <f>DATE(YEAR(C242),IF(MONTH(C242)&lt;=3,3,IF(MONTH(C242)&lt;=6,6,IF(MONTH(C242)&lt;=9,9,12))),IF(OR(MONTH(C242)&lt;=3,MONTH(C242)&gt;=10),31,30))</f>
        <v>42004</v>
      </c>
      <c r="E242" s="283">
        <f>D242-C242+1</f>
        <v>49</v>
      </c>
      <c r="F242" s="284">
        <f>VLOOKUP(D242,'FERC Interest Rate'!$A:$B,2,TRUE)</f>
        <v>3.2500000000000001E-2</v>
      </c>
      <c r="G242" s="167">
        <f>VLOOKUP(B243,$A$1:$F$22,5,FALSE)</f>
        <v>2207.5</v>
      </c>
      <c r="H242" s="167">
        <f t="shared" ref="H242:H250" si="137">G242*F242*(E242/(DATE(YEAR(D242),12,31)-DATE(YEAR(D242),1,1)+1))</f>
        <v>9.6313527397260277</v>
      </c>
      <c r="I242" s="291">
        <v>0</v>
      </c>
      <c r="J242" s="286">
        <v>0</v>
      </c>
      <c r="K242" s="288">
        <f t="shared" ref="K242:K265" si="138">+SUM(I242:J242)</f>
        <v>0</v>
      </c>
      <c r="L242" s="286">
        <v>0</v>
      </c>
      <c r="M242" s="289">
        <f t="shared" ref="M242:M265" si="139">+SUM(K242:L242)</f>
        <v>0</v>
      </c>
      <c r="N242" s="290">
        <f t="shared" ref="N242:N265" si="140">+G242+H242+J242</f>
        <v>2217.131352739726</v>
      </c>
      <c r="O242" s="167">
        <f t="shared" ref="O242:O265" si="141">G242+H242-L242-I242</f>
        <v>2217.131352739726</v>
      </c>
    </row>
    <row r="243" spans="1:15" x14ac:dyDescent="0.2">
      <c r="A243" s="275" t="s">
        <v>38</v>
      </c>
      <c r="B243" s="276" t="s">
        <v>59</v>
      </c>
      <c r="C243" s="282">
        <f>D242+1</f>
        <v>42005</v>
      </c>
      <c r="D243" s="282">
        <f>EOMONTH(D242,3)</f>
        <v>42094</v>
      </c>
      <c r="E243" s="283">
        <f t="shared" ref="E243:E265" si="142">D243-C243+1</f>
        <v>90</v>
      </c>
      <c r="F243" s="284">
        <f>VLOOKUP(D243,'FERC Interest Rate'!$A:$B,2,TRUE)</f>
        <v>3.2500000000000001E-2</v>
      </c>
      <c r="G243" s="167">
        <f t="shared" ref="G243:G265" si="143">O242</f>
        <v>2217.131352739726</v>
      </c>
      <c r="H243" s="167">
        <f t="shared" si="137"/>
        <v>17.767422484284104</v>
      </c>
      <c r="I243" s="291">
        <v>0</v>
      </c>
      <c r="J243" s="286">
        <v>0</v>
      </c>
      <c r="K243" s="288">
        <f t="shared" si="138"/>
        <v>0</v>
      </c>
      <c r="L243" s="286">
        <v>0</v>
      </c>
      <c r="M243" s="289">
        <f t="shared" si="139"/>
        <v>0</v>
      </c>
      <c r="N243" s="290">
        <f t="shared" si="140"/>
        <v>2234.89877522401</v>
      </c>
      <c r="O243" s="167">
        <f t="shared" si="141"/>
        <v>2234.89877522401</v>
      </c>
    </row>
    <row r="244" spans="1:15" x14ac:dyDescent="0.2">
      <c r="B244" s="283"/>
      <c r="C244" s="282">
        <f t="shared" ref="C244:C265" si="144">D243+1</f>
        <v>42095</v>
      </c>
      <c r="D244" s="282">
        <f t="shared" ref="D244:D269" si="145">EOMONTH(D243,3)</f>
        <v>42185</v>
      </c>
      <c r="E244" s="283">
        <f t="shared" si="142"/>
        <v>91</v>
      </c>
      <c r="F244" s="284">
        <f>VLOOKUP(D244,'FERC Interest Rate'!$A:$B,2,TRUE)</f>
        <v>3.2500000000000001E-2</v>
      </c>
      <c r="G244" s="167">
        <f t="shared" si="143"/>
        <v>2234.89877522401</v>
      </c>
      <c r="H244" s="167">
        <f t="shared" si="137"/>
        <v>18.10880308965756</v>
      </c>
      <c r="I244" s="291">
        <v>0</v>
      </c>
      <c r="J244" s="286">
        <v>0</v>
      </c>
      <c r="K244" s="288">
        <f t="shared" si="138"/>
        <v>0</v>
      </c>
      <c r="L244" s="286">
        <v>0</v>
      </c>
      <c r="M244" s="289">
        <f t="shared" si="139"/>
        <v>0</v>
      </c>
      <c r="N244" s="290">
        <f t="shared" si="140"/>
        <v>2253.0075783136676</v>
      </c>
      <c r="O244" s="167">
        <f t="shared" si="141"/>
        <v>2253.0075783136676</v>
      </c>
    </row>
    <row r="245" spans="1:15" x14ac:dyDescent="0.2">
      <c r="B245" s="283"/>
      <c r="C245" s="282">
        <f t="shared" si="144"/>
        <v>42186</v>
      </c>
      <c r="D245" s="282">
        <f t="shared" si="145"/>
        <v>42277</v>
      </c>
      <c r="E245" s="283">
        <f t="shared" si="142"/>
        <v>92</v>
      </c>
      <c r="F245" s="284">
        <f>VLOOKUP(D245,'FERC Interest Rate'!$A:$B,2,TRUE)</f>
        <v>3.2500000000000001E-2</v>
      </c>
      <c r="G245" s="167">
        <f t="shared" si="143"/>
        <v>2253.0075783136676</v>
      </c>
      <c r="H245" s="167">
        <f t="shared" si="137"/>
        <v>18.456144271665387</v>
      </c>
      <c r="I245" s="291">
        <v>0</v>
      </c>
      <c r="J245" s="286">
        <v>0</v>
      </c>
      <c r="K245" s="288">
        <f t="shared" si="138"/>
        <v>0</v>
      </c>
      <c r="L245" s="286">
        <v>0</v>
      </c>
      <c r="M245" s="289">
        <f t="shared" si="139"/>
        <v>0</v>
      </c>
      <c r="N245" s="290">
        <f t="shared" si="140"/>
        <v>2271.463722585333</v>
      </c>
      <c r="O245" s="167">
        <f t="shared" si="141"/>
        <v>2271.463722585333</v>
      </c>
    </row>
    <row r="246" spans="1:15" x14ac:dyDescent="0.2">
      <c r="A246" s="96"/>
      <c r="B246" s="81"/>
      <c r="C246" s="82">
        <f t="shared" si="144"/>
        <v>42278</v>
      </c>
      <c r="D246" s="82">
        <f t="shared" si="145"/>
        <v>42369</v>
      </c>
      <c r="E246" s="81">
        <f t="shared" si="142"/>
        <v>92</v>
      </c>
      <c r="F246" s="83">
        <f>VLOOKUP(D246,'FERC Interest Rate'!$A:$B,2,TRUE)</f>
        <v>3.2500000000000001E-2</v>
      </c>
      <c r="G246" s="84">
        <f t="shared" si="143"/>
        <v>2271.463722585333</v>
      </c>
      <c r="H246" s="167">
        <f t="shared" si="137"/>
        <v>18.607332960356565</v>
      </c>
      <c r="I246" s="173">
        <v>0</v>
      </c>
      <c r="J246" s="286">
        <v>0</v>
      </c>
      <c r="K246" s="129">
        <f t="shared" si="138"/>
        <v>0</v>
      </c>
      <c r="L246" s="85">
        <v>0</v>
      </c>
      <c r="M246" s="130">
        <f t="shared" si="139"/>
        <v>0</v>
      </c>
      <c r="N246" s="8">
        <f t="shared" si="140"/>
        <v>2290.0710555456894</v>
      </c>
      <c r="O246" s="84">
        <f t="shared" si="141"/>
        <v>2290.0710555456894</v>
      </c>
    </row>
    <row r="247" spans="1:15" x14ac:dyDescent="0.2">
      <c r="A247" s="96"/>
      <c r="B247" s="81"/>
      <c r="C247" s="82">
        <f t="shared" si="144"/>
        <v>42370</v>
      </c>
      <c r="D247" s="82">
        <f t="shared" si="145"/>
        <v>42460</v>
      </c>
      <c r="E247" s="81">
        <f t="shared" si="142"/>
        <v>91</v>
      </c>
      <c r="F247" s="83">
        <f>VLOOKUP(D247,'FERC Interest Rate'!$A:$B,2,TRUE)</f>
        <v>3.2500000000000001E-2</v>
      </c>
      <c r="G247" s="84">
        <f t="shared" si="143"/>
        <v>2290.0710555456894</v>
      </c>
      <c r="H247" s="84">
        <f t="shared" si="137"/>
        <v>18.505150674252395</v>
      </c>
      <c r="I247" s="173">
        <v>0</v>
      </c>
      <c r="J247" s="85">
        <v>0</v>
      </c>
      <c r="K247" s="129">
        <f t="shared" si="138"/>
        <v>0</v>
      </c>
      <c r="L247" s="85">
        <v>0</v>
      </c>
      <c r="M247" s="130">
        <f t="shared" si="139"/>
        <v>0</v>
      </c>
      <c r="N247" s="8">
        <f t="shared" si="140"/>
        <v>2308.5762062199419</v>
      </c>
      <c r="O247" s="84">
        <f t="shared" si="141"/>
        <v>2308.5762062199419</v>
      </c>
    </row>
    <row r="248" spans="1:15" x14ac:dyDescent="0.2">
      <c r="A248" s="96"/>
      <c r="B248" s="81"/>
      <c r="C248" s="82">
        <f t="shared" si="144"/>
        <v>42461</v>
      </c>
      <c r="D248" s="82">
        <f t="shared" si="145"/>
        <v>42551</v>
      </c>
      <c r="E248" s="81">
        <f t="shared" si="142"/>
        <v>91</v>
      </c>
      <c r="F248" s="83">
        <f>VLOOKUP(D248,'FERC Interest Rate'!$A:$B,2,TRUE)</f>
        <v>3.4599999999999999E-2</v>
      </c>
      <c r="G248" s="84">
        <f t="shared" si="143"/>
        <v>2308.5762062199419</v>
      </c>
      <c r="H248" s="84">
        <f t="shared" si="137"/>
        <v>19.860062958754394</v>
      </c>
      <c r="I248" s="173">
        <v>0</v>
      </c>
      <c r="J248" s="85">
        <v>0</v>
      </c>
      <c r="K248" s="129">
        <f t="shared" si="138"/>
        <v>0</v>
      </c>
      <c r="L248" s="85">
        <v>0</v>
      </c>
      <c r="M248" s="130">
        <f t="shared" si="139"/>
        <v>0</v>
      </c>
      <c r="N248" s="8">
        <f t="shared" si="140"/>
        <v>2328.4362691786964</v>
      </c>
      <c r="O248" s="84">
        <f t="shared" si="141"/>
        <v>2328.4362691786964</v>
      </c>
    </row>
    <row r="249" spans="1:15" x14ac:dyDescent="0.2">
      <c r="A249" s="96"/>
      <c r="B249" s="81"/>
      <c r="C249" s="82">
        <f t="shared" si="144"/>
        <v>42552</v>
      </c>
      <c r="D249" s="82">
        <f t="shared" si="145"/>
        <v>42643</v>
      </c>
      <c r="E249" s="81">
        <f t="shared" si="142"/>
        <v>92</v>
      </c>
      <c r="F249" s="83">
        <f>VLOOKUP(D249,'FERC Interest Rate'!$A:$B,2,TRUE)</f>
        <v>3.5000000000000003E-2</v>
      </c>
      <c r="G249" s="84">
        <f t="shared" si="143"/>
        <v>2328.4362691786964</v>
      </c>
      <c r="H249" s="84">
        <f t="shared" si="137"/>
        <v>20.485149690588532</v>
      </c>
      <c r="I249" s="173">
        <v>0</v>
      </c>
      <c r="J249" s="85">
        <v>0</v>
      </c>
      <c r="K249" s="129">
        <f t="shared" si="138"/>
        <v>0</v>
      </c>
      <c r="L249" s="85">
        <v>0</v>
      </c>
      <c r="M249" s="130">
        <f t="shared" si="139"/>
        <v>0</v>
      </c>
      <c r="N249" s="8">
        <f t="shared" si="140"/>
        <v>2348.9214188692849</v>
      </c>
      <c r="O249" s="84">
        <f t="shared" si="141"/>
        <v>2348.9214188692849</v>
      </c>
    </row>
    <row r="250" spans="1:15" x14ac:dyDescent="0.2">
      <c r="A250" s="17" t="s">
        <v>54</v>
      </c>
      <c r="B250" s="81" t="str">
        <f t="shared" ref="B250:B262" si="146">+IF(MONTH(C250)&lt;4,"Q1",IF(MONTH(C250)&lt;7,"Q2",IF(MONTH(C250)&lt;10,"Q3","Q4")))&amp;"/"&amp;YEAR(C250)</f>
        <v>Q4/2016</v>
      </c>
      <c r="C250" s="82">
        <f t="shared" si="144"/>
        <v>42644</v>
      </c>
      <c r="D250" s="82">
        <f t="shared" si="145"/>
        <v>42735</v>
      </c>
      <c r="E250" s="81">
        <f t="shared" si="142"/>
        <v>92</v>
      </c>
      <c r="F250" s="83">
        <f>VLOOKUP(D250,'FERC Interest Rate'!$A:$B,2,TRUE)</f>
        <v>3.5000000000000003E-2</v>
      </c>
      <c r="G250" s="84">
        <f t="shared" si="143"/>
        <v>2348.9214188692849</v>
      </c>
      <c r="H250" s="84">
        <f t="shared" si="137"/>
        <v>20.665374231582238</v>
      </c>
      <c r="I250" s="109">
        <f t="shared" ref="I250:I269" si="147">SUM($H$242:$H$270)/20</f>
        <v>8.1043396550433595</v>
      </c>
      <c r="J250" s="85">
        <v>0</v>
      </c>
      <c r="K250" s="129">
        <f t="shared" si="138"/>
        <v>8.1043396550433595</v>
      </c>
      <c r="L250" s="85">
        <f t="shared" ref="L250:L269" si="148">VLOOKUP($B$243,A$1:F$18,5,FALSE)/20</f>
        <v>110.375</v>
      </c>
      <c r="M250" s="130">
        <f t="shared" si="139"/>
        <v>118.47933965504336</v>
      </c>
      <c r="N250" s="8">
        <f t="shared" si="140"/>
        <v>2369.586793100867</v>
      </c>
      <c r="O250" s="84">
        <f t="shared" si="141"/>
        <v>2251.1074534458235</v>
      </c>
    </row>
    <row r="251" spans="1:15" x14ac:dyDescent="0.2">
      <c r="A251" s="17" t="s">
        <v>55</v>
      </c>
      <c r="B251" s="81" t="str">
        <f t="shared" si="146"/>
        <v>Q1/2017</v>
      </c>
      <c r="C251" s="82">
        <f t="shared" si="144"/>
        <v>42736</v>
      </c>
      <c r="D251" s="82">
        <f t="shared" si="145"/>
        <v>42825</v>
      </c>
      <c r="E251" s="81">
        <f t="shared" si="142"/>
        <v>90</v>
      </c>
      <c r="F251" s="83">
        <f>VLOOKUP(D251,'FERC Interest Rate'!$A:$B,2,TRUE)</f>
        <v>3.5000000000000003E-2</v>
      </c>
      <c r="G251" s="84">
        <f t="shared" si="143"/>
        <v>2251.1074534458235</v>
      </c>
      <c r="H251" s="84">
        <v>0</v>
      </c>
      <c r="I251" s="109">
        <f t="shared" si="147"/>
        <v>8.1043396550433595</v>
      </c>
      <c r="J251" s="85">
        <f t="shared" ref="J251:J265" si="149">G251*F251*(E251/(DATE(YEAR(D251),12,31)-DATE(YEAR(D251),1,1)+1))</f>
        <v>19.427365694121491</v>
      </c>
      <c r="K251" s="129">
        <f t="shared" si="138"/>
        <v>27.531705349164852</v>
      </c>
      <c r="L251" s="85">
        <f t="shared" si="148"/>
        <v>110.375</v>
      </c>
      <c r="M251" s="130">
        <f t="shared" si="139"/>
        <v>137.90670534916484</v>
      </c>
      <c r="N251" s="8">
        <f t="shared" si="140"/>
        <v>2270.5348191399448</v>
      </c>
      <c r="O251" s="84">
        <f t="shared" si="141"/>
        <v>2132.6281137907799</v>
      </c>
    </row>
    <row r="252" spans="1:15" x14ac:dyDescent="0.2">
      <c r="A252" s="17" t="s">
        <v>56</v>
      </c>
      <c r="B252" s="81" t="str">
        <f t="shared" si="146"/>
        <v>Q2/2017</v>
      </c>
      <c r="C252" s="82">
        <f t="shared" si="144"/>
        <v>42826</v>
      </c>
      <c r="D252" s="82">
        <f t="shared" si="145"/>
        <v>42916</v>
      </c>
      <c r="E252" s="81">
        <f t="shared" si="142"/>
        <v>91</v>
      </c>
      <c r="F252" s="83">
        <f>VLOOKUP(D252,'FERC Interest Rate'!$A:$B,2,TRUE)</f>
        <v>3.7100000000000001E-2</v>
      </c>
      <c r="G252" s="84">
        <f t="shared" si="143"/>
        <v>2132.6281137907799</v>
      </c>
      <c r="H252" s="84">
        <v>0</v>
      </c>
      <c r="I252" s="109">
        <f t="shared" si="147"/>
        <v>8.1043396550433595</v>
      </c>
      <c r="J252" s="85">
        <f t="shared" si="149"/>
        <v>19.7259336300522</v>
      </c>
      <c r="K252" s="129">
        <f t="shared" si="138"/>
        <v>27.830273285095558</v>
      </c>
      <c r="L252" s="85">
        <f t="shared" si="148"/>
        <v>110.375</v>
      </c>
      <c r="M252" s="130">
        <f t="shared" si="139"/>
        <v>138.20527328509556</v>
      </c>
      <c r="N252" s="8">
        <f t="shared" si="140"/>
        <v>2152.3540474208321</v>
      </c>
      <c r="O252" s="84">
        <f t="shared" si="141"/>
        <v>2014.1487741357366</v>
      </c>
    </row>
    <row r="253" spans="1:15" x14ac:dyDescent="0.2">
      <c r="A253" s="17" t="s">
        <v>57</v>
      </c>
      <c r="B253" s="81" t="str">
        <f t="shared" si="146"/>
        <v>Q3/2017</v>
      </c>
      <c r="C253" s="82">
        <f t="shared" si="144"/>
        <v>42917</v>
      </c>
      <c r="D253" s="82">
        <f t="shared" si="145"/>
        <v>43008</v>
      </c>
      <c r="E253" s="81">
        <f t="shared" si="142"/>
        <v>92</v>
      </c>
      <c r="F253" s="83">
        <f>VLOOKUP(D253,'FERC Interest Rate'!$A:$B,2,TRUE)</f>
        <v>3.9600000000000003E-2</v>
      </c>
      <c r="G253" s="84">
        <f t="shared" si="143"/>
        <v>2014.1487741357366</v>
      </c>
      <c r="H253" s="84">
        <v>0</v>
      </c>
      <c r="I253" s="109">
        <f t="shared" si="147"/>
        <v>8.1043396550433595</v>
      </c>
      <c r="J253" s="85">
        <f>G253*F253*(E253/(DATE(YEAR(D253),12,31)-DATE(YEAR(D253),1,1)+1))</f>
        <v>20.10396387378443</v>
      </c>
      <c r="K253" s="129">
        <f t="shared" si="138"/>
        <v>28.208303528827791</v>
      </c>
      <c r="L253" s="85">
        <f t="shared" si="148"/>
        <v>110.375</v>
      </c>
      <c r="M253" s="130">
        <f t="shared" si="139"/>
        <v>138.5833035288278</v>
      </c>
      <c r="N253" s="8">
        <f t="shared" si="140"/>
        <v>2034.252738009521</v>
      </c>
      <c r="O253" s="84">
        <f t="shared" si="141"/>
        <v>1895.6694344806933</v>
      </c>
    </row>
    <row r="254" spans="1:15" x14ac:dyDescent="0.2">
      <c r="A254" s="17" t="s">
        <v>58</v>
      </c>
      <c r="B254" s="81" t="str">
        <f t="shared" si="146"/>
        <v>Q4/2017</v>
      </c>
      <c r="C254" s="82">
        <f t="shared" si="144"/>
        <v>43009</v>
      </c>
      <c r="D254" s="82">
        <f t="shared" si="145"/>
        <v>43100</v>
      </c>
      <c r="E254" s="81">
        <f t="shared" si="142"/>
        <v>92</v>
      </c>
      <c r="F254" s="83">
        <f>VLOOKUP(D254,'FERC Interest Rate'!$A:$B,2,TRUE)</f>
        <v>4.2099999999999999E-2</v>
      </c>
      <c r="G254" s="84">
        <f t="shared" si="143"/>
        <v>1895.6694344806933</v>
      </c>
      <c r="H254" s="84">
        <v>0</v>
      </c>
      <c r="I254" s="109">
        <f t="shared" si="147"/>
        <v>8.1043396550433595</v>
      </c>
      <c r="J254" s="85">
        <f t="shared" si="149"/>
        <v>20.1159091880291</v>
      </c>
      <c r="K254" s="129">
        <f t="shared" si="138"/>
        <v>28.220248843072461</v>
      </c>
      <c r="L254" s="85">
        <f t="shared" si="148"/>
        <v>110.375</v>
      </c>
      <c r="M254" s="130">
        <f t="shared" si="139"/>
        <v>138.59524884307245</v>
      </c>
      <c r="N254" s="8">
        <f t="shared" si="140"/>
        <v>1915.7853436687224</v>
      </c>
      <c r="O254" s="84">
        <f t="shared" si="141"/>
        <v>1777.19009482565</v>
      </c>
    </row>
    <row r="255" spans="1:15" x14ac:dyDescent="0.2">
      <c r="A255" s="17" t="s">
        <v>59</v>
      </c>
      <c r="B255" s="81" t="str">
        <f t="shared" si="146"/>
        <v>Q1/2018</v>
      </c>
      <c r="C255" s="82">
        <f t="shared" si="144"/>
        <v>43101</v>
      </c>
      <c r="D255" s="82">
        <f t="shared" si="145"/>
        <v>43190</v>
      </c>
      <c r="E255" s="81">
        <f t="shared" si="142"/>
        <v>90</v>
      </c>
      <c r="F255" s="83">
        <f>VLOOKUP(D255,'FERC Interest Rate'!$A:$B,2,TRUE)</f>
        <v>4.2500000000000003E-2</v>
      </c>
      <c r="G255" s="84">
        <f t="shared" si="143"/>
        <v>1777.19009482565</v>
      </c>
      <c r="H255" s="84">
        <v>0</v>
      </c>
      <c r="I255" s="109">
        <f t="shared" si="147"/>
        <v>8.1043396550433595</v>
      </c>
      <c r="J255" s="85">
        <f t="shared" si="149"/>
        <v>18.623978390981129</v>
      </c>
      <c r="K255" s="129">
        <f t="shared" si="138"/>
        <v>26.728318046024491</v>
      </c>
      <c r="L255" s="85">
        <f t="shared" si="148"/>
        <v>110.375</v>
      </c>
      <c r="M255" s="130">
        <f t="shared" si="139"/>
        <v>137.1033180460245</v>
      </c>
      <c r="N255" s="8">
        <f t="shared" si="140"/>
        <v>1795.8140732166312</v>
      </c>
      <c r="O255" s="84">
        <f t="shared" si="141"/>
        <v>1658.7107551706067</v>
      </c>
    </row>
    <row r="256" spans="1:15" x14ac:dyDescent="0.2">
      <c r="A256" s="17" t="s">
        <v>60</v>
      </c>
      <c r="B256" s="81" t="str">
        <f t="shared" si="146"/>
        <v>Q2/2018</v>
      </c>
      <c r="C256" s="82">
        <f t="shared" si="144"/>
        <v>43191</v>
      </c>
      <c r="D256" s="82">
        <f t="shared" si="145"/>
        <v>43281</v>
      </c>
      <c r="E256" s="81">
        <f t="shared" si="142"/>
        <v>91</v>
      </c>
      <c r="F256" s="83">
        <f>VLOOKUP(D256,'FERC Interest Rate'!$A:$B,2,TRUE)</f>
        <v>4.4699999999999997E-2</v>
      </c>
      <c r="G256" s="84">
        <f t="shared" si="143"/>
        <v>1658.7107551706067</v>
      </c>
      <c r="H256" s="84">
        <v>0</v>
      </c>
      <c r="I256" s="109">
        <f t="shared" si="147"/>
        <v>8.1043396550433595</v>
      </c>
      <c r="J256" s="85">
        <f t="shared" si="149"/>
        <v>18.485308873445138</v>
      </c>
      <c r="K256" s="129">
        <f t="shared" si="138"/>
        <v>26.589648528488496</v>
      </c>
      <c r="L256" s="85">
        <f t="shared" si="148"/>
        <v>110.375</v>
      </c>
      <c r="M256" s="130">
        <f t="shared" si="139"/>
        <v>136.96464852848851</v>
      </c>
      <c r="N256" s="8">
        <f t="shared" si="140"/>
        <v>1677.1960640440518</v>
      </c>
      <c r="O256" s="84">
        <f t="shared" si="141"/>
        <v>1540.2314155155634</v>
      </c>
    </row>
    <row r="257" spans="1:15" x14ac:dyDescent="0.2">
      <c r="A257" s="17" t="s">
        <v>61</v>
      </c>
      <c r="B257" s="81" t="str">
        <f t="shared" si="146"/>
        <v>Q3/2018</v>
      </c>
      <c r="C257" s="82">
        <f t="shared" si="144"/>
        <v>43282</v>
      </c>
      <c r="D257" s="82">
        <f t="shared" si="145"/>
        <v>43373</v>
      </c>
      <c r="E257" s="81">
        <f t="shared" si="142"/>
        <v>92</v>
      </c>
      <c r="F257" s="83">
        <f>VLOOKUP(D257,'FERC Interest Rate'!$A:$B,2,TRUE)</f>
        <v>5.011111E-2</v>
      </c>
      <c r="G257" s="84">
        <f t="shared" si="143"/>
        <v>1540.2314155155634</v>
      </c>
      <c r="H257" s="84">
        <v>0</v>
      </c>
      <c r="I257" s="109">
        <f t="shared" si="147"/>
        <v>8.1043396550433595</v>
      </c>
      <c r="J257" s="85">
        <f t="shared" si="149"/>
        <v>19.454271073229489</v>
      </c>
      <c r="K257" s="129">
        <f t="shared" si="138"/>
        <v>27.558610728272846</v>
      </c>
      <c r="L257" s="85">
        <f t="shared" si="148"/>
        <v>110.375</v>
      </c>
      <c r="M257" s="130">
        <f t="shared" si="139"/>
        <v>137.93361072827284</v>
      </c>
      <c r="N257" s="8">
        <f t="shared" si="140"/>
        <v>1559.6856865887928</v>
      </c>
      <c r="O257" s="84">
        <f t="shared" si="141"/>
        <v>1421.7520758605201</v>
      </c>
    </row>
    <row r="258" spans="1:15" x14ac:dyDescent="0.2">
      <c r="A258" s="17" t="s">
        <v>62</v>
      </c>
      <c r="B258" s="81" t="str">
        <f t="shared" si="146"/>
        <v>Q4/2018</v>
      </c>
      <c r="C258" s="82">
        <f t="shared" si="144"/>
        <v>43374</v>
      </c>
      <c r="D258" s="82">
        <f t="shared" si="145"/>
        <v>43465</v>
      </c>
      <c r="E258" s="81">
        <f t="shared" si="142"/>
        <v>92</v>
      </c>
      <c r="F258" s="83">
        <f>VLOOKUP(D258,'FERC Interest Rate'!$A:$B,2,TRUE)</f>
        <v>5.2822580000000001E-2</v>
      </c>
      <c r="G258" s="84">
        <f t="shared" si="143"/>
        <v>1421.7520758605201</v>
      </c>
      <c r="H258" s="84">
        <v>0</v>
      </c>
      <c r="I258" s="109">
        <f t="shared" si="147"/>
        <v>8.1043396550433595</v>
      </c>
      <c r="J258" s="85">
        <f t="shared" si="149"/>
        <v>18.929469519431159</v>
      </c>
      <c r="K258" s="129">
        <f t="shared" si="138"/>
        <v>27.03380917447452</v>
      </c>
      <c r="L258" s="85">
        <f t="shared" si="148"/>
        <v>110.375</v>
      </c>
      <c r="M258" s="130">
        <f t="shared" si="139"/>
        <v>137.40880917447453</v>
      </c>
      <c r="N258" s="8">
        <f t="shared" si="140"/>
        <v>1440.6815453799513</v>
      </c>
      <c r="O258" s="84">
        <f t="shared" si="141"/>
        <v>1303.2727362054768</v>
      </c>
    </row>
    <row r="259" spans="1:15" x14ac:dyDescent="0.2">
      <c r="A259" s="17" t="s">
        <v>63</v>
      </c>
      <c r="B259" s="81" t="str">
        <f t="shared" si="146"/>
        <v>Q1/2019</v>
      </c>
      <c r="C259" s="82">
        <f t="shared" si="144"/>
        <v>43466</v>
      </c>
      <c r="D259" s="82">
        <f t="shared" si="145"/>
        <v>43555</v>
      </c>
      <c r="E259" s="81">
        <f t="shared" si="142"/>
        <v>90</v>
      </c>
      <c r="F259" s="83">
        <f>VLOOKUP(D259,'FERC Interest Rate'!$A:$B,2,TRUE)</f>
        <v>5.5296770000000002E-2</v>
      </c>
      <c r="G259" s="84">
        <f t="shared" si="143"/>
        <v>1303.2727362054768</v>
      </c>
      <c r="H259" s="84">
        <v>0</v>
      </c>
      <c r="I259" s="109">
        <f t="shared" si="147"/>
        <v>8.1043396550433595</v>
      </c>
      <c r="J259" s="85">
        <f t="shared" si="149"/>
        <v>17.76988916906916</v>
      </c>
      <c r="K259" s="129">
        <f t="shared" si="138"/>
        <v>25.874228824112521</v>
      </c>
      <c r="L259" s="85">
        <f t="shared" si="148"/>
        <v>110.375</v>
      </c>
      <c r="M259" s="130">
        <f t="shared" si="139"/>
        <v>136.24922882411252</v>
      </c>
      <c r="N259" s="8">
        <f t="shared" si="140"/>
        <v>1321.0426253745459</v>
      </c>
      <c r="O259" s="84">
        <f t="shared" si="141"/>
        <v>1184.7933965504335</v>
      </c>
    </row>
    <row r="260" spans="1:15" x14ac:dyDescent="0.2">
      <c r="A260" s="17" t="s">
        <v>64</v>
      </c>
      <c r="B260" s="81" t="str">
        <f t="shared" si="146"/>
        <v>Q2/2019</v>
      </c>
      <c r="C260" s="82">
        <f t="shared" si="144"/>
        <v>43556</v>
      </c>
      <c r="D260" s="82">
        <f t="shared" si="145"/>
        <v>43646</v>
      </c>
      <c r="E260" s="81">
        <f t="shared" si="142"/>
        <v>91</v>
      </c>
      <c r="F260" s="83">
        <f>VLOOKUP(D260,'FERC Interest Rate'!$A:$B,2,TRUE)</f>
        <v>5.7999999999999996E-2</v>
      </c>
      <c r="G260" s="84">
        <f t="shared" si="143"/>
        <v>1184.7933965504335</v>
      </c>
      <c r="H260" s="84">
        <v>0</v>
      </c>
      <c r="I260" s="109">
        <f t="shared" si="147"/>
        <v>8.1043396550433595</v>
      </c>
      <c r="J260" s="85">
        <f t="shared" si="149"/>
        <v>17.132437115049829</v>
      </c>
      <c r="K260" s="129">
        <f t="shared" si="138"/>
        <v>25.236776770093186</v>
      </c>
      <c r="L260" s="85">
        <f t="shared" si="148"/>
        <v>110.375</v>
      </c>
      <c r="M260" s="130">
        <f t="shared" si="139"/>
        <v>135.61177677009317</v>
      </c>
      <c r="N260" s="8">
        <f t="shared" si="140"/>
        <v>1201.9258336654834</v>
      </c>
      <c r="O260" s="84">
        <f t="shared" si="141"/>
        <v>1066.3140568953902</v>
      </c>
    </row>
    <row r="261" spans="1:15" x14ac:dyDescent="0.2">
      <c r="A261" s="17" t="s">
        <v>65</v>
      </c>
      <c r="B261" s="81" t="str">
        <f t="shared" si="146"/>
        <v>Q3/2019</v>
      </c>
      <c r="C261" s="82">
        <f t="shared" si="144"/>
        <v>43647</v>
      </c>
      <c r="D261" s="82">
        <f t="shared" si="145"/>
        <v>43738</v>
      </c>
      <c r="E261" s="81">
        <f t="shared" si="142"/>
        <v>92</v>
      </c>
      <c r="F261" s="83">
        <f>VLOOKUP(D261,'FERC Interest Rate'!$A:$B,2,TRUE)</f>
        <v>0.06</v>
      </c>
      <c r="G261" s="84">
        <f t="shared" si="143"/>
        <v>1066.3140568953902</v>
      </c>
      <c r="H261" s="84">
        <v>0</v>
      </c>
      <c r="I261" s="109">
        <f t="shared" si="147"/>
        <v>8.1043396550433595</v>
      </c>
      <c r="J261" s="85">
        <f t="shared" si="149"/>
        <v>16.126174230308369</v>
      </c>
      <c r="K261" s="129">
        <f t="shared" si="138"/>
        <v>24.230513885351726</v>
      </c>
      <c r="L261" s="85">
        <f t="shared" si="148"/>
        <v>110.375</v>
      </c>
      <c r="M261" s="130">
        <f t="shared" si="139"/>
        <v>134.60551388535174</v>
      </c>
      <c r="N261" s="8">
        <f t="shared" si="140"/>
        <v>1082.4402311256986</v>
      </c>
      <c r="O261" s="84">
        <f t="shared" si="141"/>
        <v>947.83471724034689</v>
      </c>
    </row>
    <row r="262" spans="1:15" x14ac:dyDescent="0.2">
      <c r="A262" s="17" t="s">
        <v>66</v>
      </c>
      <c r="B262" s="81" t="str">
        <f t="shared" si="146"/>
        <v>Q4/2019</v>
      </c>
      <c r="C262" s="82">
        <f t="shared" si="144"/>
        <v>43739</v>
      </c>
      <c r="D262" s="82">
        <f t="shared" si="145"/>
        <v>43830</v>
      </c>
      <c r="E262" s="81">
        <f t="shared" si="142"/>
        <v>92</v>
      </c>
      <c r="F262" s="83">
        <f>VLOOKUP(D262,'FERC Interest Rate'!$A:$B,2,TRUE)</f>
        <v>6.0349460000000001E-2</v>
      </c>
      <c r="G262" s="84">
        <f t="shared" si="143"/>
        <v>947.83471724034689</v>
      </c>
      <c r="H262" s="84">
        <v>0</v>
      </c>
      <c r="I262" s="109">
        <f t="shared" si="147"/>
        <v>8.1043396550433595</v>
      </c>
      <c r="J262" s="85">
        <f t="shared" si="149"/>
        <v>14.417865283926306</v>
      </c>
      <c r="K262" s="129">
        <f t="shared" si="138"/>
        <v>22.522204938969665</v>
      </c>
      <c r="L262" s="85">
        <f t="shared" si="148"/>
        <v>110.375</v>
      </c>
      <c r="M262" s="130">
        <f t="shared" si="139"/>
        <v>132.89720493896965</v>
      </c>
      <c r="N262" s="8">
        <f t="shared" si="140"/>
        <v>962.25258252427318</v>
      </c>
      <c r="O262" s="84">
        <f t="shared" si="141"/>
        <v>829.35537758530359</v>
      </c>
    </row>
    <row r="263" spans="1:15" x14ac:dyDescent="0.2">
      <c r="A263" s="17" t="s">
        <v>67</v>
      </c>
      <c r="B263" s="81" t="str">
        <f>+IF(MONTH(C263)&lt;4,"Q1",IF(MONTH(C263)&lt;7,"Q2",IF(MONTH(C263)&lt;10,"Q3","Q4")))&amp;"/"&amp;YEAR(C263)</f>
        <v>Q1/2020</v>
      </c>
      <c r="C263" s="82">
        <f t="shared" si="144"/>
        <v>43831</v>
      </c>
      <c r="D263" s="82">
        <f t="shared" si="145"/>
        <v>43921</v>
      </c>
      <c r="E263" s="81">
        <f t="shared" si="142"/>
        <v>91</v>
      </c>
      <c r="F263" s="83">
        <f>VLOOKUP(D263,'FERC Interest Rate'!$A:$B,2,TRUE)</f>
        <v>6.2501040000000008E-2</v>
      </c>
      <c r="G263" s="84">
        <f t="shared" si="143"/>
        <v>829.35537758530359</v>
      </c>
      <c r="H263" s="84">
        <v>0</v>
      </c>
      <c r="I263" s="109">
        <f t="shared" si="147"/>
        <v>8.1043396550433595</v>
      </c>
      <c r="J263" s="85">
        <f t="shared" si="149"/>
        <v>12.888079781992758</v>
      </c>
      <c r="K263" s="129">
        <f t="shared" si="138"/>
        <v>20.992419437036119</v>
      </c>
      <c r="L263" s="85">
        <f t="shared" si="148"/>
        <v>110.375</v>
      </c>
      <c r="M263" s="130">
        <f t="shared" si="139"/>
        <v>131.36741943703612</v>
      </c>
      <c r="N263" s="8">
        <f t="shared" si="140"/>
        <v>842.24345736729629</v>
      </c>
      <c r="O263" s="84">
        <f t="shared" si="141"/>
        <v>710.87603793026028</v>
      </c>
    </row>
    <row r="264" spans="1:15" x14ac:dyDescent="0.2">
      <c r="A264" s="17" t="s">
        <v>68</v>
      </c>
      <c r="B264" s="81" t="str">
        <f>+IF(MONTH(C264)&lt;4,"Q1",IF(MONTH(C264)&lt;7,"Q2",IF(MONTH(C264)&lt;10,"Q3","Q4")))&amp;"/"&amp;YEAR(C264)</f>
        <v>Q2/2020</v>
      </c>
      <c r="C264" s="82">
        <f t="shared" si="144"/>
        <v>43922</v>
      </c>
      <c r="D264" s="82">
        <f t="shared" si="145"/>
        <v>44012</v>
      </c>
      <c r="E264" s="81">
        <f t="shared" si="142"/>
        <v>91</v>
      </c>
      <c r="F264" s="83">
        <f>VLOOKUP(D264,'FERC Interest Rate'!$A:$B,2,TRUE)</f>
        <v>6.3055559999999997E-2</v>
      </c>
      <c r="G264" s="84">
        <f t="shared" si="143"/>
        <v>710.87603793026028</v>
      </c>
      <c r="H264" s="84">
        <v>0</v>
      </c>
      <c r="I264" s="109">
        <f t="shared" si="147"/>
        <v>8.1043396550433595</v>
      </c>
      <c r="J264" s="85">
        <f t="shared" si="149"/>
        <v>11.144935754827639</v>
      </c>
      <c r="K264" s="129">
        <f t="shared" si="138"/>
        <v>19.249275409870997</v>
      </c>
      <c r="L264" s="85">
        <f t="shared" si="148"/>
        <v>110.375</v>
      </c>
      <c r="M264" s="130">
        <f t="shared" si="139"/>
        <v>129.62427540987099</v>
      </c>
      <c r="N264" s="8">
        <f t="shared" si="140"/>
        <v>722.02097368508794</v>
      </c>
      <c r="O264" s="84">
        <f t="shared" si="141"/>
        <v>592.39669827521698</v>
      </c>
    </row>
    <row r="265" spans="1:15" x14ac:dyDescent="0.2">
      <c r="A265" s="17" t="s">
        <v>69</v>
      </c>
      <c r="B265" s="81" t="str">
        <f>+IF(MONTH(C265)&lt;4,"Q1",IF(MONTH(C265)&lt;7,"Q2",IF(MONTH(C265)&lt;10,"Q3","Q4")))&amp;"/"&amp;YEAR(C265)</f>
        <v>Q3/2020</v>
      </c>
      <c r="C265" s="82">
        <f t="shared" si="144"/>
        <v>44013</v>
      </c>
      <c r="D265" s="82">
        <f t="shared" si="145"/>
        <v>44104</v>
      </c>
      <c r="E265" s="81">
        <f t="shared" si="142"/>
        <v>92</v>
      </c>
      <c r="F265" s="83">
        <f>VLOOKUP(D265,'FERC Interest Rate'!$A:$B,2,TRUE)</f>
        <v>6.5000000000000002E-2</v>
      </c>
      <c r="G265" s="84">
        <f t="shared" si="143"/>
        <v>592.39669827521698</v>
      </c>
      <c r="H265" s="84">
        <v>0</v>
      </c>
      <c r="I265" s="109">
        <f t="shared" si="147"/>
        <v>8.1043396550433595</v>
      </c>
      <c r="J265" s="85">
        <f t="shared" si="149"/>
        <v>9.6790498789229442</v>
      </c>
      <c r="K265" s="129">
        <f t="shared" si="138"/>
        <v>17.783389533966304</v>
      </c>
      <c r="L265" s="85">
        <f t="shared" si="148"/>
        <v>110.375</v>
      </c>
      <c r="M265" s="130">
        <f t="shared" si="139"/>
        <v>128.1583895339663</v>
      </c>
      <c r="N265" s="8">
        <f t="shared" si="140"/>
        <v>602.07574815413989</v>
      </c>
      <c r="O265" s="84">
        <f t="shared" si="141"/>
        <v>473.91735862017362</v>
      </c>
    </row>
    <row r="266" spans="1:15" x14ac:dyDescent="0.2">
      <c r="A266" s="17" t="s">
        <v>70</v>
      </c>
      <c r="B266" s="81" t="str">
        <f t="shared" ref="B266:B269" si="150">+IF(MONTH(C266)&lt;4,"Q1",IF(MONTH(C266)&lt;7,"Q2",IF(MONTH(C266)&lt;10,"Q3","Q4")))&amp;"/"&amp;YEAR(C266)</f>
        <v>Q4/2020</v>
      </c>
      <c r="C266" s="82">
        <f t="shared" ref="C266:C269" si="151">D265+1</f>
        <v>44105</v>
      </c>
      <c r="D266" s="82">
        <f t="shared" si="145"/>
        <v>44196</v>
      </c>
      <c r="E266" s="81">
        <f t="shared" ref="E266:E269" si="152">D266-C266+1</f>
        <v>92</v>
      </c>
      <c r="F266" s="83">
        <f>VLOOKUP(D266,'FERC Interest Rate'!$A:$B,2,TRUE)</f>
        <v>6.5000000000000002E-2</v>
      </c>
      <c r="G266" s="84">
        <f t="shared" ref="G266:G269" si="153">O265</f>
        <v>473.91735862017362</v>
      </c>
      <c r="H266" s="84">
        <v>0</v>
      </c>
      <c r="I266" s="109">
        <f t="shared" si="147"/>
        <v>8.1043396550433595</v>
      </c>
      <c r="J266" s="85">
        <f t="shared" ref="J266:J269" si="154">G266*F266*(E266/(DATE(YEAR(D266),12,31)-DATE(YEAR(D266),1,1)+1))</f>
        <v>7.7432399031383561</v>
      </c>
      <c r="K266" s="129">
        <f t="shared" ref="K266:K269" si="155">+SUM(I266:J266)</f>
        <v>15.847579558181716</v>
      </c>
      <c r="L266" s="85">
        <f t="shared" si="148"/>
        <v>110.375</v>
      </c>
      <c r="M266" s="130">
        <f t="shared" ref="M266:M269" si="156">+SUM(K266:L266)</f>
        <v>126.22257955818172</v>
      </c>
      <c r="N266" s="8">
        <f t="shared" ref="N266:N269" si="157">+G266+H266+J266</f>
        <v>481.66059852331199</v>
      </c>
      <c r="O266" s="84">
        <f t="shared" ref="O266:O269" si="158">G266+H266-L266-I266</f>
        <v>355.43801896513025</v>
      </c>
    </row>
    <row r="267" spans="1:15" x14ac:dyDescent="0.2">
      <c r="A267" s="17" t="s">
        <v>71</v>
      </c>
      <c r="B267" s="81" t="str">
        <f t="shared" si="150"/>
        <v>Q1/2021</v>
      </c>
      <c r="C267" s="82">
        <f t="shared" si="151"/>
        <v>44197</v>
      </c>
      <c r="D267" s="82">
        <f t="shared" si="145"/>
        <v>44286</v>
      </c>
      <c r="E267" s="81">
        <f t="shared" si="152"/>
        <v>90</v>
      </c>
      <c r="F267" s="83">
        <f>VLOOKUP(D267,'FERC Interest Rate'!$A:$B,2,TRUE)</f>
        <v>6.5000000000000002E-2</v>
      </c>
      <c r="G267" s="84">
        <f t="shared" si="153"/>
        <v>355.43801896513025</v>
      </c>
      <c r="H267" s="84">
        <v>0</v>
      </c>
      <c r="I267" s="109">
        <f t="shared" si="147"/>
        <v>8.1043396550433595</v>
      </c>
      <c r="J267" s="85">
        <f t="shared" si="154"/>
        <v>5.6967463313589368</v>
      </c>
      <c r="K267" s="129">
        <f t="shared" si="155"/>
        <v>13.801085986402295</v>
      </c>
      <c r="L267" s="85">
        <f t="shared" si="148"/>
        <v>110.375</v>
      </c>
      <c r="M267" s="130">
        <f t="shared" si="156"/>
        <v>124.1760859864023</v>
      </c>
      <c r="N267" s="8">
        <f t="shared" si="157"/>
        <v>361.13476529648921</v>
      </c>
      <c r="O267" s="84">
        <f t="shared" si="158"/>
        <v>236.95867931008689</v>
      </c>
    </row>
    <row r="268" spans="1:15" x14ac:dyDescent="0.2">
      <c r="A268" s="17" t="s">
        <v>72</v>
      </c>
      <c r="B268" s="81" t="str">
        <f t="shared" si="150"/>
        <v>Q2/2021</v>
      </c>
      <c r="C268" s="82">
        <f t="shared" si="151"/>
        <v>44287</v>
      </c>
      <c r="D268" s="82">
        <f t="shared" si="145"/>
        <v>44377</v>
      </c>
      <c r="E268" s="81">
        <f t="shared" si="152"/>
        <v>91</v>
      </c>
      <c r="F268" s="83">
        <f>VLOOKUP(D268,'FERC Interest Rate'!$A:$B,2,TRUE)</f>
        <v>6.5000000000000002E-2</v>
      </c>
      <c r="G268" s="84">
        <f t="shared" si="153"/>
        <v>236.95867931008689</v>
      </c>
      <c r="H268" s="84">
        <v>0</v>
      </c>
      <c r="I268" s="109">
        <f t="shared" si="147"/>
        <v>8.1043396550433595</v>
      </c>
      <c r="J268" s="85">
        <f t="shared" si="154"/>
        <v>3.8400290085456548</v>
      </c>
      <c r="K268" s="129">
        <f t="shared" si="155"/>
        <v>11.944368663589014</v>
      </c>
      <c r="L268" s="85">
        <f t="shared" si="148"/>
        <v>110.375</v>
      </c>
      <c r="M268" s="130">
        <f t="shared" si="156"/>
        <v>122.31936866358902</v>
      </c>
      <c r="N268" s="8">
        <f t="shared" si="157"/>
        <v>240.79870831863255</v>
      </c>
      <c r="O268" s="84">
        <f t="shared" si="158"/>
        <v>118.47933965504353</v>
      </c>
    </row>
    <row r="269" spans="1:15" x14ac:dyDescent="0.2">
      <c r="A269" s="17" t="s">
        <v>73</v>
      </c>
      <c r="B269" s="81" t="str">
        <f t="shared" si="150"/>
        <v>Q3/2021</v>
      </c>
      <c r="C269" s="82">
        <f t="shared" si="151"/>
        <v>44378</v>
      </c>
      <c r="D269" s="82">
        <f t="shared" si="145"/>
        <v>44469</v>
      </c>
      <c r="E269" s="81">
        <f t="shared" si="152"/>
        <v>92</v>
      </c>
      <c r="F269" s="83">
        <f>VLOOKUP(D269,'FERC Interest Rate'!$A:$B,2,TRUE)</f>
        <v>6.5000000000000002E-2</v>
      </c>
      <c r="G269" s="84">
        <f t="shared" si="153"/>
        <v>118.47933965504353</v>
      </c>
      <c r="H269" s="84">
        <v>0</v>
      </c>
      <c r="I269" s="109">
        <f t="shared" si="147"/>
        <v>8.1043396550433595</v>
      </c>
      <c r="J269" s="85">
        <f t="shared" si="154"/>
        <v>1.9411135647593436</v>
      </c>
      <c r="K269" s="129">
        <f t="shared" si="155"/>
        <v>10.045453219802702</v>
      </c>
      <c r="L269" s="85">
        <f t="shared" si="148"/>
        <v>110.375</v>
      </c>
      <c r="M269" s="130">
        <f t="shared" si="156"/>
        <v>120.42045321980271</v>
      </c>
      <c r="N269" s="8">
        <f t="shared" si="157"/>
        <v>120.42045321980288</v>
      </c>
      <c r="O269" s="84">
        <f t="shared" si="158"/>
        <v>1.723066134218243E-13</v>
      </c>
    </row>
    <row r="270" spans="1:15" x14ac:dyDescent="0.2">
      <c r="A270" s="96"/>
      <c r="B270" s="81"/>
      <c r="C270" s="82"/>
      <c r="D270" s="82"/>
      <c r="E270" s="81"/>
      <c r="F270" s="83"/>
      <c r="G270" s="84"/>
      <c r="H270" s="84"/>
      <c r="I270" s="109"/>
      <c r="J270" s="85"/>
      <c r="K270" s="129"/>
      <c r="L270" s="85"/>
      <c r="M270" s="130"/>
      <c r="N270" s="8"/>
      <c r="O270" s="84"/>
    </row>
    <row r="271" spans="1:15" ht="13.5" thickBot="1" x14ac:dyDescent="0.25">
      <c r="A271" s="151"/>
      <c r="B271" s="152"/>
      <c r="C271" s="153"/>
      <c r="D271" s="153"/>
      <c r="E271" s="154"/>
      <c r="F271" s="152"/>
      <c r="G271" s="140">
        <f t="shared" ref="G271:O271" si="159">+SUM(G242:G270)</f>
        <v>42971.080913134589</v>
      </c>
      <c r="H271" s="140">
        <f t="shared" si="159"/>
        <v>162.0867931008672</v>
      </c>
      <c r="I271" s="141">
        <f t="shared" si="159"/>
        <v>162.0867931008672</v>
      </c>
      <c r="J271" s="140">
        <f t="shared" si="159"/>
        <v>273.24576026497346</v>
      </c>
      <c r="K271" s="140">
        <f t="shared" si="159"/>
        <v>435.33255336584068</v>
      </c>
      <c r="L271" s="140">
        <f t="shared" si="159"/>
        <v>2207.5</v>
      </c>
      <c r="M271" s="142">
        <f t="shared" si="159"/>
        <v>2642.8325533658403</v>
      </c>
      <c r="N271" s="140">
        <f t="shared" si="159"/>
        <v>43406.413466500417</v>
      </c>
      <c r="O271" s="140">
        <f t="shared" si="159"/>
        <v>40763.580913134589</v>
      </c>
    </row>
    <row r="272" spans="1:15" ht="13.5" thickTop="1" x14ac:dyDescent="0.2">
      <c r="B272" s="117"/>
      <c r="C272" s="117"/>
      <c r="D272" s="117"/>
      <c r="E272" s="117"/>
      <c r="F272" s="117"/>
      <c r="G272" s="117"/>
      <c r="H272" s="117"/>
      <c r="I272" s="116"/>
      <c r="J272" s="117"/>
      <c r="K272" s="117"/>
      <c r="L272" s="117"/>
      <c r="M272" s="131"/>
      <c r="O272" s="117"/>
    </row>
    <row r="273" spans="1:15" ht="38.25" x14ac:dyDescent="0.2">
      <c r="A273" s="90" t="s">
        <v>53</v>
      </c>
      <c r="B273" s="90" t="s">
        <v>3</v>
      </c>
      <c r="C273" s="90" t="s">
        <v>4</v>
      </c>
      <c r="D273" s="90" t="s">
        <v>5</v>
      </c>
      <c r="E273" s="90" t="s">
        <v>6</v>
      </c>
      <c r="F273" s="90" t="s">
        <v>7</v>
      </c>
      <c r="G273" s="90" t="s">
        <v>93</v>
      </c>
      <c r="H273" s="90" t="s">
        <v>94</v>
      </c>
      <c r="I273" s="105" t="s">
        <v>95</v>
      </c>
      <c r="J273" s="106" t="s">
        <v>96</v>
      </c>
      <c r="K273" s="106" t="s">
        <v>97</v>
      </c>
      <c r="L273" s="106" t="s">
        <v>98</v>
      </c>
      <c r="M273" s="107" t="s">
        <v>99</v>
      </c>
      <c r="N273" s="90" t="s">
        <v>100</v>
      </c>
      <c r="O273" s="90" t="s">
        <v>101</v>
      </c>
    </row>
    <row r="274" spans="1:15" x14ac:dyDescent="0.2">
      <c r="A274" s="309" t="s">
        <v>15</v>
      </c>
      <c r="B274" s="309"/>
      <c r="C274" s="282">
        <f>VLOOKUP(B275,A$1:F$18,2,FALSE)</f>
        <v>41968</v>
      </c>
      <c r="D274" s="282">
        <f>DATE(YEAR(C274),IF(MONTH(C274)&lt;=3,3,IF(MONTH(C274)&lt;=6,6,IF(MONTH(C274)&lt;=9,9,12))),IF(OR(MONTH(C274)&lt;=3,MONTH(C274)&gt;=10),31,30))</f>
        <v>42004</v>
      </c>
      <c r="E274" s="283">
        <f>D274-C274+1</f>
        <v>37</v>
      </c>
      <c r="F274" s="284">
        <f>VLOOKUP(D274,'FERC Interest Rate'!$A:$B,2,TRUE)</f>
        <v>3.2500000000000001E-2</v>
      </c>
      <c r="G274" s="167">
        <f>VLOOKUP(B275,$A$1:$F$22,5,FALSE)</f>
        <v>2375</v>
      </c>
      <c r="H274" s="167">
        <f t="shared" ref="H274:H282" si="160">G274*F274*(E274/(DATE(YEAR(D274),12,31)-DATE(YEAR(D274),1,1)+1))</f>
        <v>7.8244863013698627</v>
      </c>
      <c r="I274" s="291">
        <v>0</v>
      </c>
      <c r="J274" s="286">
        <v>0</v>
      </c>
      <c r="K274" s="288">
        <f t="shared" ref="K274:K282" si="161">+SUM(I274:J274)</f>
        <v>0</v>
      </c>
      <c r="L274" s="286">
        <v>0</v>
      </c>
      <c r="M274" s="289">
        <f t="shared" ref="M274:M296" si="162">+SUM(K274:L274)</f>
        <v>0</v>
      </c>
      <c r="N274" s="290">
        <f t="shared" ref="N274:N296" si="163">+G274+H274+J274</f>
        <v>2382.8244863013697</v>
      </c>
      <c r="O274" s="167">
        <f t="shared" ref="O274:O296" si="164">G274+H274-L274-I274</f>
        <v>2382.8244863013697</v>
      </c>
    </row>
    <row r="275" spans="1:15" x14ac:dyDescent="0.2">
      <c r="A275" s="275" t="s">
        <v>38</v>
      </c>
      <c r="B275" s="276" t="s">
        <v>60</v>
      </c>
      <c r="C275" s="282">
        <f>D274+1</f>
        <v>42005</v>
      </c>
      <c r="D275" s="282">
        <f>EOMONTH(D274,3)</f>
        <v>42094</v>
      </c>
      <c r="E275" s="283">
        <f t="shared" ref="E275:E296" si="165">D275-C275+1</f>
        <v>90</v>
      </c>
      <c r="F275" s="284">
        <f>VLOOKUP(D275,'FERC Interest Rate'!$A:$B,2,TRUE)</f>
        <v>3.2500000000000001E-2</v>
      </c>
      <c r="G275" s="167">
        <f t="shared" ref="G275:G296" si="166">O274</f>
        <v>2382.8244863013697</v>
      </c>
      <c r="H275" s="167">
        <f t="shared" si="160"/>
        <v>19.095237321730156</v>
      </c>
      <c r="I275" s="291">
        <v>0</v>
      </c>
      <c r="J275" s="286">
        <v>0</v>
      </c>
      <c r="K275" s="288">
        <f t="shared" si="161"/>
        <v>0</v>
      </c>
      <c r="L275" s="286">
        <v>0</v>
      </c>
      <c r="M275" s="289">
        <f t="shared" si="162"/>
        <v>0</v>
      </c>
      <c r="N275" s="290">
        <f t="shared" si="163"/>
        <v>2401.9197236230998</v>
      </c>
      <c r="O275" s="167">
        <f t="shared" si="164"/>
        <v>2401.9197236230998</v>
      </c>
    </row>
    <row r="276" spans="1:15" x14ac:dyDescent="0.2">
      <c r="B276" s="283"/>
      <c r="C276" s="282">
        <f t="shared" ref="C276:C296" si="167">D275+1</f>
        <v>42095</v>
      </c>
      <c r="D276" s="282">
        <f t="shared" ref="D276:D301" si="168">EOMONTH(D275,3)</f>
        <v>42185</v>
      </c>
      <c r="E276" s="283">
        <f t="shared" si="165"/>
        <v>91</v>
      </c>
      <c r="F276" s="284">
        <f>VLOOKUP(D276,'FERC Interest Rate'!$A:$B,2,TRUE)</f>
        <v>3.2500000000000001E-2</v>
      </c>
      <c r="G276" s="167">
        <f t="shared" si="166"/>
        <v>2401.9197236230998</v>
      </c>
      <c r="H276" s="167">
        <f t="shared" si="160"/>
        <v>19.462130363329639</v>
      </c>
      <c r="I276" s="291">
        <v>0</v>
      </c>
      <c r="J276" s="286">
        <v>0</v>
      </c>
      <c r="K276" s="288">
        <f t="shared" si="161"/>
        <v>0</v>
      </c>
      <c r="L276" s="286">
        <v>0</v>
      </c>
      <c r="M276" s="289">
        <f t="shared" si="162"/>
        <v>0</v>
      </c>
      <c r="N276" s="290">
        <f t="shared" si="163"/>
        <v>2421.3818539864296</v>
      </c>
      <c r="O276" s="167">
        <f t="shared" si="164"/>
        <v>2421.3818539864296</v>
      </c>
    </row>
    <row r="277" spans="1:15" x14ac:dyDescent="0.2">
      <c r="A277" s="96"/>
      <c r="B277" s="81"/>
      <c r="C277" s="82">
        <f t="shared" si="167"/>
        <v>42186</v>
      </c>
      <c r="D277" s="82">
        <f t="shared" si="168"/>
        <v>42277</v>
      </c>
      <c r="E277" s="81">
        <f t="shared" si="165"/>
        <v>92</v>
      </c>
      <c r="F277" s="83">
        <f>VLOOKUP(D277,'FERC Interest Rate'!$A:$B,2,TRUE)</f>
        <v>3.2500000000000001E-2</v>
      </c>
      <c r="G277" s="84">
        <f t="shared" si="166"/>
        <v>2421.3818539864296</v>
      </c>
      <c r="H277" s="167">
        <f t="shared" si="160"/>
        <v>19.835429434025823</v>
      </c>
      <c r="I277" s="173">
        <v>0</v>
      </c>
      <c r="J277" s="286">
        <v>0</v>
      </c>
      <c r="K277" s="129">
        <f t="shared" si="161"/>
        <v>0</v>
      </c>
      <c r="L277" s="85">
        <v>0</v>
      </c>
      <c r="M277" s="130">
        <f t="shared" si="162"/>
        <v>0</v>
      </c>
      <c r="N277" s="8">
        <f t="shared" si="163"/>
        <v>2441.2172834204553</v>
      </c>
      <c r="O277" s="84">
        <f t="shared" si="164"/>
        <v>2441.2172834204553</v>
      </c>
    </row>
    <row r="278" spans="1:15" x14ac:dyDescent="0.2">
      <c r="A278" s="96"/>
      <c r="B278" s="81"/>
      <c r="C278" s="82">
        <f t="shared" si="167"/>
        <v>42278</v>
      </c>
      <c r="D278" s="82">
        <f t="shared" si="168"/>
        <v>42369</v>
      </c>
      <c r="E278" s="81">
        <f t="shared" si="165"/>
        <v>92</v>
      </c>
      <c r="F278" s="83">
        <f>VLOOKUP(D278,'FERC Interest Rate'!$A:$B,2,TRUE)</f>
        <v>3.2500000000000001E-2</v>
      </c>
      <c r="G278" s="84">
        <f t="shared" si="166"/>
        <v>2441.2172834204553</v>
      </c>
      <c r="H278" s="84">
        <f t="shared" si="160"/>
        <v>19.997916924457979</v>
      </c>
      <c r="I278" s="173">
        <v>0</v>
      </c>
      <c r="J278" s="85">
        <v>0</v>
      </c>
      <c r="K278" s="129">
        <f t="shared" si="161"/>
        <v>0</v>
      </c>
      <c r="L278" s="85">
        <v>0</v>
      </c>
      <c r="M278" s="130">
        <f t="shared" si="162"/>
        <v>0</v>
      </c>
      <c r="N278" s="8">
        <f t="shared" si="163"/>
        <v>2461.2152003449132</v>
      </c>
      <c r="O278" s="84">
        <f t="shared" si="164"/>
        <v>2461.2152003449132</v>
      </c>
    </row>
    <row r="279" spans="1:15" x14ac:dyDescent="0.2">
      <c r="A279" s="96"/>
      <c r="B279" s="81"/>
      <c r="C279" s="82">
        <f t="shared" si="167"/>
        <v>42370</v>
      </c>
      <c r="D279" s="82">
        <f t="shared" si="168"/>
        <v>42460</v>
      </c>
      <c r="E279" s="81">
        <f t="shared" si="165"/>
        <v>91</v>
      </c>
      <c r="F279" s="83">
        <f>VLOOKUP(D279,'FERC Interest Rate'!$A:$B,2,TRUE)</f>
        <v>3.2500000000000001E-2</v>
      </c>
      <c r="G279" s="84">
        <f t="shared" si="166"/>
        <v>2461.2152003449132</v>
      </c>
      <c r="H279" s="84">
        <f t="shared" si="160"/>
        <v>19.888098237759785</v>
      </c>
      <c r="I279" s="173">
        <v>0</v>
      </c>
      <c r="J279" s="85">
        <v>0</v>
      </c>
      <c r="K279" s="129">
        <f t="shared" si="161"/>
        <v>0</v>
      </c>
      <c r="L279" s="85">
        <v>0</v>
      </c>
      <c r="M279" s="130">
        <f t="shared" si="162"/>
        <v>0</v>
      </c>
      <c r="N279" s="8">
        <f t="shared" si="163"/>
        <v>2481.1032985826732</v>
      </c>
      <c r="O279" s="84">
        <f t="shared" si="164"/>
        <v>2481.1032985826732</v>
      </c>
    </row>
    <row r="280" spans="1:15" x14ac:dyDescent="0.2">
      <c r="A280" s="96"/>
      <c r="B280" s="81"/>
      <c r="C280" s="82">
        <f t="shared" si="167"/>
        <v>42461</v>
      </c>
      <c r="D280" s="82">
        <f t="shared" si="168"/>
        <v>42551</v>
      </c>
      <c r="E280" s="81">
        <f t="shared" si="165"/>
        <v>91</v>
      </c>
      <c r="F280" s="83">
        <f>VLOOKUP(D280,'FERC Interest Rate'!$A:$B,2,TRUE)</f>
        <v>3.4599999999999999E-2</v>
      </c>
      <c r="G280" s="84">
        <f t="shared" si="166"/>
        <v>2481.1032985826732</v>
      </c>
      <c r="H280" s="84">
        <f t="shared" si="160"/>
        <v>21.344267338572145</v>
      </c>
      <c r="I280" s="173">
        <v>0</v>
      </c>
      <c r="J280" s="85">
        <v>0</v>
      </c>
      <c r="K280" s="129">
        <f t="shared" si="161"/>
        <v>0</v>
      </c>
      <c r="L280" s="85">
        <v>0</v>
      </c>
      <c r="M280" s="130">
        <f t="shared" si="162"/>
        <v>0</v>
      </c>
      <c r="N280" s="8">
        <f t="shared" si="163"/>
        <v>2502.4475659212453</v>
      </c>
      <c r="O280" s="84">
        <f t="shared" si="164"/>
        <v>2502.4475659212453</v>
      </c>
    </row>
    <row r="281" spans="1:15" x14ac:dyDescent="0.2">
      <c r="A281" s="96"/>
      <c r="B281" s="81"/>
      <c r="C281" s="82">
        <f t="shared" si="167"/>
        <v>42552</v>
      </c>
      <c r="D281" s="82">
        <f t="shared" si="168"/>
        <v>42643</v>
      </c>
      <c r="E281" s="81">
        <f t="shared" si="165"/>
        <v>92</v>
      </c>
      <c r="F281" s="83">
        <f>VLOOKUP(D281,'FERC Interest Rate'!$A:$B,2,TRUE)</f>
        <v>3.5000000000000003E-2</v>
      </c>
      <c r="G281" s="84">
        <f t="shared" si="166"/>
        <v>2502.4475659212453</v>
      </c>
      <c r="H281" s="84">
        <f t="shared" si="160"/>
        <v>22.016068749361775</v>
      </c>
      <c r="I281" s="173">
        <v>0</v>
      </c>
      <c r="J281" s="85">
        <v>0</v>
      </c>
      <c r="K281" s="129">
        <f t="shared" si="161"/>
        <v>0</v>
      </c>
      <c r="L281" s="85">
        <v>0</v>
      </c>
      <c r="M281" s="130">
        <f t="shared" si="162"/>
        <v>0</v>
      </c>
      <c r="N281" s="8">
        <f t="shared" si="163"/>
        <v>2524.463634670607</v>
      </c>
      <c r="O281" s="84">
        <f t="shared" si="164"/>
        <v>2524.463634670607</v>
      </c>
    </row>
    <row r="282" spans="1:15" x14ac:dyDescent="0.2">
      <c r="A282" s="17" t="s">
        <v>54</v>
      </c>
      <c r="B282" s="81" t="str">
        <f t="shared" ref="B282:B293" si="169">+IF(MONTH(C282)&lt;4,"Q1",IF(MONTH(C282)&lt;7,"Q2",IF(MONTH(C282)&lt;10,"Q3","Q4")))&amp;"/"&amp;YEAR(C282)</f>
        <v>Q4/2016</v>
      </c>
      <c r="C282" s="82">
        <f t="shared" si="167"/>
        <v>42644</v>
      </c>
      <c r="D282" s="82">
        <f t="shared" si="168"/>
        <v>42735</v>
      </c>
      <c r="E282" s="81">
        <f t="shared" si="165"/>
        <v>92</v>
      </c>
      <c r="F282" s="83">
        <f>VLOOKUP(D282,'FERC Interest Rate'!$A:$B,2,TRUE)</f>
        <v>3.5000000000000003E-2</v>
      </c>
      <c r="G282" s="84">
        <f t="shared" si="166"/>
        <v>2524.463634670607</v>
      </c>
      <c r="H282" s="84">
        <f t="shared" si="160"/>
        <v>22.209762031801517</v>
      </c>
      <c r="I282" s="109">
        <f>SUM($H$274:$H$302)/20</f>
        <v>8.5836698351204355</v>
      </c>
      <c r="J282" s="85">
        <v>0</v>
      </c>
      <c r="K282" s="129">
        <f t="shared" si="161"/>
        <v>8.5836698351204355</v>
      </c>
      <c r="L282" s="85">
        <f t="shared" ref="L282:L301" si="170">VLOOKUP($B$275,A$1:F$18,5,FALSE)/20</f>
        <v>118.75</v>
      </c>
      <c r="M282" s="130">
        <f t="shared" si="162"/>
        <v>127.33366983512043</v>
      </c>
      <c r="N282" s="8">
        <f t="shared" si="163"/>
        <v>2546.6733967024084</v>
      </c>
      <c r="O282" s="84">
        <f t="shared" si="164"/>
        <v>2419.3397268672879</v>
      </c>
    </row>
    <row r="283" spans="1:15" x14ac:dyDescent="0.2">
      <c r="A283" s="17" t="s">
        <v>55</v>
      </c>
      <c r="B283" s="81" t="str">
        <f t="shared" si="169"/>
        <v>Q1/2017</v>
      </c>
      <c r="C283" s="82">
        <f t="shared" si="167"/>
        <v>42736</v>
      </c>
      <c r="D283" s="82">
        <f t="shared" si="168"/>
        <v>42825</v>
      </c>
      <c r="E283" s="81">
        <f t="shared" si="165"/>
        <v>90</v>
      </c>
      <c r="F283" s="83">
        <f>VLOOKUP(D283,'FERC Interest Rate'!$A:$B,2,TRUE)</f>
        <v>3.5000000000000003E-2</v>
      </c>
      <c r="G283" s="84">
        <f t="shared" si="166"/>
        <v>2419.3397268672879</v>
      </c>
      <c r="H283" s="84">
        <v>0</v>
      </c>
      <c r="I283" s="109">
        <f t="shared" ref="I283:I301" si="171">SUM($H$274:$H$302)/20</f>
        <v>8.5836698351204355</v>
      </c>
      <c r="J283" s="85">
        <f t="shared" ref="J283:J296" si="172">G283*F283*(E283/(DATE(YEAR(D283),12,31)-DATE(YEAR(D283),1,1)+1))</f>
        <v>20.879233259265636</v>
      </c>
      <c r="K283" s="129">
        <f t="shared" ref="K283:K296" si="173">+SUM(I283:J283)</f>
        <v>29.462903094386071</v>
      </c>
      <c r="L283" s="85">
        <f t="shared" si="170"/>
        <v>118.75</v>
      </c>
      <c r="M283" s="130">
        <f t="shared" si="162"/>
        <v>148.21290309438606</v>
      </c>
      <c r="N283" s="8">
        <f t="shared" si="163"/>
        <v>2440.2189601265536</v>
      </c>
      <c r="O283" s="84">
        <f t="shared" si="164"/>
        <v>2292.0060570321675</v>
      </c>
    </row>
    <row r="284" spans="1:15" x14ac:dyDescent="0.2">
      <c r="A284" s="17" t="s">
        <v>56</v>
      </c>
      <c r="B284" s="81" t="str">
        <f t="shared" si="169"/>
        <v>Q2/2017</v>
      </c>
      <c r="C284" s="82">
        <f t="shared" si="167"/>
        <v>42826</v>
      </c>
      <c r="D284" s="82">
        <f t="shared" si="168"/>
        <v>42916</v>
      </c>
      <c r="E284" s="81">
        <f t="shared" si="165"/>
        <v>91</v>
      </c>
      <c r="F284" s="83">
        <f>VLOOKUP(D284,'FERC Interest Rate'!$A:$B,2,TRUE)</f>
        <v>3.7100000000000001E-2</v>
      </c>
      <c r="G284" s="84">
        <f t="shared" si="166"/>
        <v>2292.0060570321675</v>
      </c>
      <c r="H284" s="84">
        <v>0</v>
      </c>
      <c r="I284" s="109">
        <f t="shared" si="171"/>
        <v>8.5836698351204355</v>
      </c>
      <c r="J284" s="85">
        <f t="shared" si="172"/>
        <v>21.20011410725014</v>
      </c>
      <c r="K284" s="129">
        <f t="shared" si="173"/>
        <v>29.783783942370576</v>
      </c>
      <c r="L284" s="85">
        <f t="shared" si="170"/>
        <v>118.75</v>
      </c>
      <c r="M284" s="130">
        <f t="shared" si="162"/>
        <v>148.53378394237058</v>
      </c>
      <c r="N284" s="8">
        <f t="shared" si="163"/>
        <v>2313.2061711394176</v>
      </c>
      <c r="O284" s="84">
        <f t="shared" si="164"/>
        <v>2164.6723871970471</v>
      </c>
    </row>
    <row r="285" spans="1:15" x14ac:dyDescent="0.2">
      <c r="A285" s="17" t="s">
        <v>57</v>
      </c>
      <c r="B285" s="81" t="str">
        <f t="shared" si="169"/>
        <v>Q3/2017</v>
      </c>
      <c r="C285" s="82">
        <f t="shared" si="167"/>
        <v>42917</v>
      </c>
      <c r="D285" s="82">
        <f t="shared" si="168"/>
        <v>43008</v>
      </c>
      <c r="E285" s="81">
        <f t="shared" si="165"/>
        <v>92</v>
      </c>
      <c r="F285" s="83">
        <f>VLOOKUP(D285,'FERC Interest Rate'!$A:$B,2,TRUE)</f>
        <v>3.9600000000000003E-2</v>
      </c>
      <c r="G285" s="84">
        <f t="shared" si="166"/>
        <v>2164.6723871970471</v>
      </c>
      <c r="H285" s="84">
        <v>0</v>
      </c>
      <c r="I285" s="109">
        <f t="shared" si="171"/>
        <v>8.5836698351204355</v>
      </c>
      <c r="J285" s="85">
        <f t="shared" si="172"/>
        <v>21.606395728866527</v>
      </c>
      <c r="K285" s="129">
        <f t="shared" si="173"/>
        <v>30.190065563986963</v>
      </c>
      <c r="L285" s="85">
        <f t="shared" si="170"/>
        <v>118.75</v>
      </c>
      <c r="M285" s="130">
        <f t="shared" si="162"/>
        <v>148.94006556398696</v>
      </c>
      <c r="N285" s="8">
        <f t="shared" si="163"/>
        <v>2186.2787829259137</v>
      </c>
      <c r="O285" s="84">
        <f t="shared" si="164"/>
        <v>2037.3387173619267</v>
      </c>
    </row>
    <row r="286" spans="1:15" x14ac:dyDescent="0.2">
      <c r="A286" s="17" t="s">
        <v>58</v>
      </c>
      <c r="B286" s="81" t="str">
        <f t="shared" si="169"/>
        <v>Q4/2017</v>
      </c>
      <c r="C286" s="82">
        <f t="shared" si="167"/>
        <v>43009</v>
      </c>
      <c r="D286" s="82">
        <f t="shared" si="168"/>
        <v>43100</v>
      </c>
      <c r="E286" s="81">
        <f t="shared" si="165"/>
        <v>92</v>
      </c>
      <c r="F286" s="83">
        <f>VLOOKUP(D286,'FERC Interest Rate'!$A:$B,2,TRUE)</f>
        <v>4.2099999999999999E-2</v>
      </c>
      <c r="G286" s="84">
        <f t="shared" si="166"/>
        <v>2037.3387173619267</v>
      </c>
      <c r="H286" s="84">
        <v>0</v>
      </c>
      <c r="I286" s="109">
        <f t="shared" si="171"/>
        <v>8.5836698351204355</v>
      </c>
      <c r="J286" s="85">
        <f t="shared" si="172"/>
        <v>21.619233753660865</v>
      </c>
      <c r="K286" s="129">
        <f t="shared" si="173"/>
        <v>30.2029035887813</v>
      </c>
      <c r="L286" s="85">
        <f t="shared" si="170"/>
        <v>118.75</v>
      </c>
      <c r="M286" s="130">
        <f t="shared" si="162"/>
        <v>148.95290358878131</v>
      </c>
      <c r="N286" s="8">
        <f t="shared" si="163"/>
        <v>2058.9579511155875</v>
      </c>
      <c r="O286" s="84">
        <f t="shared" si="164"/>
        <v>1910.0050475268063</v>
      </c>
    </row>
    <row r="287" spans="1:15" x14ac:dyDescent="0.2">
      <c r="A287" s="17" t="s">
        <v>59</v>
      </c>
      <c r="B287" s="81" t="str">
        <f t="shared" si="169"/>
        <v>Q1/2018</v>
      </c>
      <c r="C287" s="82">
        <f t="shared" si="167"/>
        <v>43101</v>
      </c>
      <c r="D287" s="82">
        <f t="shared" si="168"/>
        <v>43190</v>
      </c>
      <c r="E287" s="81">
        <f t="shared" si="165"/>
        <v>90</v>
      </c>
      <c r="F287" s="83">
        <f>VLOOKUP(D287,'FERC Interest Rate'!$A:$B,2,TRUE)</f>
        <v>4.2500000000000003E-2</v>
      </c>
      <c r="G287" s="84">
        <f t="shared" si="166"/>
        <v>1910.0050475268063</v>
      </c>
      <c r="H287" s="84">
        <v>0</v>
      </c>
      <c r="I287" s="109">
        <f t="shared" si="171"/>
        <v>8.5836698351204355</v>
      </c>
      <c r="J287" s="85">
        <f t="shared" si="172"/>
        <v>20.015806319972693</v>
      </c>
      <c r="K287" s="129">
        <f t="shared" si="173"/>
        <v>28.599476155093129</v>
      </c>
      <c r="L287" s="85">
        <f t="shared" si="170"/>
        <v>118.75</v>
      </c>
      <c r="M287" s="130">
        <f t="shared" si="162"/>
        <v>147.34947615509313</v>
      </c>
      <c r="N287" s="8">
        <f t="shared" si="163"/>
        <v>1930.0208538467789</v>
      </c>
      <c r="O287" s="84">
        <f t="shared" si="164"/>
        <v>1782.6713776916858</v>
      </c>
    </row>
    <row r="288" spans="1:15" x14ac:dyDescent="0.2">
      <c r="A288" s="17" t="s">
        <v>60</v>
      </c>
      <c r="B288" s="81" t="str">
        <f t="shared" si="169"/>
        <v>Q2/2018</v>
      </c>
      <c r="C288" s="82">
        <f t="shared" si="167"/>
        <v>43191</v>
      </c>
      <c r="D288" s="82">
        <f t="shared" si="168"/>
        <v>43281</v>
      </c>
      <c r="E288" s="81">
        <f t="shared" si="165"/>
        <v>91</v>
      </c>
      <c r="F288" s="83">
        <f>VLOOKUP(D288,'FERC Interest Rate'!$A:$B,2,TRUE)</f>
        <v>4.4699999999999997E-2</v>
      </c>
      <c r="G288" s="84">
        <f t="shared" si="166"/>
        <v>1782.6713776916858</v>
      </c>
      <c r="H288" s="84">
        <v>0</v>
      </c>
      <c r="I288" s="109">
        <f t="shared" si="171"/>
        <v>8.5836698351204355</v>
      </c>
      <c r="J288" s="85">
        <f t="shared" si="172"/>
        <v>19.86677359736019</v>
      </c>
      <c r="K288" s="129">
        <f t="shared" si="173"/>
        <v>28.450443432480625</v>
      </c>
      <c r="L288" s="85">
        <f t="shared" si="170"/>
        <v>118.75</v>
      </c>
      <c r="M288" s="130">
        <f t="shared" si="162"/>
        <v>147.20044343248063</v>
      </c>
      <c r="N288" s="8">
        <f t="shared" si="163"/>
        <v>1802.538151289046</v>
      </c>
      <c r="O288" s="84">
        <f t="shared" si="164"/>
        <v>1655.3377078565654</v>
      </c>
    </row>
    <row r="289" spans="1:15" x14ac:dyDescent="0.2">
      <c r="A289" s="17" t="s">
        <v>61</v>
      </c>
      <c r="B289" s="81" t="str">
        <f t="shared" si="169"/>
        <v>Q3/2018</v>
      </c>
      <c r="C289" s="82">
        <f t="shared" si="167"/>
        <v>43282</v>
      </c>
      <c r="D289" s="82">
        <f t="shared" si="168"/>
        <v>43373</v>
      </c>
      <c r="E289" s="81">
        <f t="shared" si="165"/>
        <v>92</v>
      </c>
      <c r="F289" s="83">
        <f>VLOOKUP(D289,'FERC Interest Rate'!$A:$B,2,TRUE)</f>
        <v>5.011111E-2</v>
      </c>
      <c r="G289" s="84">
        <f t="shared" si="166"/>
        <v>1655.3377078565654</v>
      </c>
      <c r="H289" s="84">
        <v>0</v>
      </c>
      <c r="I289" s="109">
        <f t="shared" si="171"/>
        <v>8.5836698351204355</v>
      </c>
      <c r="J289" s="85">
        <f t="shared" si="172"/>
        <v>20.908149361179277</v>
      </c>
      <c r="K289" s="129">
        <f t="shared" si="173"/>
        <v>29.491819196299712</v>
      </c>
      <c r="L289" s="85">
        <f t="shared" si="170"/>
        <v>118.75</v>
      </c>
      <c r="M289" s="130">
        <f t="shared" si="162"/>
        <v>148.2418191962997</v>
      </c>
      <c r="N289" s="8">
        <f t="shared" si="163"/>
        <v>1676.2458572177447</v>
      </c>
      <c r="O289" s="84">
        <f t="shared" si="164"/>
        <v>1528.004038021445</v>
      </c>
    </row>
    <row r="290" spans="1:15" x14ac:dyDescent="0.2">
      <c r="A290" s="17" t="s">
        <v>62</v>
      </c>
      <c r="B290" s="81" t="str">
        <f t="shared" si="169"/>
        <v>Q4/2018</v>
      </c>
      <c r="C290" s="82">
        <f t="shared" si="167"/>
        <v>43374</v>
      </c>
      <c r="D290" s="82">
        <f t="shared" si="168"/>
        <v>43465</v>
      </c>
      <c r="E290" s="81">
        <f t="shared" si="165"/>
        <v>92</v>
      </c>
      <c r="F290" s="83">
        <f>VLOOKUP(D290,'FERC Interest Rate'!$A:$B,2,TRUE)</f>
        <v>5.2822580000000001E-2</v>
      </c>
      <c r="G290" s="84">
        <f t="shared" si="166"/>
        <v>1528.004038021445</v>
      </c>
      <c r="H290" s="84">
        <v>0</v>
      </c>
      <c r="I290" s="109">
        <f t="shared" si="171"/>
        <v>8.5836698351204355</v>
      </c>
      <c r="J290" s="85">
        <f t="shared" si="172"/>
        <v>20.344127752223002</v>
      </c>
      <c r="K290" s="129">
        <f t="shared" si="173"/>
        <v>28.927797587343438</v>
      </c>
      <c r="L290" s="85">
        <f t="shared" si="170"/>
        <v>118.75</v>
      </c>
      <c r="M290" s="130">
        <f t="shared" si="162"/>
        <v>147.67779758734343</v>
      </c>
      <c r="N290" s="8">
        <f t="shared" si="163"/>
        <v>1548.3481657736679</v>
      </c>
      <c r="O290" s="84">
        <f t="shared" si="164"/>
        <v>1400.6703681863246</v>
      </c>
    </row>
    <row r="291" spans="1:15" x14ac:dyDescent="0.2">
      <c r="A291" s="17" t="s">
        <v>63</v>
      </c>
      <c r="B291" s="81" t="str">
        <f t="shared" si="169"/>
        <v>Q1/2019</v>
      </c>
      <c r="C291" s="82">
        <f t="shared" si="167"/>
        <v>43466</v>
      </c>
      <c r="D291" s="82">
        <f t="shared" si="168"/>
        <v>43555</v>
      </c>
      <c r="E291" s="81">
        <f t="shared" si="165"/>
        <v>90</v>
      </c>
      <c r="F291" s="83">
        <f>VLOOKUP(D291,'FERC Interest Rate'!$A:$B,2,TRUE)</f>
        <v>5.5296770000000002E-2</v>
      </c>
      <c r="G291" s="84">
        <f t="shared" si="166"/>
        <v>1400.6703681863246</v>
      </c>
      <c r="H291" s="84">
        <v>0</v>
      </c>
      <c r="I291" s="109">
        <f t="shared" si="171"/>
        <v>8.5836698351204355</v>
      </c>
      <c r="J291" s="85">
        <f t="shared" si="172"/>
        <v>19.09788834955426</v>
      </c>
      <c r="K291" s="129">
        <f t="shared" si="173"/>
        <v>27.681558184674696</v>
      </c>
      <c r="L291" s="85">
        <f t="shared" si="170"/>
        <v>118.75</v>
      </c>
      <c r="M291" s="130">
        <f t="shared" si="162"/>
        <v>146.43155818467469</v>
      </c>
      <c r="N291" s="8">
        <f t="shared" si="163"/>
        <v>1419.7682565358789</v>
      </c>
      <c r="O291" s="84">
        <f t="shared" si="164"/>
        <v>1273.3366983512042</v>
      </c>
    </row>
    <row r="292" spans="1:15" x14ac:dyDescent="0.2">
      <c r="A292" s="17" t="s">
        <v>64</v>
      </c>
      <c r="B292" s="81" t="str">
        <f t="shared" si="169"/>
        <v>Q2/2019</v>
      </c>
      <c r="C292" s="82">
        <f t="shared" si="167"/>
        <v>43556</v>
      </c>
      <c r="D292" s="82">
        <f t="shared" si="168"/>
        <v>43646</v>
      </c>
      <c r="E292" s="81">
        <f t="shared" si="165"/>
        <v>91</v>
      </c>
      <c r="F292" s="83">
        <f>VLOOKUP(D292,'FERC Interest Rate'!$A:$B,2,TRUE)</f>
        <v>5.7999999999999996E-2</v>
      </c>
      <c r="G292" s="84">
        <f t="shared" si="166"/>
        <v>1273.3366983512042</v>
      </c>
      <c r="H292" s="84">
        <v>0</v>
      </c>
      <c r="I292" s="109">
        <f t="shared" si="171"/>
        <v>8.5836698351204355</v>
      </c>
      <c r="J292" s="85">
        <f t="shared" si="172"/>
        <v>18.412797517527821</v>
      </c>
      <c r="K292" s="129">
        <f t="shared" si="173"/>
        <v>26.996467352648256</v>
      </c>
      <c r="L292" s="85">
        <f t="shared" si="170"/>
        <v>118.75</v>
      </c>
      <c r="M292" s="130">
        <f t="shared" si="162"/>
        <v>145.74646735264827</v>
      </c>
      <c r="N292" s="8">
        <f t="shared" si="163"/>
        <v>1291.7494958687321</v>
      </c>
      <c r="O292" s="84">
        <f t="shared" si="164"/>
        <v>1146.0030285160838</v>
      </c>
    </row>
    <row r="293" spans="1:15" x14ac:dyDescent="0.2">
      <c r="A293" s="17" t="s">
        <v>65</v>
      </c>
      <c r="B293" s="81" t="str">
        <f t="shared" si="169"/>
        <v>Q3/2019</v>
      </c>
      <c r="C293" s="82">
        <f t="shared" si="167"/>
        <v>43647</v>
      </c>
      <c r="D293" s="82">
        <f t="shared" si="168"/>
        <v>43738</v>
      </c>
      <c r="E293" s="81">
        <f t="shared" si="165"/>
        <v>92</v>
      </c>
      <c r="F293" s="83">
        <f>VLOOKUP(D293,'FERC Interest Rate'!$A:$B,2,TRUE)</f>
        <v>0.06</v>
      </c>
      <c r="G293" s="84">
        <f t="shared" si="166"/>
        <v>1146.0030285160838</v>
      </c>
      <c r="H293" s="84">
        <v>0</v>
      </c>
      <c r="I293" s="109">
        <f t="shared" si="171"/>
        <v>8.5836698351204355</v>
      </c>
      <c r="J293" s="85">
        <f t="shared" si="172"/>
        <v>17.331333472352831</v>
      </c>
      <c r="K293" s="129">
        <f t="shared" si="173"/>
        <v>25.915003307473267</v>
      </c>
      <c r="L293" s="85">
        <f t="shared" si="170"/>
        <v>118.75</v>
      </c>
      <c r="M293" s="130">
        <f t="shared" si="162"/>
        <v>144.66500330747326</v>
      </c>
      <c r="N293" s="8">
        <f t="shared" si="163"/>
        <v>1163.3343619884365</v>
      </c>
      <c r="O293" s="84">
        <f t="shared" si="164"/>
        <v>1018.6693586809633</v>
      </c>
    </row>
    <row r="294" spans="1:15" x14ac:dyDescent="0.2">
      <c r="A294" s="17" t="s">
        <v>66</v>
      </c>
      <c r="B294" s="81" t="str">
        <f>+IF(MONTH(C294)&lt;4,"Q1",IF(MONTH(C294)&lt;7,"Q2",IF(MONTH(C294)&lt;10,"Q3","Q4")))&amp;"/"&amp;YEAR(C294)</f>
        <v>Q4/2019</v>
      </c>
      <c r="C294" s="82">
        <f t="shared" si="167"/>
        <v>43739</v>
      </c>
      <c r="D294" s="82">
        <f t="shared" si="168"/>
        <v>43830</v>
      </c>
      <c r="E294" s="81">
        <f t="shared" si="165"/>
        <v>92</v>
      </c>
      <c r="F294" s="83">
        <f>VLOOKUP(D294,'FERC Interest Rate'!$A:$B,2,TRUE)</f>
        <v>6.0349460000000001E-2</v>
      </c>
      <c r="G294" s="84">
        <f t="shared" si="166"/>
        <v>1018.6693586809633</v>
      </c>
      <c r="H294" s="84">
        <v>0</v>
      </c>
      <c r="I294" s="109">
        <f t="shared" si="171"/>
        <v>8.5836698351204355</v>
      </c>
      <c r="J294" s="85">
        <f t="shared" si="172"/>
        <v>15.495357276095083</v>
      </c>
      <c r="K294" s="129">
        <f t="shared" si="173"/>
        <v>24.079027111215517</v>
      </c>
      <c r="L294" s="85">
        <f t="shared" si="170"/>
        <v>118.75</v>
      </c>
      <c r="M294" s="130">
        <f t="shared" si="162"/>
        <v>142.82902711121551</v>
      </c>
      <c r="N294" s="8">
        <f t="shared" si="163"/>
        <v>1034.1647159570584</v>
      </c>
      <c r="O294" s="84">
        <f t="shared" si="164"/>
        <v>891.33568884584292</v>
      </c>
    </row>
    <row r="295" spans="1:15" x14ac:dyDescent="0.2">
      <c r="A295" s="17" t="s">
        <v>67</v>
      </c>
      <c r="B295" s="81" t="str">
        <f>+IF(MONTH(C295)&lt;4,"Q1",IF(MONTH(C295)&lt;7,"Q2",IF(MONTH(C295)&lt;10,"Q3","Q4")))&amp;"/"&amp;YEAR(C295)</f>
        <v>Q1/2020</v>
      </c>
      <c r="C295" s="82">
        <f t="shared" si="167"/>
        <v>43831</v>
      </c>
      <c r="D295" s="82">
        <f t="shared" si="168"/>
        <v>43921</v>
      </c>
      <c r="E295" s="81">
        <f t="shared" si="165"/>
        <v>91</v>
      </c>
      <c r="F295" s="83">
        <f>VLOOKUP(D295,'FERC Interest Rate'!$A:$B,2,TRUE)</f>
        <v>6.2501040000000008E-2</v>
      </c>
      <c r="G295" s="84">
        <f t="shared" si="166"/>
        <v>891.33568884584292</v>
      </c>
      <c r="H295" s="84">
        <v>0</v>
      </c>
      <c r="I295" s="109">
        <f t="shared" si="171"/>
        <v>8.5836698351204355</v>
      </c>
      <c r="J295" s="85">
        <f t="shared" si="172"/>
        <v>13.851246137487227</v>
      </c>
      <c r="K295" s="129">
        <f t="shared" si="173"/>
        <v>22.434915972607662</v>
      </c>
      <c r="L295" s="85">
        <f t="shared" si="170"/>
        <v>118.75</v>
      </c>
      <c r="M295" s="130">
        <f t="shared" si="162"/>
        <v>141.18491597260766</v>
      </c>
      <c r="N295" s="8">
        <f t="shared" si="163"/>
        <v>905.18693498333016</v>
      </c>
      <c r="O295" s="84">
        <f t="shared" si="164"/>
        <v>764.00201901072251</v>
      </c>
    </row>
    <row r="296" spans="1:15" x14ac:dyDescent="0.2">
      <c r="A296" s="17" t="s">
        <v>68</v>
      </c>
      <c r="B296" s="81" t="str">
        <f>+IF(MONTH(C296)&lt;4,"Q1",IF(MONTH(C296)&lt;7,"Q2",IF(MONTH(C296)&lt;10,"Q3","Q4")))&amp;"/"&amp;YEAR(C296)</f>
        <v>Q2/2020</v>
      </c>
      <c r="C296" s="82">
        <f t="shared" si="167"/>
        <v>43922</v>
      </c>
      <c r="D296" s="82">
        <f t="shared" si="168"/>
        <v>44012</v>
      </c>
      <c r="E296" s="81">
        <f t="shared" si="165"/>
        <v>91</v>
      </c>
      <c r="F296" s="83">
        <f>VLOOKUP(D296,'FERC Interest Rate'!$A:$B,2,TRUE)</f>
        <v>6.3055559999999997E-2</v>
      </c>
      <c r="G296" s="84">
        <f t="shared" si="166"/>
        <v>764.00201901072251</v>
      </c>
      <c r="H296" s="84">
        <v>0</v>
      </c>
      <c r="I296" s="109">
        <f t="shared" si="171"/>
        <v>8.5836698351204355</v>
      </c>
      <c r="J296" s="85">
        <f t="shared" si="172"/>
        <v>11.977831526329259</v>
      </c>
      <c r="K296" s="129">
        <f t="shared" si="173"/>
        <v>20.561501361449693</v>
      </c>
      <c r="L296" s="85">
        <f t="shared" si="170"/>
        <v>118.75</v>
      </c>
      <c r="M296" s="130">
        <f t="shared" si="162"/>
        <v>139.3115013614497</v>
      </c>
      <c r="N296" s="8">
        <f t="shared" si="163"/>
        <v>775.97985053705179</v>
      </c>
      <c r="O296" s="84">
        <f t="shared" si="164"/>
        <v>636.66834917560209</v>
      </c>
    </row>
    <row r="297" spans="1:15" x14ac:dyDescent="0.2">
      <c r="A297" s="17" t="s">
        <v>69</v>
      </c>
      <c r="B297" s="81" t="str">
        <f t="shared" ref="B297:B301" si="174">+IF(MONTH(C297)&lt;4,"Q1",IF(MONTH(C297)&lt;7,"Q2",IF(MONTH(C297)&lt;10,"Q3","Q4")))&amp;"/"&amp;YEAR(C297)</f>
        <v>Q3/2020</v>
      </c>
      <c r="C297" s="82">
        <f t="shared" ref="C297:C301" si="175">D296+1</f>
        <v>44013</v>
      </c>
      <c r="D297" s="82">
        <f t="shared" si="168"/>
        <v>44104</v>
      </c>
      <c r="E297" s="81">
        <f t="shared" ref="E297:E301" si="176">D297-C297+1</f>
        <v>92</v>
      </c>
      <c r="F297" s="83">
        <f>VLOOKUP(D297,'FERC Interest Rate'!$A:$B,2,TRUE)</f>
        <v>6.5000000000000002E-2</v>
      </c>
      <c r="G297" s="84">
        <f t="shared" ref="G297:G301" si="177">O296</f>
        <v>636.66834917560209</v>
      </c>
      <c r="H297" s="84">
        <v>0</v>
      </c>
      <c r="I297" s="109">
        <f t="shared" si="171"/>
        <v>8.5836698351204355</v>
      </c>
      <c r="J297" s="85">
        <f t="shared" ref="J297:J301" si="178">G297*F297*(E297/(DATE(YEAR(D297),12,31)-DATE(YEAR(D297),1,1)+1))</f>
        <v>10.402395431885521</v>
      </c>
      <c r="K297" s="129">
        <f t="shared" ref="K297:K301" si="179">+SUM(I297:J297)</f>
        <v>18.986065267005955</v>
      </c>
      <c r="L297" s="85">
        <f t="shared" si="170"/>
        <v>118.75</v>
      </c>
      <c r="M297" s="130">
        <f t="shared" ref="M297:M301" si="180">+SUM(K297:L297)</f>
        <v>137.73606526700596</v>
      </c>
      <c r="N297" s="8">
        <f t="shared" ref="N297:N301" si="181">+G297+H297+J297</f>
        <v>647.07074460748765</v>
      </c>
      <c r="O297" s="84">
        <f t="shared" ref="O297:O301" si="182">G297+H297-L297-I297</f>
        <v>509.33467934048167</v>
      </c>
    </row>
    <row r="298" spans="1:15" x14ac:dyDescent="0.2">
      <c r="A298" s="17" t="s">
        <v>70</v>
      </c>
      <c r="B298" s="81" t="str">
        <f t="shared" si="174"/>
        <v>Q4/2020</v>
      </c>
      <c r="C298" s="82">
        <f t="shared" si="175"/>
        <v>44105</v>
      </c>
      <c r="D298" s="82">
        <f t="shared" si="168"/>
        <v>44196</v>
      </c>
      <c r="E298" s="81">
        <f t="shared" si="176"/>
        <v>92</v>
      </c>
      <c r="F298" s="83">
        <f>VLOOKUP(D298,'FERC Interest Rate'!$A:$B,2,TRUE)</f>
        <v>6.5000000000000002E-2</v>
      </c>
      <c r="G298" s="84">
        <f t="shared" si="177"/>
        <v>509.33467934048167</v>
      </c>
      <c r="H298" s="84">
        <v>0</v>
      </c>
      <c r="I298" s="109">
        <f t="shared" si="171"/>
        <v>8.5836698351204355</v>
      </c>
      <c r="J298" s="85">
        <f t="shared" si="178"/>
        <v>8.3219163455084182</v>
      </c>
      <c r="K298" s="129">
        <f t="shared" si="179"/>
        <v>16.905586180628852</v>
      </c>
      <c r="L298" s="85">
        <f t="shared" si="170"/>
        <v>118.75</v>
      </c>
      <c r="M298" s="130">
        <f t="shared" si="180"/>
        <v>135.65558618062886</v>
      </c>
      <c r="N298" s="8">
        <f t="shared" si="181"/>
        <v>517.65659568599006</v>
      </c>
      <c r="O298" s="84">
        <f t="shared" si="182"/>
        <v>382.00100950536125</v>
      </c>
    </row>
    <row r="299" spans="1:15" x14ac:dyDescent="0.2">
      <c r="A299" s="17" t="s">
        <v>71</v>
      </c>
      <c r="B299" s="81" t="str">
        <f t="shared" si="174"/>
        <v>Q1/2021</v>
      </c>
      <c r="C299" s="82">
        <f t="shared" si="175"/>
        <v>44197</v>
      </c>
      <c r="D299" s="82">
        <f t="shared" si="168"/>
        <v>44286</v>
      </c>
      <c r="E299" s="81">
        <f t="shared" si="176"/>
        <v>90</v>
      </c>
      <c r="F299" s="83">
        <f>VLOOKUP(D299,'FERC Interest Rate'!$A:$B,2,TRUE)</f>
        <v>6.5000000000000002E-2</v>
      </c>
      <c r="G299" s="84">
        <f t="shared" si="177"/>
        <v>382.00100950536125</v>
      </c>
      <c r="H299" s="84">
        <v>0</v>
      </c>
      <c r="I299" s="109">
        <f t="shared" si="171"/>
        <v>8.5836698351204355</v>
      </c>
      <c r="J299" s="85">
        <f t="shared" si="178"/>
        <v>6.1224819331681184</v>
      </c>
      <c r="K299" s="129">
        <f t="shared" si="179"/>
        <v>14.706151768288553</v>
      </c>
      <c r="L299" s="85">
        <f t="shared" si="170"/>
        <v>118.75</v>
      </c>
      <c r="M299" s="130">
        <f t="shared" si="180"/>
        <v>133.45615176828855</v>
      </c>
      <c r="N299" s="8">
        <f t="shared" si="181"/>
        <v>388.12349143852936</v>
      </c>
      <c r="O299" s="84">
        <f t="shared" si="182"/>
        <v>254.66733967024081</v>
      </c>
    </row>
    <row r="300" spans="1:15" x14ac:dyDescent="0.2">
      <c r="A300" s="17" t="s">
        <v>72</v>
      </c>
      <c r="B300" s="81" t="str">
        <f t="shared" si="174"/>
        <v>Q2/2021</v>
      </c>
      <c r="C300" s="82">
        <f t="shared" si="175"/>
        <v>44287</v>
      </c>
      <c r="D300" s="82">
        <f t="shared" si="168"/>
        <v>44377</v>
      </c>
      <c r="E300" s="81">
        <f t="shared" si="176"/>
        <v>91</v>
      </c>
      <c r="F300" s="83">
        <f>VLOOKUP(D300,'FERC Interest Rate'!$A:$B,2,TRUE)</f>
        <v>6.5000000000000002E-2</v>
      </c>
      <c r="G300" s="84">
        <f t="shared" si="177"/>
        <v>254.66733967024081</v>
      </c>
      <c r="H300" s="84">
        <v>0</v>
      </c>
      <c r="I300" s="109">
        <f t="shared" si="171"/>
        <v>8.5836698351204355</v>
      </c>
      <c r="J300" s="85">
        <f t="shared" si="178"/>
        <v>4.1270063401355461</v>
      </c>
      <c r="K300" s="129">
        <f t="shared" si="179"/>
        <v>12.710676175255982</v>
      </c>
      <c r="L300" s="85">
        <f t="shared" si="170"/>
        <v>118.75</v>
      </c>
      <c r="M300" s="130">
        <f t="shared" si="180"/>
        <v>131.46067617525597</v>
      </c>
      <c r="N300" s="8">
        <f t="shared" si="181"/>
        <v>258.79434601037633</v>
      </c>
      <c r="O300" s="84">
        <f t="shared" si="182"/>
        <v>127.33366983512038</v>
      </c>
    </row>
    <row r="301" spans="1:15" x14ac:dyDescent="0.2">
      <c r="A301" s="17" t="s">
        <v>73</v>
      </c>
      <c r="B301" s="81" t="str">
        <f t="shared" si="174"/>
        <v>Q3/2021</v>
      </c>
      <c r="C301" s="82">
        <f t="shared" si="175"/>
        <v>44378</v>
      </c>
      <c r="D301" s="82">
        <f t="shared" si="168"/>
        <v>44469</v>
      </c>
      <c r="E301" s="81">
        <f t="shared" si="176"/>
        <v>92</v>
      </c>
      <c r="F301" s="83">
        <f>VLOOKUP(D301,'FERC Interest Rate'!$A:$B,2,TRUE)</f>
        <v>6.5000000000000002E-2</v>
      </c>
      <c r="G301" s="84">
        <f t="shared" si="177"/>
        <v>127.33366983512038</v>
      </c>
      <c r="H301" s="84">
        <v>0</v>
      </c>
      <c r="I301" s="109">
        <f t="shared" si="171"/>
        <v>8.5836698351204355</v>
      </c>
      <c r="J301" s="85">
        <f t="shared" si="178"/>
        <v>2.0861790290795068</v>
      </c>
      <c r="K301" s="129">
        <f t="shared" si="179"/>
        <v>10.669848864199942</v>
      </c>
      <c r="L301" s="85">
        <f t="shared" si="170"/>
        <v>118.75</v>
      </c>
      <c r="M301" s="130">
        <f t="shared" si="180"/>
        <v>129.41984886419993</v>
      </c>
      <c r="N301" s="8">
        <f t="shared" si="181"/>
        <v>129.41984886419988</v>
      </c>
      <c r="O301" s="84">
        <f t="shared" si="182"/>
        <v>-6.0396132539608516E-14</v>
      </c>
    </row>
    <row r="302" spans="1:15" x14ac:dyDescent="0.2">
      <c r="A302" s="96"/>
      <c r="B302" s="81"/>
      <c r="C302" s="82"/>
      <c r="D302" s="82"/>
      <c r="E302" s="81"/>
      <c r="F302" s="83"/>
      <c r="G302" s="84"/>
      <c r="H302" s="84"/>
      <c r="I302" s="109"/>
      <c r="J302" s="85"/>
      <c r="K302" s="129"/>
      <c r="L302" s="85"/>
      <c r="M302" s="130"/>
      <c r="N302" s="8"/>
      <c r="O302" s="84"/>
    </row>
    <row r="303" spans="1:15" ht="13.5" thickBot="1" x14ac:dyDescent="0.25">
      <c r="A303" s="151"/>
      <c r="B303" s="152"/>
      <c r="C303" s="153"/>
      <c r="D303" s="153"/>
      <c r="E303" s="154"/>
      <c r="F303" s="152"/>
      <c r="G303" s="140">
        <f t="shared" ref="G303:O303" si="183">+SUM(G274:G302)</f>
        <v>46184.970315523678</v>
      </c>
      <c r="H303" s="140">
        <f t="shared" si="183"/>
        <v>171.6733967024087</v>
      </c>
      <c r="I303" s="141">
        <f t="shared" si="183"/>
        <v>171.67339670240872</v>
      </c>
      <c r="J303" s="140">
        <f t="shared" si="183"/>
        <v>293.66626723890198</v>
      </c>
      <c r="K303" s="140">
        <f t="shared" si="183"/>
        <v>465.33966394131062</v>
      </c>
      <c r="L303" s="140">
        <f t="shared" si="183"/>
        <v>2375</v>
      </c>
      <c r="M303" s="142">
        <f t="shared" si="183"/>
        <v>2840.3396639413104</v>
      </c>
      <c r="N303" s="140">
        <f t="shared" si="183"/>
        <v>46650.309979464975</v>
      </c>
      <c r="O303" s="140">
        <f t="shared" si="183"/>
        <v>43809.970315523678</v>
      </c>
    </row>
    <row r="304" spans="1:15" ht="13.5" thickTop="1" x14ac:dyDescent="0.2">
      <c r="B304" s="117"/>
      <c r="C304" s="117"/>
      <c r="D304" s="117"/>
      <c r="E304" s="117"/>
      <c r="F304" s="117"/>
      <c r="G304" s="117"/>
      <c r="H304" s="117"/>
      <c r="I304" s="116"/>
      <c r="J304" s="117"/>
      <c r="K304" s="117"/>
      <c r="L304" s="117"/>
      <c r="M304" s="131"/>
      <c r="O304" s="117"/>
    </row>
    <row r="305" spans="1:15" ht="38.25" x14ac:dyDescent="0.2">
      <c r="A305" s="90" t="s">
        <v>53</v>
      </c>
      <c r="B305" s="90" t="s">
        <v>3</v>
      </c>
      <c r="C305" s="90" t="s">
        <v>4</v>
      </c>
      <c r="D305" s="90" t="s">
        <v>5</v>
      </c>
      <c r="E305" s="90" t="s">
        <v>6</v>
      </c>
      <c r="F305" s="90" t="s">
        <v>7</v>
      </c>
      <c r="G305" s="90" t="s">
        <v>93</v>
      </c>
      <c r="H305" s="90" t="s">
        <v>94</v>
      </c>
      <c r="I305" s="105" t="s">
        <v>95</v>
      </c>
      <c r="J305" s="106" t="s">
        <v>96</v>
      </c>
      <c r="K305" s="106" t="s">
        <v>97</v>
      </c>
      <c r="L305" s="106" t="s">
        <v>98</v>
      </c>
      <c r="M305" s="107" t="s">
        <v>99</v>
      </c>
      <c r="N305" s="90" t="s">
        <v>100</v>
      </c>
      <c r="O305" s="90" t="s">
        <v>101</v>
      </c>
    </row>
    <row r="306" spans="1:15" x14ac:dyDescent="0.2">
      <c r="A306" s="309" t="s">
        <v>15</v>
      </c>
      <c r="B306" s="309"/>
      <c r="C306" s="282">
        <f>VLOOKUP(B307,A$1:F$22,2,FALSE)</f>
        <v>42004</v>
      </c>
      <c r="D306" s="282">
        <f>DATE(YEAR(C306),IF(MONTH(C306)&lt;=3,3,IF(MONTH(C306)&lt;=6,6,IF(MONTH(C306)&lt;=9,9,12))),IF(OR(MONTH(C306)&lt;=3,MONTH(C306)&gt;=10),31,30))</f>
        <v>42004</v>
      </c>
      <c r="E306" s="283">
        <f>D306-C306+1</f>
        <v>1</v>
      </c>
      <c r="F306" s="284">
        <f>VLOOKUP(D306,'FERC Interest Rate'!$A:$B,2,TRUE)</f>
        <v>3.2500000000000001E-2</v>
      </c>
      <c r="G306" s="167">
        <f>VLOOKUP(B307,$A$1:$F$22,5,FALSE)</f>
        <v>2507.5</v>
      </c>
      <c r="H306" s="167">
        <f t="shared" ref="H306:H314" si="184">G306*F306*(E306/(DATE(YEAR(D306),12,31)-DATE(YEAR(D306),1,1)+1))</f>
        <v>0.22327054794520548</v>
      </c>
      <c r="I306" s="291">
        <v>0</v>
      </c>
      <c r="J306" s="286">
        <v>0</v>
      </c>
      <c r="K306" s="288">
        <f t="shared" ref="K306:K314" si="185">+SUM(I306:J306)</f>
        <v>0</v>
      </c>
      <c r="L306" s="286">
        <v>0</v>
      </c>
      <c r="M306" s="289">
        <f t="shared" ref="M306:M327" si="186">+SUM(K306:L306)</f>
        <v>0</v>
      </c>
      <c r="N306" s="290">
        <f t="shared" ref="N306:N327" si="187">+G306+H306+J306</f>
        <v>2507.723270547945</v>
      </c>
      <c r="O306" s="167">
        <f t="shared" ref="O306:O327" si="188">G306+H306-L306-I306</f>
        <v>2507.723270547945</v>
      </c>
    </row>
    <row r="307" spans="1:15" x14ac:dyDescent="0.2">
      <c r="A307" s="275" t="s">
        <v>38</v>
      </c>
      <c r="B307" s="276" t="s">
        <v>61</v>
      </c>
      <c r="C307" s="282">
        <f>D306+1</f>
        <v>42005</v>
      </c>
      <c r="D307" s="282">
        <f>EOMONTH(D306,3)</f>
        <v>42094</v>
      </c>
      <c r="E307" s="283">
        <f t="shared" ref="E307:E327" si="189">D307-C307+1</f>
        <v>90</v>
      </c>
      <c r="F307" s="284">
        <f>VLOOKUP(D307,'FERC Interest Rate'!$A:$B,2,TRUE)</f>
        <v>3.2500000000000001E-2</v>
      </c>
      <c r="G307" s="167">
        <f t="shared" ref="G307:G327" si="190">O306</f>
        <v>2507.723270547945</v>
      </c>
      <c r="H307" s="167">
        <f t="shared" si="184"/>
        <v>20.096138537952708</v>
      </c>
      <c r="I307" s="291">
        <v>0</v>
      </c>
      <c r="J307" s="286">
        <v>0</v>
      </c>
      <c r="K307" s="288">
        <f t="shared" si="185"/>
        <v>0</v>
      </c>
      <c r="L307" s="286">
        <v>0</v>
      </c>
      <c r="M307" s="289">
        <f t="shared" si="186"/>
        <v>0</v>
      </c>
      <c r="N307" s="290">
        <f t="shared" si="187"/>
        <v>2527.8194090858979</v>
      </c>
      <c r="O307" s="167">
        <f t="shared" si="188"/>
        <v>2527.8194090858979</v>
      </c>
    </row>
    <row r="308" spans="1:15" x14ac:dyDescent="0.2">
      <c r="A308" s="96"/>
      <c r="B308" s="81"/>
      <c r="C308" s="82">
        <f t="shared" ref="C308:C327" si="191">D307+1</f>
        <v>42095</v>
      </c>
      <c r="D308" s="82">
        <f t="shared" ref="D308:D333" si="192">EOMONTH(D307,3)</f>
        <v>42185</v>
      </c>
      <c r="E308" s="81">
        <f t="shared" si="189"/>
        <v>91</v>
      </c>
      <c r="F308" s="83">
        <f>VLOOKUP(D308,'FERC Interest Rate'!$A:$B,2,TRUE)</f>
        <v>3.2500000000000001E-2</v>
      </c>
      <c r="G308" s="84">
        <f t="shared" si="190"/>
        <v>2527.8194090858979</v>
      </c>
      <c r="H308" s="167">
        <f t="shared" si="184"/>
        <v>20.482262746223405</v>
      </c>
      <c r="I308" s="173">
        <v>0</v>
      </c>
      <c r="J308" s="286">
        <v>0</v>
      </c>
      <c r="K308" s="129">
        <f t="shared" si="185"/>
        <v>0</v>
      </c>
      <c r="L308" s="85">
        <v>0</v>
      </c>
      <c r="M308" s="130">
        <f t="shared" si="186"/>
        <v>0</v>
      </c>
      <c r="N308" s="8">
        <f t="shared" si="187"/>
        <v>2548.3016718321214</v>
      </c>
      <c r="O308" s="84">
        <f t="shared" si="188"/>
        <v>2548.3016718321214</v>
      </c>
    </row>
    <row r="309" spans="1:15" x14ac:dyDescent="0.2">
      <c r="A309" s="96"/>
      <c r="B309" s="81"/>
      <c r="C309" s="82">
        <f t="shared" si="191"/>
        <v>42186</v>
      </c>
      <c r="D309" s="82">
        <f t="shared" si="192"/>
        <v>42277</v>
      </c>
      <c r="E309" s="81">
        <f t="shared" si="189"/>
        <v>92</v>
      </c>
      <c r="F309" s="83">
        <f>VLOOKUP(D309,'FERC Interest Rate'!$A:$B,2,TRUE)</f>
        <v>3.2500000000000001E-2</v>
      </c>
      <c r="G309" s="84">
        <f t="shared" si="190"/>
        <v>2548.3016718321214</v>
      </c>
      <c r="H309" s="84">
        <f t="shared" si="184"/>
        <v>20.875128763775461</v>
      </c>
      <c r="I309" s="173">
        <v>0</v>
      </c>
      <c r="J309" s="85">
        <v>0</v>
      </c>
      <c r="K309" s="129">
        <f t="shared" si="185"/>
        <v>0</v>
      </c>
      <c r="L309" s="85">
        <v>0</v>
      </c>
      <c r="M309" s="130">
        <f t="shared" si="186"/>
        <v>0</v>
      </c>
      <c r="N309" s="8">
        <f t="shared" si="187"/>
        <v>2569.176800595897</v>
      </c>
      <c r="O309" s="84">
        <f t="shared" si="188"/>
        <v>2569.176800595897</v>
      </c>
    </row>
    <row r="310" spans="1:15" x14ac:dyDescent="0.2">
      <c r="A310" s="96"/>
      <c r="B310" s="81"/>
      <c r="C310" s="82">
        <f t="shared" si="191"/>
        <v>42278</v>
      </c>
      <c r="D310" s="82">
        <f t="shared" si="192"/>
        <v>42369</v>
      </c>
      <c r="E310" s="81">
        <f t="shared" si="189"/>
        <v>92</v>
      </c>
      <c r="F310" s="83">
        <f>VLOOKUP(D310,'FERC Interest Rate'!$A:$B,2,TRUE)</f>
        <v>3.2500000000000001E-2</v>
      </c>
      <c r="G310" s="84">
        <f t="shared" si="190"/>
        <v>2569.176800595897</v>
      </c>
      <c r="H310" s="84">
        <f t="shared" si="184"/>
        <v>21.046133243237627</v>
      </c>
      <c r="I310" s="173">
        <v>0</v>
      </c>
      <c r="J310" s="85">
        <v>0</v>
      </c>
      <c r="K310" s="129">
        <f t="shared" si="185"/>
        <v>0</v>
      </c>
      <c r="L310" s="85">
        <v>0</v>
      </c>
      <c r="M310" s="130">
        <f t="shared" si="186"/>
        <v>0</v>
      </c>
      <c r="N310" s="8">
        <f t="shared" si="187"/>
        <v>2590.2229338391348</v>
      </c>
      <c r="O310" s="84">
        <f t="shared" si="188"/>
        <v>2590.2229338391348</v>
      </c>
    </row>
    <row r="311" spans="1:15" x14ac:dyDescent="0.2">
      <c r="A311" s="96"/>
      <c r="B311" s="81"/>
      <c r="C311" s="82">
        <f t="shared" si="191"/>
        <v>42370</v>
      </c>
      <c r="D311" s="82">
        <f t="shared" si="192"/>
        <v>42460</v>
      </c>
      <c r="E311" s="81">
        <f t="shared" si="189"/>
        <v>91</v>
      </c>
      <c r="F311" s="83">
        <f>VLOOKUP(D311,'FERC Interest Rate'!$A:$B,2,TRUE)</f>
        <v>3.2500000000000001E-2</v>
      </c>
      <c r="G311" s="84">
        <f t="shared" si="190"/>
        <v>2590.2229338391348</v>
      </c>
      <c r="H311" s="84">
        <f t="shared" si="184"/>
        <v>20.930558270025251</v>
      </c>
      <c r="I311" s="173">
        <v>0</v>
      </c>
      <c r="J311" s="85">
        <v>0</v>
      </c>
      <c r="K311" s="129">
        <f t="shared" ref="K311:K313" si="193">+SUM(I311:J311)</f>
        <v>0</v>
      </c>
      <c r="L311" s="85">
        <v>0</v>
      </c>
      <c r="M311" s="130">
        <f t="shared" si="186"/>
        <v>0</v>
      </c>
      <c r="N311" s="8">
        <f t="shared" si="187"/>
        <v>2611.1534921091602</v>
      </c>
      <c r="O311" s="84">
        <f t="shared" si="188"/>
        <v>2611.1534921091602</v>
      </c>
    </row>
    <row r="312" spans="1:15" x14ac:dyDescent="0.2">
      <c r="A312" s="96"/>
      <c r="B312" s="81"/>
      <c r="C312" s="82">
        <f t="shared" si="191"/>
        <v>42461</v>
      </c>
      <c r="D312" s="82">
        <f t="shared" si="192"/>
        <v>42551</v>
      </c>
      <c r="E312" s="81">
        <f t="shared" si="189"/>
        <v>91</v>
      </c>
      <c r="F312" s="83">
        <f>VLOOKUP(D312,'FERC Interest Rate'!$A:$B,2,TRUE)</f>
        <v>3.4599999999999999E-2</v>
      </c>
      <c r="G312" s="84">
        <f t="shared" si="190"/>
        <v>2611.1534921091602</v>
      </c>
      <c r="H312" s="84">
        <f t="shared" si="184"/>
        <v>22.463054331297542</v>
      </c>
      <c r="I312" s="173">
        <v>0</v>
      </c>
      <c r="J312" s="85">
        <v>0</v>
      </c>
      <c r="K312" s="129">
        <f t="shared" si="193"/>
        <v>0</v>
      </c>
      <c r="L312" s="85">
        <v>0</v>
      </c>
      <c r="M312" s="130">
        <f t="shared" si="186"/>
        <v>0</v>
      </c>
      <c r="N312" s="8">
        <f t="shared" si="187"/>
        <v>2633.6165464404576</v>
      </c>
      <c r="O312" s="84">
        <f t="shared" si="188"/>
        <v>2633.6165464404576</v>
      </c>
    </row>
    <row r="313" spans="1:15" x14ac:dyDescent="0.2">
      <c r="A313" s="96"/>
      <c r="B313" s="81"/>
      <c r="C313" s="82">
        <f t="shared" si="191"/>
        <v>42552</v>
      </c>
      <c r="D313" s="82">
        <f t="shared" si="192"/>
        <v>42643</v>
      </c>
      <c r="E313" s="81">
        <f t="shared" si="189"/>
        <v>92</v>
      </c>
      <c r="F313" s="83">
        <f>VLOOKUP(D313,'FERC Interest Rate'!$A:$B,2,TRUE)</f>
        <v>3.5000000000000003E-2</v>
      </c>
      <c r="G313" s="84">
        <f t="shared" si="190"/>
        <v>2633.6165464404576</v>
      </c>
      <c r="H313" s="84">
        <f t="shared" si="184"/>
        <v>23.170069069776705</v>
      </c>
      <c r="I313" s="173">
        <v>0</v>
      </c>
      <c r="J313" s="85">
        <v>0</v>
      </c>
      <c r="K313" s="129">
        <f t="shared" si="193"/>
        <v>0</v>
      </c>
      <c r="L313" s="85">
        <v>0</v>
      </c>
      <c r="M313" s="130">
        <f t="shared" si="186"/>
        <v>0</v>
      </c>
      <c r="N313" s="8">
        <f t="shared" si="187"/>
        <v>2656.7866155102342</v>
      </c>
      <c r="O313" s="84">
        <f t="shared" si="188"/>
        <v>2656.7866155102342</v>
      </c>
    </row>
    <row r="314" spans="1:15" x14ac:dyDescent="0.2">
      <c r="A314" s="17" t="s">
        <v>54</v>
      </c>
      <c r="B314" s="81" t="str">
        <f t="shared" ref="B314:B324" si="194">+IF(MONTH(C314)&lt;4,"Q1",IF(MONTH(C314)&lt;7,"Q2",IF(MONTH(C314)&lt;10,"Q3","Q4")))&amp;"/"&amp;YEAR(C314)</f>
        <v>Q4/2016</v>
      </c>
      <c r="C314" s="82">
        <f t="shared" si="191"/>
        <v>42644</v>
      </c>
      <c r="D314" s="82">
        <f t="shared" si="192"/>
        <v>42735</v>
      </c>
      <c r="E314" s="81">
        <f t="shared" si="189"/>
        <v>92</v>
      </c>
      <c r="F314" s="83">
        <f>VLOOKUP(D314,'FERC Interest Rate'!$A:$B,2,TRUE)</f>
        <v>3.5000000000000003E-2</v>
      </c>
      <c r="G314" s="84">
        <f t="shared" si="190"/>
        <v>2656.7866155102342</v>
      </c>
      <c r="H314" s="84">
        <f t="shared" si="184"/>
        <v>23.373915032631025</v>
      </c>
      <c r="I314" s="109">
        <f>SUM($H$306:$H$334)/20</f>
        <v>8.6330265271432474</v>
      </c>
      <c r="J314" s="85">
        <v>0</v>
      </c>
      <c r="K314" s="129">
        <f t="shared" si="185"/>
        <v>8.6330265271432474</v>
      </c>
      <c r="L314" s="85">
        <f t="shared" ref="L314:L333" si="195">VLOOKUP($B$307,A$1:F$18,5,FALSE)/20</f>
        <v>125.375</v>
      </c>
      <c r="M314" s="130">
        <f t="shared" si="186"/>
        <v>134.00802652714324</v>
      </c>
      <c r="N314" s="8">
        <f t="shared" si="187"/>
        <v>2680.1605305428652</v>
      </c>
      <c r="O314" s="84">
        <f t="shared" si="188"/>
        <v>2546.1525040157221</v>
      </c>
    </row>
    <row r="315" spans="1:15" x14ac:dyDescent="0.2">
      <c r="A315" s="17" t="s">
        <v>55</v>
      </c>
      <c r="B315" s="81" t="str">
        <f t="shared" si="194"/>
        <v>Q1/2017</v>
      </c>
      <c r="C315" s="82">
        <f t="shared" si="191"/>
        <v>42736</v>
      </c>
      <c r="D315" s="82">
        <f t="shared" si="192"/>
        <v>42825</v>
      </c>
      <c r="E315" s="81">
        <f t="shared" si="189"/>
        <v>90</v>
      </c>
      <c r="F315" s="83">
        <f>VLOOKUP(D315,'FERC Interest Rate'!$A:$B,2,TRUE)</f>
        <v>3.5000000000000003E-2</v>
      </c>
      <c r="G315" s="84">
        <f t="shared" si="190"/>
        <v>2546.1525040157221</v>
      </c>
      <c r="H315" s="84">
        <v>0</v>
      </c>
      <c r="I315" s="109">
        <f t="shared" ref="I315:I333" si="196">SUM($H$306:$H$334)/20</f>
        <v>8.6330265271432474</v>
      </c>
      <c r="J315" s="85">
        <f t="shared" ref="J315:J327" si="197">G315*F315*(E315/(DATE(YEAR(D315),12,31)-DATE(YEAR(D315),1,1)+1))</f>
        <v>21.973644897669931</v>
      </c>
      <c r="K315" s="129">
        <f t="shared" ref="K315:K327" si="198">+SUM(I315:J315)</f>
        <v>30.606671424813179</v>
      </c>
      <c r="L315" s="85">
        <f t="shared" si="195"/>
        <v>125.375</v>
      </c>
      <c r="M315" s="130">
        <f t="shared" si="186"/>
        <v>155.98167142481319</v>
      </c>
      <c r="N315" s="8">
        <f t="shared" si="187"/>
        <v>2568.1261489133922</v>
      </c>
      <c r="O315" s="84">
        <f t="shared" si="188"/>
        <v>2412.144477488579</v>
      </c>
    </row>
    <row r="316" spans="1:15" x14ac:dyDescent="0.2">
      <c r="A316" s="17" t="s">
        <v>56</v>
      </c>
      <c r="B316" s="81" t="str">
        <f t="shared" si="194"/>
        <v>Q2/2017</v>
      </c>
      <c r="C316" s="82">
        <f t="shared" si="191"/>
        <v>42826</v>
      </c>
      <c r="D316" s="82">
        <f t="shared" si="192"/>
        <v>42916</v>
      </c>
      <c r="E316" s="81">
        <f t="shared" si="189"/>
        <v>91</v>
      </c>
      <c r="F316" s="83">
        <f>VLOOKUP(D316,'FERC Interest Rate'!$A:$B,2,TRUE)</f>
        <v>3.7100000000000001E-2</v>
      </c>
      <c r="G316" s="84">
        <f t="shared" si="190"/>
        <v>2412.144477488579</v>
      </c>
      <c r="H316" s="84">
        <v>0</v>
      </c>
      <c r="I316" s="109">
        <f t="shared" si="196"/>
        <v>8.6330265271432474</v>
      </c>
      <c r="J316" s="85">
        <f t="shared" si="197"/>
        <v>22.311345124518333</v>
      </c>
      <c r="K316" s="129">
        <f t="shared" si="198"/>
        <v>30.94437165166158</v>
      </c>
      <c r="L316" s="85">
        <f t="shared" si="195"/>
        <v>125.375</v>
      </c>
      <c r="M316" s="130">
        <f t="shared" si="186"/>
        <v>156.31937165166158</v>
      </c>
      <c r="N316" s="8">
        <f t="shared" si="187"/>
        <v>2434.4558226130976</v>
      </c>
      <c r="O316" s="84">
        <f t="shared" si="188"/>
        <v>2278.1364509614359</v>
      </c>
    </row>
    <row r="317" spans="1:15" x14ac:dyDescent="0.2">
      <c r="A317" s="17" t="s">
        <v>57</v>
      </c>
      <c r="B317" s="81" t="str">
        <f t="shared" si="194"/>
        <v>Q3/2017</v>
      </c>
      <c r="C317" s="82">
        <f t="shared" si="191"/>
        <v>42917</v>
      </c>
      <c r="D317" s="82">
        <f t="shared" si="192"/>
        <v>43008</v>
      </c>
      <c r="E317" s="81">
        <f t="shared" si="189"/>
        <v>92</v>
      </c>
      <c r="F317" s="83">
        <f>VLOOKUP(D317,'FERC Interest Rate'!$A:$B,2,TRUE)</f>
        <v>3.9600000000000003E-2</v>
      </c>
      <c r="G317" s="84">
        <f t="shared" si="190"/>
        <v>2278.1364509614359</v>
      </c>
      <c r="H317" s="84">
        <v>0</v>
      </c>
      <c r="I317" s="109">
        <f t="shared" si="196"/>
        <v>8.6330265271432474</v>
      </c>
      <c r="J317" s="85">
        <f t="shared" si="197"/>
        <v>22.738922515459464</v>
      </c>
      <c r="K317" s="129">
        <f t="shared" si="198"/>
        <v>31.371949042602711</v>
      </c>
      <c r="L317" s="85">
        <f t="shared" si="195"/>
        <v>125.375</v>
      </c>
      <c r="M317" s="130">
        <f t="shared" si="186"/>
        <v>156.74694904260272</v>
      </c>
      <c r="N317" s="8">
        <f t="shared" si="187"/>
        <v>2300.8753734768952</v>
      </c>
      <c r="O317" s="84">
        <f t="shared" si="188"/>
        <v>2144.1284244342928</v>
      </c>
    </row>
    <row r="318" spans="1:15" x14ac:dyDescent="0.2">
      <c r="A318" s="17" t="s">
        <v>58</v>
      </c>
      <c r="B318" s="81" t="str">
        <f t="shared" si="194"/>
        <v>Q4/2017</v>
      </c>
      <c r="C318" s="82">
        <f t="shared" si="191"/>
        <v>43009</v>
      </c>
      <c r="D318" s="82">
        <f t="shared" si="192"/>
        <v>43100</v>
      </c>
      <c r="E318" s="81">
        <f t="shared" si="189"/>
        <v>92</v>
      </c>
      <c r="F318" s="83">
        <f>VLOOKUP(D318,'FERC Interest Rate'!$A:$B,2,TRUE)</f>
        <v>4.2099999999999999E-2</v>
      </c>
      <c r="G318" s="84">
        <f t="shared" si="190"/>
        <v>2144.1284244342928</v>
      </c>
      <c r="H318" s="84">
        <v>0</v>
      </c>
      <c r="I318" s="109">
        <f t="shared" si="196"/>
        <v>8.6330265271432474</v>
      </c>
      <c r="J318" s="85">
        <f t="shared" si="197"/>
        <v>22.752433461695624</v>
      </c>
      <c r="K318" s="129">
        <f t="shared" si="198"/>
        <v>31.385459988838871</v>
      </c>
      <c r="L318" s="85">
        <f t="shared" si="195"/>
        <v>125.375</v>
      </c>
      <c r="M318" s="130">
        <f t="shared" si="186"/>
        <v>156.76045998883887</v>
      </c>
      <c r="N318" s="8">
        <f t="shared" si="187"/>
        <v>2166.8808578959884</v>
      </c>
      <c r="O318" s="84">
        <f t="shared" si="188"/>
        <v>2010.1203979071495</v>
      </c>
    </row>
    <row r="319" spans="1:15" x14ac:dyDescent="0.2">
      <c r="A319" s="17" t="s">
        <v>59</v>
      </c>
      <c r="B319" s="81" t="str">
        <f t="shared" si="194"/>
        <v>Q1/2018</v>
      </c>
      <c r="C319" s="82">
        <f t="shared" si="191"/>
        <v>43101</v>
      </c>
      <c r="D319" s="82">
        <f t="shared" si="192"/>
        <v>43190</v>
      </c>
      <c r="E319" s="81">
        <f t="shared" si="189"/>
        <v>90</v>
      </c>
      <c r="F319" s="83">
        <f>VLOOKUP(D319,'FERC Interest Rate'!$A:$B,2,TRUE)</f>
        <v>4.2500000000000003E-2</v>
      </c>
      <c r="G319" s="84">
        <f t="shared" si="190"/>
        <v>2010.1203979071495</v>
      </c>
      <c r="H319" s="84">
        <v>0</v>
      </c>
      <c r="I319" s="109">
        <f t="shared" si="196"/>
        <v>8.6330265271432474</v>
      </c>
      <c r="J319" s="85">
        <f t="shared" si="197"/>
        <v>21.064960334232456</v>
      </c>
      <c r="K319" s="129">
        <f t="shared" si="198"/>
        <v>29.697986861375703</v>
      </c>
      <c r="L319" s="85">
        <f t="shared" si="195"/>
        <v>125.375</v>
      </c>
      <c r="M319" s="130">
        <f t="shared" si="186"/>
        <v>155.07298686137571</v>
      </c>
      <c r="N319" s="8">
        <f t="shared" si="187"/>
        <v>2031.1853582413819</v>
      </c>
      <c r="O319" s="84">
        <f t="shared" si="188"/>
        <v>1876.1123713800062</v>
      </c>
    </row>
    <row r="320" spans="1:15" x14ac:dyDescent="0.2">
      <c r="A320" s="17" t="s">
        <v>60</v>
      </c>
      <c r="B320" s="81" t="str">
        <f t="shared" si="194"/>
        <v>Q2/2018</v>
      </c>
      <c r="C320" s="82">
        <f t="shared" si="191"/>
        <v>43191</v>
      </c>
      <c r="D320" s="82">
        <f t="shared" si="192"/>
        <v>43281</v>
      </c>
      <c r="E320" s="81">
        <f t="shared" si="189"/>
        <v>91</v>
      </c>
      <c r="F320" s="83">
        <f>VLOOKUP(D320,'FERC Interest Rate'!$A:$B,2,TRUE)</f>
        <v>4.4699999999999997E-2</v>
      </c>
      <c r="G320" s="84">
        <f t="shared" si="190"/>
        <v>1876.1123713800062</v>
      </c>
      <c r="H320" s="84">
        <v>0</v>
      </c>
      <c r="I320" s="109">
        <f t="shared" si="196"/>
        <v>8.6330265271432474</v>
      </c>
      <c r="J320" s="85">
        <f t="shared" si="197"/>
        <v>20.908115871403975</v>
      </c>
      <c r="K320" s="129">
        <f t="shared" si="198"/>
        <v>29.541142398547223</v>
      </c>
      <c r="L320" s="85">
        <f t="shared" si="195"/>
        <v>125.375</v>
      </c>
      <c r="M320" s="130">
        <f t="shared" si="186"/>
        <v>154.91614239854721</v>
      </c>
      <c r="N320" s="8">
        <f t="shared" si="187"/>
        <v>1897.02048725141</v>
      </c>
      <c r="O320" s="84">
        <f t="shared" si="188"/>
        <v>1742.1043448528628</v>
      </c>
    </row>
    <row r="321" spans="1:15" x14ac:dyDescent="0.2">
      <c r="A321" s="17" t="s">
        <v>61</v>
      </c>
      <c r="B321" s="81" t="str">
        <f t="shared" si="194"/>
        <v>Q3/2018</v>
      </c>
      <c r="C321" s="82">
        <f t="shared" si="191"/>
        <v>43282</v>
      </c>
      <c r="D321" s="82">
        <f t="shared" si="192"/>
        <v>43373</v>
      </c>
      <c r="E321" s="81">
        <f t="shared" si="189"/>
        <v>92</v>
      </c>
      <c r="F321" s="83">
        <f>VLOOKUP(D321,'FERC Interest Rate'!$A:$B,2,TRUE)</f>
        <v>5.011111E-2</v>
      </c>
      <c r="G321" s="84">
        <f t="shared" si="190"/>
        <v>1742.1043448528628</v>
      </c>
      <c r="H321" s="84">
        <v>0</v>
      </c>
      <c r="I321" s="109">
        <f t="shared" si="196"/>
        <v>8.6330265271432474</v>
      </c>
      <c r="J321" s="85">
        <f t="shared" si="197"/>
        <v>22.004076673941857</v>
      </c>
      <c r="K321" s="129">
        <f t="shared" si="198"/>
        <v>30.637103201085104</v>
      </c>
      <c r="L321" s="85">
        <f t="shared" si="195"/>
        <v>125.375</v>
      </c>
      <c r="M321" s="130">
        <f t="shared" si="186"/>
        <v>156.0121032010851</v>
      </c>
      <c r="N321" s="8">
        <f t="shared" si="187"/>
        <v>1764.1084215268047</v>
      </c>
      <c r="O321" s="84">
        <f t="shared" si="188"/>
        <v>1608.0963183257195</v>
      </c>
    </row>
    <row r="322" spans="1:15" x14ac:dyDescent="0.2">
      <c r="A322" s="17" t="s">
        <v>62</v>
      </c>
      <c r="B322" s="81" t="str">
        <f t="shared" si="194"/>
        <v>Q4/2018</v>
      </c>
      <c r="C322" s="82">
        <f t="shared" si="191"/>
        <v>43374</v>
      </c>
      <c r="D322" s="82">
        <f t="shared" si="192"/>
        <v>43465</v>
      </c>
      <c r="E322" s="81">
        <f t="shared" si="189"/>
        <v>92</v>
      </c>
      <c r="F322" s="83">
        <f>VLOOKUP(D322,'FERC Interest Rate'!$A:$B,2,TRUE)</f>
        <v>5.2822580000000001E-2</v>
      </c>
      <c r="G322" s="84">
        <f t="shared" si="190"/>
        <v>1608.0963183257195</v>
      </c>
      <c r="H322" s="84">
        <v>0</v>
      </c>
      <c r="I322" s="109">
        <f t="shared" si="196"/>
        <v>8.6330265271432474</v>
      </c>
      <c r="J322" s="85">
        <f t="shared" si="197"/>
        <v>21.410491153059869</v>
      </c>
      <c r="K322" s="129">
        <f t="shared" si="198"/>
        <v>30.043517680203117</v>
      </c>
      <c r="L322" s="85">
        <f t="shared" si="195"/>
        <v>125.375</v>
      </c>
      <c r="M322" s="130">
        <f t="shared" si="186"/>
        <v>155.41851768020311</v>
      </c>
      <c r="N322" s="8">
        <f t="shared" si="187"/>
        <v>1629.5068094787794</v>
      </c>
      <c r="O322" s="84">
        <f t="shared" si="188"/>
        <v>1474.0882917985762</v>
      </c>
    </row>
    <row r="323" spans="1:15" x14ac:dyDescent="0.2">
      <c r="A323" s="17" t="s">
        <v>63</v>
      </c>
      <c r="B323" s="81" t="str">
        <f t="shared" si="194"/>
        <v>Q1/2019</v>
      </c>
      <c r="C323" s="82">
        <f t="shared" si="191"/>
        <v>43466</v>
      </c>
      <c r="D323" s="82">
        <f t="shared" si="192"/>
        <v>43555</v>
      </c>
      <c r="E323" s="81">
        <f t="shared" si="189"/>
        <v>90</v>
      </c>
      <c r="F323" s="83">
        <f>VLOOKUP(D323,'FERC Interest Rate'!$A:$B,2,TRUE)</f>
        <v>5.5296770000000002E-2</v>
      </c>
      <c r="G323" s="84">
        <f t="shared" si="190"/>
        <v>1474.0882917985762</v>
      </c>
      <c r="H323" s="84">
        <v>0</v>
      </c>
      <c r="I323" s="109">
        <f t="shared" si="196"/>
        <v>8.6330265271432474</v>
      </c>
      <c r="J323" s="85">
        <f t="shared" si="197"/>
        <v>20.098928522781062</v>
      </c>
      <c r="K323" s="129">
        <f t="shared" si="198"/>
        <v>28.731955049924309</v>
      </c>
      <c r="L323" s="85">
        <f t="shared" si="195"/>
        <v>125.375</v>
      </c>
      <c r="M323" s="130">
        <f t="shared" si="186"/>
        <v>154.1069550499243</v>
      </c>
      <c r="N323" s="8">
        <f t="shared" si="187"/>
        <v>1494.1872203213572</v>
      </c>
      <c r="O323" s="84">
        <f t="shared" si="188"/>
        <v>1340.0802652714328</v>
      </c>
    </row>
    <row r="324" spans="1:15" x14ac:dyDescent="0.2">
      <c r="A324" s="17" t="s">
        <v>64</v>
      </c>
      <c r="B324" s="81" t="str">
        <f t="shared" si="194"/>
        <v>Q2/2019</v>
      </c>
      <c r="C324" s="82">
        <f t="shared" si="191"/>
        <v>43556</v>
      </c>
      <c r="D324" s="82">
        <f t="shared" si="192"/>
        <v>43646</v>
      </c>
      <c r="E324" s="81">
        <f t="shared" si="189"/>
        <v>91</v>
      </c>
      <c r="F324" s="83">
        <f>VLOOKUP(D324,'FERC Interest Rate'!$A:$B,2,TRUE)</f>
        <v>5.7999999999999996E-2</v>
      </c>
      <c r="G324" s="84">
        <f t="shared" si="190"/>
        <v>1340.0802652714328</v>
      </c>
      <c r="H324" s="84">
        <v>0</v>
      </c>
      <c r="I324" s="109">
        <f t="shared" si="196"/>
        <v>8.6330265271432474</v>
      </c>
      <c r="J324" s="85">
        <f t="shared" si="197"/>
        <v>19.377927781103075</v>
      </c>
      <c r="K324" s="129">
        <f t="shared" si="198"/>
        <v>28.010954308246323</v>
      </c>
      <c r="L324" s="85">
        <f t="shared" si="195"/>
        <v>125.375</v>
      </c>
      <c r="M324" s="130">
        <f t="shared" si="186"/>
        <v>153.38595430824631</v>
      </c>
      <c r="N324" s="8">
        <f t="shared" si="187"/>
        <v>1359.458193052536</v>
      </c>
      <c r="O324" s="84">
        <f t="shared" si="188"/>
        <v>1206.0722387442895</v>
      </c>
    </row>
    <row r="325" spans="1:15" x14ac:dyDescent="0.2">
      <c r="A325" s="17" t="s">
        <v>65</v>
      </c>
      <c r="B325" s="81" t="str">
        <f>+IF(MONTH(C325)&lt;4,"Q1",IF(MONTH(C325)&lt;7,"Q2",IF(MONTH(C325)&lt;10,"Q3","Q4")))&amp;"/"&amp;YEAR(C325)</f>
        <v>Q3/2019</v>
      </c>
      <c r="C325" s="82">
        <f t="shared" si="191"/>
        <v>43647</v>
      </c>
      <c r="D325" s="82">
        <f t="shared" si="192"/>
        <v>43738</v>
      </c>
      <c r="E325" s="81">
        <f t="shared" si="189"/>
        <v>92</v>
      </c>
      <c r="F325" s="83">
        <f>VLOOKUP(D325,'FERC Interest Rate'!$A:$B,2,TRUE)</f>
        <v>0.06</v>
      </c>
      <c r="G325" s="84">
        <f t="shared" si="190"/>
        <v>1206.0722387442895</v>
      </c>
      <c r="H325" s="84">
        <v>0</v>
      </c>
      <c r="I325" s="109">
        <f t="shared" si="196"/>
        <v>8.6330265271432474</v>
      </c>
      <c r="J325" s="85">
        <f t="shared" si="197"/>
        <v>18.239777418817749</v>
      </c>
      <c r="K325" s="129">
        <f t="shared" si="198"/>
        <v>26.872803945960996</v>
      </c>
      <c r="L325" s="85">
        <f t="shared" si="195"/>
        <v>125.375</v>
      </c>
      <c r="M325" s="130">
        <f t="shared" si="186"/>
        <v>152.24780394596098</v>
      </c>
      <c r="N325" s="8">
        <f t="shared" si="187"/>
        <v>1224.3120161631073</v>
      </c>
      <c r="O325" s="84">
        <f t="shared" si="188"/>
        <v>1072.0642122171462</v>
      </c>
    </row>
    <row r="326" spans="1:15" x14ac:dyDescent="0.2">
      <c r="A326" s="17" t="s">
        <v>66</v>
      </c>
      <c r="B326" s="81" t="str">
        <f>+IF(MONTH(C326)&lt;4,"Q1",IF(MONTH(C326)&lt;7,"Q2",IF(MONTH(C326)&lt;10,"Q3","Q4")))&amp;"/"&amp;YEAR(C326)</f>
        <v>Q4/2019</v>
      </c>
      <c r="C326" s="82">
        <f t="shared" si="191"/>
        <v>43739</v>
      </c>
      <c r="D326" s="82">
        <f t="shared" si="192"/>
        <v>43830</v>
      </c>
      <c r="E326" s="81">
        <f t="shared" si="189"/>
        <v>92</v>
      </c>
      <c r="F326" s="83">
        <f>VLOOKUP(D326,'FERC Interest Rate'!$A:$B,2,TRUE)</f>
        <v>6.0349460000000001E-2</v>
      </c>
      <c r="G326" s="84">
        <f t="shared" si="190"/>
        <v>1072.0642122171462</v>
      </c>
      <c r="H326" s="84">
        <v>0</v>
      </c>
      <c r="I326" s="109">
        <f t="shared" si="196"/>
        <v>8.6330265271432474</v>
      </c>
      <c r="J326" s="85">
        <f t="shared" si="197"/>
        <v>16.307566188827334</v>
      </c>
      <c r="K326" s="129">
        <f t="shared" si="198"/>
        <v>24.940592715970581</v>
      </c>
      <c r="L326" s="85">
        <f t="shared" si="195"/>
        <v>125.375</v>
      </c>
      <c r="M326" s="130">
        <f t="shared" si="186"/>
        <v>150.31559271597058</v>
      </c>
      <c r="N326" s="8">
        <f t="shared" si="187"/>
        <v>1088.3717784059736</v>
      </c>
      <c r="O326" s="84">
        <f t="shared" si="188"/>
        <v>938.05618569000296</v>
      </c>
    </row>
    <row r="327" spans="1:15" x14ac:dyDescent="0.2">
      <c r="A327" s="17" t="s">
        <v>67</v>
      </c>
      <c r="B327" s="81" t="str">
        <f>+IF(MONTH(C327)&lt;4,"Q1",IF(MONTH(C327)&lt;7,"Q2",IF(MONTH(C327)&lt;10,"Q3","Q4")))&amp;"/"&amp;YEAR(C327)</f>
        <v>Q1/2020</v>
      </c>
      <c r="C327" s="82">
        <f t="shared" si="191"/>
        <v>43831</v>
      </c>
      <c r="D327" s="82">
        <f t="shared" si="192"/>
        <v>43921</v>
      </c>
      <c r="E327" s="81">
        <f t="shared" si="189"/>
        <v>91</v>
      </c>
      <c r="F327" s="83">
        <f>VLOOKUP(D327,'FERC Interest Rate'!$A:$B,2,TRUE)</f>
        <v>6.2501040000000008E-2</v>
      </c>
      <c r="G327" s="84">
        <f t="shared" si="190"/>
        <v>938.05618569000296</v>
      </c>
      <c r="H327" s="84">
        <v>0</v>
      </c>
      <c r="I327" s="109">
        <f t="shared" si="196"/>
        <v>8.6330265271432474</v>
      </c>
      <c r="J327" s="85">
        <f t="shared" si="197"/>
        <v>14.577276868167504</v>
      </c>
      <c r="K327" s="129">
        <f t="shared" si="198"/>
        <v>23.210303395310753</v>
      </c>
      <c r="L327" s="85">
        <f t="shared" si="195"/>
        <v>125.375</v>
      </c>
      <c r="M327" s="130">
        <f t="shared" si="186"/>
        <v>148.58530339531075</v>
      </c>
      <c r="N327" s="8">
        <f t="shared" si="187"/>
        <v>952.63346255817044</v>
      </c>
      <c r="O327" s="84">
        <f t="shared" si="188"/>
        <v>804.04815916285975</v>
      </c>
    </row>
    <row r="328" spans="1:15" x14ac:dyDescent="0.2">
      <c r="A328" s="17" t="s">
        <v>68</v>
      </c>
      <c r="B328" s="81" t="str">
        <f t="shared" ref="B328:B333" si="199">+IF(MONTH(C328)&lt;4,"Q1",IF(MONTH(C328)&lt;7,"Q2",IF(MONTH(C328)&lt;10,"Q3","Q4")))&amp;"/"&amp;YEAR(C328)</f>
        <v>Q2/2020</v>
      </c>
      <c r="C328" s="82">
        <f t="shared" ref="C328:C333" si="200">D327+1</f>
        <v>43922</v>
      </c>
      <c r="D328" s="82">
        <f t="shared" si="192"/>
        <v>44012</v>
      </c>
      <c r="E328" s="81">
        <f t="shared" ref="E328:E333" si="201">D328-C328+1</f>
        <v>91</v>
      </c>
      <c r="F328" s="83">
        <f>VLOOKUP(D328,'FERC Interest Rate'!$A:$B,2,TRUE)</f>
        <v>6.3055559999999997E-2</v>
      </c>
      <c r="G328" s="84">
        <f t="shared" ref="G328:G333" si="202">O327</f>
        <v>804.04815916285975</v>
      </c>
      <c r="H328" s="84">
        <v>0</v>
      </c>
      <c r="I328" s="109">
        <f t="shared" si="196"/>
        <v>8.6330265271432474</v>
      </c>
      <c r="J328" s="85">
        <f t="shared" ref="J328:J333" si="203">G328*F328*(E328/(DATE(YEAR(D328),12,31)-DATE(YEAR(D328),1,1)+1))</f>
        <v>12.60566484101496</v>
      </c>
      <c r="K328" s="129">
        <f t="shared" ref="K328:K333" si="204">+SUM(I328:J328)</f>
        <v>21.238691368158207</v>
      </c>
      <c r="L328" s="85">
        <f t="shared" si="195"/>
        <v>125.375</v>
      </c>
      <c r="M328" s="130">
        <f t="shared" ref="M328:M333" si="205">+SUM(K328:L328)</f>
        <v>146.61369136815821</v>
      </c>
      <c r="N328" s="8">
        <f t="shared" ref="N328:N333" si="206">+G328+H328+J328</f>
        <v>816.65382400387466</v>
      </c>
      <c r="O328" s="84">
        <f t="shared" ref="O328:O333" si="207">G328+H328-L328-I328</f>
        <v>670.04013263571653</v>
      </c>
    </row>
    <row r="329" spans="1:15" x14ac:dyDescent="0.2">
      <c r="A329" s="17" t="s">
        <v>69</v>
      </c>
      <c r="B329" s="81" t="str">
        <f t="shared" si="199"/>
        <v>Q3/2020</v>
      </c>
      <c r="C329" s="82">
        <f t="shared" si="200"/>
        <v>44013</v>
      </c>
      <c r="D329" s="82">
        <f t="shared" si="192"/>
        <v>44104</v>
      </c>
      <c r="E329" s="81">
        <f t="shared" si="201"/>
        <v>92</v>
      </c>
      <c r="F329" s="83">
        <f>VLOOKUP(D329,'FERC Interest Rate'!$A:$B,2,TRUE)</f>
        <v>6.5000000000000002E-2</v>
      </c>
      <c r="G329" s="84">
        <f t="shared" si="202"/>
        <v>670.04013263571653</v>
      </c>
      <c r="H329" s="84">
        <v>0</v>
      </c>
      <c r="I329" s="109">
        <f t="shared" si="196"/>
        <v>8.6330265271432474</v>
      </c>
      <c r="J329" s="85">
        <f t="shared" si="203"/>
        <v>10.94765025453985</v>
      </c>
      <c r="K329" s="129">
        <f t="shared" si="204"/>
        <v>19.580676781683096</v>
      </c>
      <c r="L329" s="85">
        <f t="shared" si="195"/>
        <v>125.375</v>
      </c>
      <c r="M329" s="130">
        <f t="shared" si="205"/>
        <v>144.95567678168311</v>
      </c>
      <c r="N329" s="8">
        <f t="shared" si="206"/>
        <v>680.98778289025643</v>
      </c>
      <c r="O329" s="84">
        <f t="shared" si="207"/>
        <v>536.03210610857332</v>
      </c>
    </row>
    <row r="330" spans="1:15" x14ac:dyDescent="0.2">
      <c r="A330" s="17" t="s">
        <v>70</v>
      </c>
      <c r="B330" s="81" t="str">
        <f t="shared" si="199"/>
        <v>Q4/2020</v>
      </c>
      <c r="C330" s="82">
        <f t="shared" si="200"/>
        <v>44105</v>
      </c>
      <c r="D330" s="82">
        <f t="shared" si="192"/>
        <v>44196</v>
      </c>
      <c r="E330" s="81">
        <f t="shared" si="201"/>
        <v>92</v>
      </c>
      <c r="F330" s="83">
        <f>VLOOKUP(D330,'FERC Interest Rate'!$A:$B,2,TRUE)</f>
        <v>6.5000000000000002E-2</v>
      </c>
      <c r="G330" s="84">
        <f t="shared" si="202"/>
        <v>536.03210610857332</v>
      </c>
      <c r="H330" s="84">
        <v>0</v>
      </c>
      <c r="I330" s="109">
        <f t="shared" si="196"/>
        <v>8.6330265271432474</v>
      </c>
      <c r="J330" s="85">
        <f t="shared" si="203"/>
        <v>8.758120203631881</v>
      </c>
      <c r="K330" s="129">
        <f t="shared" si="204"/>
        <v>17.391146730775127</v>
      </c>
      <c r="L330" s="85">
        <f t="shared" si="195"/>
        <v>125.375</v>
      </c>
      <c r="M330" s="130">
        <f t="shared" si="205"/>
        <v>142.76614673077512</v>
      </c>
      <c r="N330" s="8">
        <f t="shared" si="206"/>
        <v>544.79022631220516</v>
      </c>
      <c r="O330" s="84">
        <f t="shared" si="207"/>
        <v>402.02407958143004</v>
      </c>
    </row>
    <row r="331" spans="1:15" x14ac:dyDescent="0.2">
      <c r="A331" s="17" t="s">
        <v>71</v>
      </c>
      <c r="B331" s="81" t="str">
        <f t="shared" si="199"/>
        <v>Q1/2021</v>
      </c>
      <c r="C331" s="82">
        <f t="shared" si="200"/>
        <v>44197</v>
      </c>
      <c r="D331" s="82">
        <f t="shared" si="192"/>
        <v>44286</v>
      </c>
      <c r="E331" s="81">
        <f t="shared" si="201"/>
        <v>90</v>
      </c>
      <c r="F331" s="83">
        <f>VLOOKUP(D331,'FERC Interest Rate'!$A:$B,2,TRUE)</f>
        <v>6.5000000000000002E-2</v>
      </c>
      <c r="G331" s="84">
        <f t="shared" si="202"/>
        <v>402.02407958143004</v>
      </c>
      <c r="H331" s="84">
        <v>0</v>
      </c>
      <c r="I331" s="109">
        <f t="shared" si="196"/>
        <v>8.6330265271432474</v>
      </c>
      <c r="J331" s="85">
        <f t="shared" si="203"/>
        <v>6.4433996316475772</v>
      </c>
      <c r="K331" s="129">
        <f t="shared" si="204"/>
        <v>15.076426158790824</v>
      </c>
      <c r="L331" s="85">
        <f t="shared" si="195"/>
        <v>125.375</v>
      </c>
      <c r="M331" s="130">
        <f t="shared" si="205"/>
        <v>140.45142615879081</v>
      </c>
      <c r="N331" s="8">
        <f t="shared" si="206"/>
        <v>408.46747921307764</v>
      </c>
      <c r="O331" s="84">
        <f t="shared" si="207"/>
        <v>268.01605305428677</v>
      </c>
    </row>
    <row r="332" spans="1:15" x14ac:dyDescent="0.2">
      <c r="A332" s="17" t="s">
        <v>72</v>
      </c>
      <c r="B332" s="81" t="str">
        <f t="shared" si="199"/>
        <v>Q2/2021</v>
      </c>
      <c r="C332" s="82">
        <f t="shared" si="200"/>
        <v>44287</v>
      </c>
      <c r="D332" s="82">
        <f t="shared" si="192"/>
        <v>44377</v>
      </c>
      <c r="E332" s="81">
        <f t="shared" si="201"/>
        <v>91</v>
      </c>
      <c r="F332" s="83">
        <f>VLOOKUP(D332,'FERC Interest Rate'!$A:$B,2,TRUE)</f>
        <v>6.5000000000000002E-2</v>
      </c>
      <c r="G332" s="84">
        <f t="shared" si="202"/>
        <v>268.01605305428677</v>
      </c>
      <c r="H332" s="84">
        <v>0</v>
      </c>
      <c r="I332" s="109">
        <f t="shared" si="196"/>
        <v>8.6330265271432474</v>
      </c>
      <c r="J332" s="85">
        <f t="shared" si="203"/>
        <v>4.3433286405920715</v>
      </c>
      <c r="K332" s="129">
        <f t="shared" si="204"/>
        <v>12.976355167735319</v>
      </c>
      <c r="L332" s="85">
        <f t="shared" si="195"/>
        <v>125.375</v>
      </c>
      <c r="M332" s="130">
        <f t="shared" si="205"/>
        <v>138.35135516773531</v>
      </c>
      <c r="N332" s="8">
        <f t="shared" si="206"/>
        <v>272.35938169487883</v>
      </c>
      <c r="O332" s="84">
        <f t="shared" si="207"/>
        <v>134.00802652714353</v>
      </c>
    </row>
    <row r="333" spans="1:15" x14ac:dyDescent="0.2">
      <c r="A333" s="17" t="s">
        <v>73</v>
      </c>
      <c r="B333" s="81" t="str">
        <f t="shared" si="199"/>
        <v>Q3/2021</v>
      </c>
      <c r="C333" s="82">
        <f t="shared" si="200"/>
        <v>44378</v>
      </c>
      <c r="D333" s="82">
        <f t="shared" si="192"/>
        <v>44469</v>
      </c>
      <c r="E333" s="81">
        <f t="shared" si="201"/>
        <v>92</v>
      </c>
      <c r="F333" s="83">
        <f>VLOOKUP(D333,'FERC Interest Rate'!$A:$B,2,TRUE)</f>
        <v>6.5000000000000002E-2</v>
      </c>
      <c r="G333" s="84">
        <f t="shared" si="202"/>
        <v>134.00802652714353</v>
      </c>
      <c r="H333" s="84">
        <v>0</v>
      </c>
      <c r="I333" s="109">
        <f t="shared" si="196"/>
        <v>8.6330265271432474</v>
      </c>
      <c r="J333" s="85">
        <f t="shared" si="203"/>
        <v>2.1955287633762151</v>
      </c>
      <c r="K333" s="129">
        <f t="shared" si="204"/>
        <v>10.828555290519462</v>
      </c>
      <c r="L333" s="85">
        <f t="shared" si="195"/>
        <v>125.375</v>
      </c>
      <c r="M333" s="130">
        <f t="shared" si="205"/>
        <v>136.20355529051946</v>
      </c>
      <c r="N333" s="8">
        <f t="shared" si="206"/>
        <v>136.20355529051974</v>
      </c>
      <c r="O333" s="84">
        <f t="shared" si="207"/>
        <v>2.8066438062523957E-13</v>
      </c>
    </row>
    <row r="334" spans="1:15" x14ac:dyDescent="0.2">
      <c r="A334" s="96"/>
      <c r="B334" s="81"/>
      <c r="C334" s="82"/>
      <c r="D334" s="82"/>
      <c r="E334" s="81"/>
      <c r="F334" s="83"/>
      <c r="G334" s="84"/>
      <c r="H334" s="84"/>
      <c r="I334" s="109"/>
      <c r="J334" s="85"/>
      <c r="K334" s="129"/>
      <c r="L334" s="85"/>
      <c r="M334" s="130"/>
      <c r="N334" s="8"/>
      <c r="O334" s="84"/>
    </row>
    <row r="335" spans="1:15" ht="13.5" thickBot="1" x14ac:dyDescent="0.25">
      <c r="A335" s="151"/>
      <c r="B335" s="152"/>
      <c r="C335" s="153"/>
      <c r="D335" s="153"/>
      <c r="E335" s="154"/>
      <c r="F335" s="152"/>
      <c r="G335" s="140">
        <f t="shared" ref="G335:O335" si="208">+SUM(G306:G334)</f>
        <v>48613.825780118073</v>
      </c>
      <c r="H335" s="140">
        <f t="shared" si="208"/>
        <v>172.66053054286493</v>
      </c>
      <c r="I335" s="141">
        <f t="shared" si="208"/>
        <v>172.6605305428649</v>
      </c>
      <c r="J335" s="140">
        <f t="shared" si="208"/>
        <v>309.05915914648079</v>
      </c>
      <c r="K335" s="140">
        <f t="shared" si="208"/>
        <v>481.71968968934573</v>
      </c>
      <c r="L335" s="140">
        <f t="shared" si="208"/>
        <v>2507.5</v>
      </c>
      <c r="M335" s="142">
        <f t="shared" si="208"/>
        <v>2989.2196896893461</v>
      </c>
      <c r="N335" s="140">
        <f t="shared" si="208"/>
        <v>49095.545469807425</v>
      </c>
      <c r="O335" s="140">
        <f t="shared" si="208"/>
        <v>46106.325780118081</v>
      </c>
    </row>
    <row r="336" spans="1:15" ht="13.5" thickTop="1" x14ac:dyDescent="0.2"/>
    <row r="337" spans="1:15" ht="38.25" x14ac:dyDescent="0.2">
      <c r="A337" s="90" t="s">
        <v>53</v>
      </c>
      <c r="B337" s="90" t="s">
        <v>3</v>
      </c>
      <c r="C337" s="90" t="s">
        <v>4</v>
      </c>
      <c r="D337" s="90" t="s">
        <v>5</v>
      </c>
      <c r="E337" s="90" t="s">
        <v>6</v>
      </c>
      <c r="F337" s="90" t="s">
        <v>7</v>
      </c>
      <c r="G337" s="90" t="s">
        <v>93</v>
      </c>
      <c r="H337" s="90" t="s">
        <v>94</v>
      </c>
      <c r="I337" s="105" t="s">
        <v>95</v>
      </c>
      <c r="J337" s="106" t="s">
        <v>96</v>
      </c>
      <c r="K337" s="106" t="s">
        <v>97</v>
      </c>
      <c r="L337" s="106" t="s">
        <v>98</v>
      </c>
      <c r="M337" s="107" t="s">
        <v>99</v>
      </c>
      <c r="N337" s="90" t="s">
        <v>100</v>
      </c>
      <c r="O337" s="90" t="s">
        <v>101</v>
      </c>
    </row>
    <row r="338" spans="1:15" x14ac:dyDescent="0.2">
      <c r="A338" s="309" t="s">
        <v>15</v>
      </c>
      <c r="B338" s="309"/>
      <c r="C338" s="282">
        <f>VLOOKUP(B339,A$1:F$18,2,FALSE)</f>
        <v>42052</v>
      </c>
      <c r="D338" s="282">
        <f>DATE(YEAR(C338),IF(MONTH(C338)&lt;=3,3,IF(MONTH(C338)&lt;=6,6,IF(MONTH(C338)&lt;=9,9,12))),IF(OR(MONTH(C338)&lt;=3,MONTH(C338)&gt;=10),31,30))</f>
        <v>42094</v>
      </c>
      <c r="E338" s="283">
        <f>D338-C338+1</f>
        <v>43</v>
      </c>
      <c r="F338" s="284">
        <f>VLOOKUP(D338,'FERC Interest Rate'!$A:$B,2,TRUE)</f>
        <v>3.2500000000000001E-2</v>
      </c>
      <c r="G338" s="167">
        <f>VLOOKUP(B339,$A$1:$F$18,5,FALSE)</f>
        <v>2446</v>
      </c>
      <c r="H338" s="167">
        <f t="shared" ref="H338:H345" si="209">G338*F338*(E338/(DATE(YEAR(D338),12,31)-DATE(YEAR(D338),1,1)+1))</f>
        <v>9.3651643835616447</v>
      </c>
      <c r="I338" s="291">
        <v>0</v>
      </c>
      <c r="J338" s="286">
        <v>0</v>
      </c>
      <c r="K338" s="286">
        <f t="shared" ref="K338:K364" si="210">+SUM(I338:J338)</f>
        <v>0</v>
      </c>
      <c r="L338" s="286">
        <v>0</v>
      </c>
      <c r="M338" s="287">
        <f t="shared" ref="M338:M364" si="211">+SUM(K338:L338)</f>
        <v>0</v>
      </c>
      <c r="N338" s="286">
        <f t="shared" ref="N338:N364" si="212">+G338+H338+J338</f>
        <v>2455.3651643835615</v>
      </c>
      <c r="O338" s="167">
        <f t="shared" ref="O338:O364" si="213">G338+H338-L338-I338</f>
        <v>2455.3651643835615</v>
      </c>
    </row>
    <row r="339" spans="1:15" x14ac:dyDescent="0.2">
      <c r="A339" s="275" t="s">
        <v>38</v>
      </c>
      <c r="B339" s="276" t="s">
        <v>62</v>
      </c>
      <c r="C339" s="282">
        <f>D338+1</f>
        <v>42095</v>
      </c>
      <c r="D339" s="282">
        <f>EOMONTH(D338,3)</f>
        <v>42185</v>
      </c>
      <c r="E339" s="283">
        <f t="shared" ref="E339:E364" si="214">D339-C339+1</f>
        <v>91</v>
      </c>
      <c r="F339" s="284">
        <f>VLOOKUP(D339,'FERC Interest Rate'!$A:$B,2,TRUE)</f>
        <v>3.2500000000000001E-2</v>
      </c>
      <c r="G339" s="167">
        <f t="shared" ref="G339:G364" si="215">O338</f>
        <v>2455.3651643835615</v>
      </c>
      <c r="H339" s="167">
        <f t="shared" si="209"/>
        <v>19.895184859354476</v>
      </c>
      <c r="I339" s="291">
        <v>0</v>
      </c>
      <c r="J339" s="286">
        <v>0</v>
      </c>
      <c r="K339" s="286">
        <f t="shared" si="210"/>
        <v>0</v>
      </c>
      <c r="L339" s="286">
        <v>0</v>
      </c>
      <c r="M339" s="287">
        <f t="shared" si="211"/>
        <v>0</v>
      </c>
      <c r="N339" s="286">
        <f t="shared" si="212"/>
        <v>2475.2603492429162</v>
      </c>
      <c r="O339" s="167">
        <f t="shared" si="213"/>
        <v>2475.2603492429162</v>
      </c>
    </row>
    <row r="340" spans="1:15" x14ac:dyDescent="0.2">
      <c r="A340" s="292"/>
      <c r="B340" s="283"/>
      <c r="C340" s="282">
        <f t="shared" ref="C340:C364" si="216">D339+1</f>
        <v>42186</v>
      </c>
      <c r="D340" s="282">
        <f t="shared" ref="D340:D364" si="217">EOMONTH(D339,3)</f>
        <v>42277</v>
      </c>
      <c r="E340" s="283">
        <f t="shared" si="214"/>
        <v>92</v>
      </c>
      <c r="F340" s="284">
        <f>VLOOKUP(D340,'FERC Interest Rate'!$A:$B,2,TRUE)</f>
        <v>3.2500000000000001E-2</v>
      </c>
      <c r="G340" s="167">
        <f t="shared" si="215"/>
        <v>2475.2603492429162</v>
      </c>
      <c r="H340" s="167">
        <f t="shared" si="209"/>
        <v>20.276790258181698</v>
      </c>
      <c r="I340" s="291">
        <v>0</v>
      </c>
      <c r="J340" s="286">
        <v>0</v>
      </c>
      <c r="K340" s="286">
        <f t="shared" si="210"/>
        <v>0</v>
      </c>
      <c r="L340" s="286">
        <v>0</v>
      </c>
      <c r="M340" s="287">
        <f t="shared" si="211"/>
        <v>0</v>
      </c>
      <c r="N340" s="286">
        <f t="shared" si="212"/>
        <v>2495.537139501098</v>
      </c>
      <c r="O340" s="167">
        <f t="shared" si="213"/>
        <v>2495.537139501098</v>
      </c>
    </row>
    <row r="341" spans="1:15" x14ac:dyDescent="0.2">
      <c r="A341" s="292"/>
      <c r="B341" s="283"/>
      <c r="C341" s="282">
        <f t="shared" si="216"/>
        <v>42278</v>
      </c>
      <c r="D341" s="282">
        <f t="shared" si="217"/>
        <v>42369</v>
      </c>
      <c r="E341" s="283">
        <f t="shared" si="214"/>
        <v>92</v>
      </c>
      <c r="F341" s="284">
        <f>VLOOKUP(D341,'FERC Interest Rate'!$A:$B,2,TRUE)</f>
        <v>3.2500000000000001E-2</v>
      </c>
      <c r="G341" s="167">
        <f t="shared" si="215"/>
        <v>2495.537139501098</v>
      </c>
      <c r="H341" s="167">
        <f t="shared" si="209"/>
        <v>20.44289327974872</v>
      </c>
      <c r="I341" s="291">
        <v>0</v>
      </c>
      <c r="J341" s="286">
        <v>0</v>
      </c>
      <c r="K341" s="286">
        <f t="shared" si="210"/>
        <v>0</v>
      </c>
      <c r="L341" s="286">
        <v>0</v>
      </c>
      <c r="M341" s="287">
        <f t="shared" si="211"/>
        <v>0</v>
      </c>
      <c r="N341" s="286">
        <f t="shared" si="212"/>
        <v>2515.9800327808466</v>
      </c>
      <c r="O341" s="167">
        <f t="shared" si="213"/>
        <v>2515.9800327808466</v>
      </c>
    </row>
    <row r="342" spans="1:15" x14ac:dyDescent="0.2">
      <c r="A342" s="292"/>
      <c r="B342" s="283"/>
      <c r="C342" s="282">
        <f t="shared" si="216"/>
        <v>42370</v>
      </c>
      <c r="D342" s="282">
        <f t="shared" si="217"/>
        <v>42460</v>
      </c>
      <c r="E342" s="283">
        <f t="shared" si="214"/>
        <v>91</v>
      </c>
      <c r="F342" s="284">
        <f>VLOOKUP(D342,'FERC Interest Rate'!$A:$B,2,TRUE)</f>
        <v>3.2500000000000001E-2</v>
      </c>
      <c r="G342" s="167">
        <f t="shared" si="215"/>
        <v>2515.9800327808466</v>
      </c>
      <c r="H342" s="167">
        <f t="shared" si="209"/>
        <v>20.330631002593865</v>
      </c>
      <c r="I342" s="291">
        <v>0</v>
      </c>
      <c r="J342" s="286">
        <v>0</v>
      </c>
      <c r="K342" s="286">
        <f t="shared" si="210"/>
        <v>0</v>
      </c>
      <c r="L342" s="286">
        <v>0</v>
      </c>
      <c r="M342" s="287">
        <f t="shared" si="211"/>
        <v>0</v>
      </c>
      <c r="N342" s="286">
        <f t="shared" si="212"/>
        <v>2536.3106637834403</v>
      </c>
      <c r="O342" s="167">
        <f t="shared" si="213"/>
        <v>2536.3106637834403</v>
      </c>
    </row>
    <row r="343" spans="1:15" x14ac:dyDescent="0.2">
      <c r="A343" s="292"/>
      <c r="B343" s="283"/>
      <c r="C343" s="282">
        <f t="shared" si="216"/>
        <v>42461</v>
      </c>
      <c r="D343" s="282">
        <f t="shared" si="217"/>
        <v>42551</v>
      </c>
      <c r="E343" s="283">
        <f t="shared" si="214"/>
        <v>91</v>
      </c>
      <c r="F343" s="284">
        <f>VLOOKUP(D343,'FERC Interest Rate'!$A:$B,2,TRUE)</f>
        <v>3.4599999999999999E-2</v>
      </c>
      <c r="G343" s="167">
        <f t="shared" si="215"/>
        <v>2536.3106637834403</v>
      </c>
      <c r="H343" s="167">
        <f t="shared" si="209"/>
        <v>21.819201519094371</v>
      </c>
      <c r="I343" s="291">
        <v>0</v>
      </c>
      <c r="J343" s="286">
        <v>0</v>
      </c>
      <c r="K343" s="286">
        <f t="shared" si="210"/>
        <v>0</v>
      </c>
      <c r="L343" s="286">
        <v>0</v>
      </c>
      <c r="M343" s="287">
        <f t="shared" si="211"/>
        <v>0</v>
      </c>
      <c r="N343" s="286">
        <f t="shared" si="212"/>
        <v>2558.1298653025347</v>
      </c>
      <c r="O343" s="167">
        <f t="shared" si="213"/>
        <v>2558.1298653025347</v>
      </c>
    </row>
    <row r="344" spans="1:15" x14ac:dyDescent="0.2">
      <c r="A344" s="292"/>
      <c r="B344" s="283"/>
      <c r="C344" s="282">
        <f t="shared" si="216"/>
        <v>42552</v>
      </c>
      <c r="D344" s="282">
        <f t="shared" si="217"/>
        <v>42643</v>
      </c>
      <c r="E344" s="283">
        <f t="shared" si="214"/>
        <v>92</v>
      </c>
      <c r="F344" s="284">
        <f>VLOOKUP(D344,'FERC Interest Rate'!$A:$B,2,TRUE)</f>
        <v>3.5000000000000003E-2</v>
      </c>
      <c r="G344" s="167">
        <f t="shared" si="215"/>
        <v>2558.1298653025347</v>
      </c>
      <c r="H344" s="167">
        <f t="shared" si="209"/>
        <v>22.505951273973121</v>
      </c>
      <c r="I344" s="291">
        <v>0</v>
      </c>
      <c r="J344" s="286">
        <v>0</v>
      </c>
      <c r="K344" s="286">
        <f t="shared" si="210"/>
        <v>0</v>
      </c>
      <c r="L344" s="286">
        <v>0</v>
      </c>
      <c r="M344" s="287">
        <f t="shared" si="211"/>
        <v>0</v>
      </c>
      <c r="N344" s="286">
        <f t="shared" si="212"/>
        <v>2580.6358165765078</v>
      </c>
      <c r="O344" s="167">
        <f t="shared" si="213"/>
        <v>2580.6358165765078</v>
      </c>
    </row>
    <row r="345" spans="1:15" x14ac:dyDescent="0.2">
      <c r="A345" s="17" t="s">
        <v>54</v>
      </c>
      <c r="B345" s="81" t="str">
        <f t="shared" ref="B345:B347" si="218">+IF(MONTH(C345)&lt;4,"Q1",IF(MONTH(C345)&lt;7,"Q2",IF(MONTH(C345)&lt;10,"Q3","Q4")))&amp;"/"&amp;YEAR(C345)</f>
        <v>Q4/2016</v>
      </c>
      <c r="C345" s="82">
        <f t="shared" si="216"/>
        <v>42644</v>
      </c>
      <c r="D345" s="82">
        <f t="shared" si="217"/>
        <v>42735</v>
      </c>
      <c r="E345" s="81">
        <f t="shared" si="214"/>
        <v>92</v>
      </c>
      <c r="F345" s="83">
        <f>VLOOKUP(D345,'FERC Interest Rate'!$A:$B,2,TRUE)</f>
        <v>3.5000000000000003E-2</v>
      </c>
      <c r="G345" s="84">
        <f t="shared" si="215"/>
        <v>2580.6358165765078</v>
      </c>
      <c r="H345" s="167">
        <f t="shared" si="209"/>
        <v>22.70395445184797</v>
      </c>
      <c r="I345" s="173">
        <f>(SUM($H$338:$H$365)/20)</f>
        <v>7.8669885514177933</v>
      </c>
      <c r="J345" s="286">
        <v>0</v>
      </c>
      <c r="K345" s="85">
        <f t="shared" ref="K345:K348" si="219">+SUM(I345:J345)</f>
        <v>7.8669885514177933</v>
      </c>
      <c r="L345" s="85">
        <f t="shared" ref="L345:L364" si="220">VLOOKUP($B$339,A$1:F$18,5,FALSE)/20</f>
        <v>122.3</v>
      </c>
      <c r="M345" s="110">
        <f t="shared" ref="M345:M348" si="221">+SUM(K345:L345)</f>
        <v>130.1669885514178</v>
      </c>
      <c r="N345" s="85">
        <f t="shared" si="212"/>
        <v>2603.3397710283557</v>
      </c>
      <c r="O345" s="84">
        <f t="shared" si="213"/>
        <v>2473.1727824769378</v>
      </c>
    </row>
    <row r="346" spans="1:15" x14ac:dyDescent="0.2">
      <c r="A346" s="17" t="s">
        <v>55</v>
      </c>
      <c r="B346" s="81" t="str">
        <f t="shared" si="218"/>
        <v>Q1/2017</v>
      </c>
      <c r="C346" s="82">
        <f t="shared" si="216"/>
        <v>42736</v>
      </c>
      <c r="D346" s="82">
        <f t="shared" si="217"/>
        <v>42825</v>
      </c>
      <c r="E346" s="81">
        <f t="shared" si="214"/>
        <v>90</v>
      </c>
      <c r="F346" s="83">
        <f>VLOOKUP(D346,'FERC Interest Rate'!$A:$B,2,TRUE)</f>
        <v>3.5000000000000003E-2</v>
      </c>
      <c r="G346" s="84">
        <f t="shared" si="215"/>
        <v>2473.1727824769378</v>
      </c>
      <c r="H346" s="84">
        <v>0</v>
      </c>
      <c r="I346" s="109">
        <f t="shared" ref="I346:I364" si="222">(SUM($H$338:$H$365)/20)</f>
        <v>7.8669885514177933</v>
      </c>
      <c r="J346" s="85">
        <f t="shared" ref="J346:J348" si="223">G346*F346*(E346/(DATE(YEAR(D346),12,31)-DATE(YEAR(D346),1,1)+1))</f>
        <v>21.343819903568097</v>
      </c>
      <c r="K346" s="85">
        <f t="shared" si="219"/>
        <v>29.210808454985891</v>
      </c>
      <c r="L346" s="85">
        <f t="shared" si="220"/>
        <v>122.3</v>
      </c>
      <c r="M346" s="110">
        <f t="shared" si="221"/>
        <v>151.51080845498589</v>
      </c>
      <c r="N346" s="85">
        <f t="shared" si="212"/>
        <v>2494.5166023805059</v>
      </c>
      <c r="O346" s="84">
        <f t="shared" si="213"/>
        <v>2343.0057939255198</v>
      </c>
    </row>
    <row r="347" spans="1:15" x14ac:dyDescent="0.2">
      <c r="A347" s="17" t="s">
        <v>56</v>
      </c>
      <c r="B347" s="81" t="str">
        <f t="shared" si="218"/>
        <v>Q2/2017</v>
      </c>
      <c r="C347" s="82">
        <f t="shared" si="216"/>
        <v>42826</v>
      </c>
      <c r="D347" s="82">
        <f t="shared" si="217"/>
        <v>42916</v>
      </c>
      <c r="E347" s="81">
        <f t="shared" si="214"/>
        <v>91</v>
      </c>
      <c r="F347" s="83">
        <f>VLOOKUP(D347,'FERC Interest Rate'!$A:$B,2,TRUE)</f>
        <v>3.7100000000000001E-2</v>
      </c>
      <c r="G347" s="84">
        <f t="shared" si="215"/>
        <v>2343.0057939255198</v>
      </c>
      <c r="H347" s="84">
        <v>0</v>
      </c>
      <c r="I347" s="109">
        <f t="shared" si="222"/>
        <v>7.8669885514177933</v>
      </c>
      <c r="J347" s="85">
        <f t="shared" si="223"/>
        <v>21.671840714717664</v>
      </c>
      <c r="K347" s="85">
        <f t="shared" si="219"/>
        <v>29.538829266135458</v>
      </c>
      <c r="L347" s="85">
        <f t="shared" si="220"/>
        <v>122.3</v>
      </c>
      <c r="M347" s="110">
        <f t="shared" si="221"/>
        <v>151.83882926613546</v>
      </c>
      <c r="N347" s="85">
        <f t="shared" si="212"/>
        <v>2364.6776346402376</v>
      </c>
      <c r="O347" s="84">
        <f t="shared" si="213"/>
        <v>2212.8388053741019</v>
      </c>
    </row>
    <row r="348" spans="1:15" x14ac:dyDescent="0.2">
      <c r="A348" s="17" t="s">
        <v>57</v>
      </c>
      <c r="B348" s="81" t="str">
        <f t="shared" ref="B348:B361" si="224">+IF(MONTH(C348)&lt;4,"Q1",IF(MONTH(C348)&lt;7,"Q2",IF(MONTH(C348)&lt;10,"Q3","Q4")))&amp;"/"&amp;YEAR(C348)</f>
        <v>Q3/2017</v>
      </c>
      <c r="C348" s="82">
        <f t="shared" si="216"/>
        <v>42917</v>
      </c>
      <c r="D348" s="82">
        <f t="shared" si="217"/>
        <v>43008</v>
      </c>
      <c r="E348" s="81">
        <f t="shared" si="214"/>
        <v>92</v>
      </c>
      <c r="F348" s="83">
        <f>VLOOKUP(D348,'FERC Interest Rate'!$A:$B,2,TRUE)</f>
        <v>3.9600000000000003E-2</v>
      </c>
      <c r="G348" s="84">
        <f t="shared" si="215"/>
        <v>2212.8388053741019</v>
      </c>
      <c r="H348" s="84">
        <v>0</v>
      </c>
      <c r="I348" s="109">
        <f t="shared" si="222"/>
        <v>7.8669885514177933</v>
      </c>
      <c r="J348" s="85">
        <f t="shared" si="223"/>
        <v>22.087162563668301</v>
      </c>
      <c r="K348" s="85">
        <f t="shared" si="219"/>
        <v>29.954151115086095</v>
      </c>
      <c r="L348" s="85">
        <f t="shared" si="220"/>
        <v>122.3</v>
      </c>
      <c r="M348" s="110">
        <f t="shared" si="221"/>
        <v>152.2541511150861</v>
      </c>
      <c r="N348" s="85">
        <f t="shared" si="212"/>
        <v>2234.9259679377701</v>
      </c>
      <c r="O348" s="84">
        <f t="shared" si="213"/>
        <v>2082.6718168226839</v>
      </c>
    </row>
    <row r="349" spans="1:15" x14ac:dyDescent="0.2">
      <c r="A349" s="17" t="s">
        <v>58</v>
      </c>
      <c r="B349" s="81" t="str">
        <f t="shared" si="224"/>
        <v>Q4/2017</v>
      </c>
      <c r="C349" s="82">
        <f t="shared" si="216"/>
        <v>43009</v>
      </c>
      <c r="D349" s="82">
        <f t="shared" si="217"/>
        <v>43100</v>
      </c>
      <c r="E349" s="81">
        <f t="shared" si="214"/>
        <v>92</v>
      </c>
      <c r="F349" s="83">
        <f>VLOOKUP(D349,'FERC Interest Rate'!$A:$B,2,TRUE)</f>
        <v>4.2099999999999999E-2</v>
      </c>
      <c r="G349" s="84">
        <f t="shared" si="215"/>
        <v>2082.6718168226839</v>
      </c>
      <c r="H349" s="84">
        <v>0</v>
      </c>
      <c r="I349" s="109">
        <f t="shared" si="222"/>
        <v>7.8669885514177933</v>
      </c>
      <c r="J349" s="85">
        <f t="shared" ref="J349:J364" si="225">G349*F349*(E349/(DATE(YEAR(D349),12,31)-DATE(YEAR(D349),1,1)+1))</f>
        <v>22.100286249089368</v>
      </c>
      <c r="K349" s="129">
        <f t="shared" si="210"/>
        <v>29.967274800507163</v>
      </c>
      <c r="L349" s="85">
        <f t="shared" si="220"/>
        <v>122.3</v>
      </c>
      <c r="M349" s="130">
        <f t="shared" si="211"/>
        <v>152.26727480050715</v>
      </c>
      <c r="N349" s="8">
        <f t="shared" si="212"/>
        <v>2104.7721030717735</v>
      </c>
      <c r="O349" s="84">
        <f t="shared" si="213"/>
        <v>1952.5048282712662</v>
      </c>
    </row>
    <row r="350" spans="1:15" x14ac:dyDescent="0.2">
      <c r="A350" s="17" t="s">
        <v>59</v>
      </c>
      <c r="B350" s="81" t="str">
        <f t="shared" si="224"/>
        <v>Q1/2018</v>
      </c>
      <c r="C350" s="82">
        <f t="shared" si="216"/>
        <v>43101</v>
      </c>
      <c r="D350" s="82">
        <f t="shared" si="217"/>
        <v>43190</v>
      </c>
      <c r="E350" s="81">
        <f t="shared" si="214"/>
        <v>90</v>
      </c>
      <c r="F350" s="83">
        <f>VLOOKUP(D350,'FERC Interest Rate'!$A:$B,2,TRUE)</f>
        <v>4.2500000000000003E-2</v>
      </c>
      <c r="G350" s="84">
        <f t="shared" si="215"/>
        <v>1952.5048282712662</v>
      </c>
      <c r="H350" s="84">
        <v>0</v>
      </c>
      <c r="I350" s="109">
        <f t="shared" si="222"/>
        <v>7.8669885514177933</v>
      </c>
      <c r="J350" s="85">
        <f t="shared" ref="J350" si="226">G350*F350*(E350/(DATE(YEAR(D350),12,31)-DATE(YEAR(D350),1,1)+1))</f>
        <v>20.461180734623543</v>
      </c>
      <c r="K350" s="129">
        <f t="shared" ref="K350" si="227">+SUM(I350:J350)</f>
        <v>28.328169286041337</v>
      </c>
      <c r="L350" s="85">
        <f t="shared" si="220"/>
        <v>122.3</v>
      </c>
      <c r="M350" s="130">
        <f t="shared" ref="M350" si="228">+SUM(K350:L350)</f>
        <v>150.62816928604133</v>
      </c>
      <c r="N350" s="8">
        <f t="shared" si="212"/>
        <v>1972.9660090058896</v>
      </c>
      <c r="O350" s="84">
        <f t="shared" si="213"/>
        <v>1822.3378397198485</v>
      </c>
    </row>
    <row r="351" spans="1:15" x14ac:dyDescent="0.2">
      <c r="A351" s="17" t="s">
        <v>60</v>
      </c>
      <c r="B351" s="81" t="str">
        <f t="shared" si="224"/>
        <v>Q2/2018</v>
      </c>
      <c r="C351" s="82">
        <f t="shared" si="216"/>
        <v>43191</v>
      </c>
      <c r="D351" s="82">
        <f t="shared" si="217"/>
        <v>43281</v>
      </c>
      <c r="E351" s="81">
        <f t="shared" si="214"/>
        <v>91</v>
      </c>
      <c r="F351" s="83">
        <f>VLOOKUP(D351,'FERC Interest Rate'!$A:$B,2,TRUE)</f>
        <v>4.4699999999999997E-2</v>
      </c>
      <c r="G351" s="84">
        <f t="shared" si="215"/>
        <v>1822.3378397198485</v>
      </c>
      <c r="H351" s="84">
        <v>0</v>
      </c>
      <c r="I351" s="109">
        <f t="shared" si="222"/>
        <v>7.8669885514177933</v>
      </c>
      <c r="J351" s="85">
        <f t="shared" si="225"/>
        <v>20.308831864735417</v>
      </c>
      <c r="K351" s="129">
        <f t="shared" si="210"/>
        <v>28.175820416153211</v>
      </c>
      <c r="L351" s="85">
        <f t="shared" si="220"/>
        <v>122.3</v>
      </c>
      <c r="M351" s="130">
        <f t="shared" si="211"/>
        <v>150.4758204161532</v>
      </c>
      <c r="N351" s="8">
        <f t="shared" si="212"/>
        <v>1842.6466715845838</v>
      </c>
      <c r="O351" s="84">
        <f t="shared" si="213"/>
        <v>1692.1708511684308</v>
      </c>
    </row>
    <row r="352" spans="1:15" x14ac:dyDescent="0.2">
      <c r="A352" s="17" t="s">
        <v>61</v>
      </c>
      <c r="B352" s="81" t="str">
        <f t="shared" si="224"/>
        <v>Q3/2018</v>
      </c>
      <c r="C352" s="82">
        <f t="shared" si="216"/>
        <v>43282</v>
      </c>
      <c r="D352" s="82">
        <f t="shared" si="217"/>
        <v>43373</v>
      </c>
      <c r="E352" s="81">
        <f t="shared" si="214"/>
        <v>92</v>
      </c>
      <c r="F352" s="83">
        <f>VLOOKUP(D352,'FERC Interest Rate'!$A:$B,2,TRUE)</f>
        <v>5.011111E-2</v>
      </c>
      <c r="G352" s="84">
        <f t="shared" si="215"/>
        <v>1692.1708511684308</v>
      </c>
      <c r="H352" s="84">
        <v>0</v>
      </c>
      <c r="I352" s="109">
        <f t="shared" si="222"/>
        <v>7.8669885514177933</v>
      </c>
      <c r="J352" s="85">
        <f t="shared" si="225"/>
        <v>21.373379421577884</v>
      </c>
      <c r="K352" s="129">
        <f t="shared" si="210"/>
        <v>29.240367972995678</v>
      </c>
      <c r="L352" s="85">
        <f t="shared" si="220"/>
        <v>122.3</v>
      </c>
      <c r="M352" s="130">
        <f t="shared" si="211"/>
        <v>151.54036797299568</v>
      </c>
      <c r="N352" s="8">
        <f t="shared" si="212"/>
        <v>1713.5442305900087</v>
      </c>
      <c r="O352" s="84">
        <f t="shared" si="213"/>
        <v>1562.0038626170131</v>
      </c>
    </row>
    <row r="353" spans="1:15" x14ac:dyDescent="0.2">
      <c r="A353" s="17" t="s">
        <v>62</v>
      </c>
      <c r="B353" s="81" t="str">
        <f t="shared" si="224"/>
        <v>Q4/2018</v>
      </c>
      <c r="C353" s="82">
        <f t="shared" si="216"/>
        <v>43374</v>
      </c>
      <c r="D353" s="82">
        <f t="shared" si="217"/>
        <v>43465</v>
      </c>
      <c r="E353" s="81">
        <f t="shared" si="214"/>
        <v>92</v>
      </c>
      <c r="F353" s="83">
        <f>VLOOKUP(D353,'FERC Interest Rate'!$A:$B,2,TRUE)</f>
        <v>5.2822580000000001E-2</v>
      </c>
      <c r="G353" s="84">
        <f t="shared" si="215"/>
        <v>1562.0038626170131</v>
      </c>
      <c r="H353" s="84">
        <v>0</v>
      </c>
      <c r="I353" s="109">
        <f t="shared" si="222"/>
        <v>7.8669885514177933</v>
      </c>
      <c r="J353" s="85">
        <f t="shared" si="225"/>
        <v>20.796807691486162</v>
      </c>
      <c r="K353" s="129">
        <f t="shared" si="210"/>
        <v>28.663796242903956</v>
      </c>
      <c r="L353" s="85">
        <f t="shared" si="220"/>
        <v>122.3</v>
      </c>
      <c r="M353" s="130">
        <f t="shared" si="211"/>
        <v>150.96379624290395</v>
      </c>
      <c r="N353" s="8">
        <f t="shared" si="212"/>
        <v>1582.8006703084993</v>
      </c>
      <c r="O353" s="84">
        <f t="shared" si="213"/>
        <v>1431.8368740655953</v>
      </c>
    </row>
    <row r="354" spans="1:15" x14ac:dyDescent="0.2">
      <c r="A354" s="17" t="s">
        <v>63</v>
      </c>
      <c r="B354" s="81" t="str">
        <f t="shared" si="224"/>
        <v>Q1/2019</v>
      </c>
      <c r="C354" s="82">
        <f t="shared" si="216"/>
        <v>43466</v>
      </c>
      <c r="D354" s="82">
        <f t="shared" si="217"/>
        <v>43555</v>
      </c>
      <c r="E354" s="81">
        <f t="shared" si="214"/>
        <v>90</v>
      </c>
      <c r="F354" s="83">
        <f>VLOOKUP(D354,'FERC Interest Rate'!$A:$B,2,TRUE)</f>
        <v>5.5296770000000002E-2</v>
      </c>
      <c r="G354" s="84">
        <f t="shared" si="215"/>
        <v>1431.8368740655953</v>
      </c>
      <c r="H354" s="84">
        <v>0</v>
      </c>
      <c r="I354" s="109">
        <f t="shared" si="222"/>
        <v>7.8669885514177933</v>
      </c>
      <c r="J354" s="85">
        <f t="shared" si="225"/>
        <v>19.52283804724706</v>
      </c>
      <c r="K354" s="129">
        <f t="shared" si="210"/>
        <v>27.389826598664854</v>
      </c>
      <c r="L354" s="85">
        <f t="shared" si="220"/>
        <v>122.3</v>
      </c>
      <c r="M354" s="130">
        <f t="shared" si="211"/>
        <v>149.68982659866487</v>
      </c>
      <c r="N354" s="8">
        <f t="shared" si="212"/>
        <v>1451.3597121128423</v>
      </c>
      <c r="O354" s="84">
        <f t="shared" si="213"/>
        <v>1301.6698855141776</v>
      </c>
    </row>
    <row r="355" spans="1:15" x14ac:dyDescent="0.2">
      <c r="A355" s="17" t="s">
        <v>64</v>
      </c>
      <c r="B355" s="81" t="str">
        <f t="shared" si="224"/>
        <v>Q2/2019</v>
      </c>
      <c r="C355" s="82">
        <f t="shared" si="216"/>
        <v>43556</v>
      </c>
      <c r="D355" s="82">
        <f t="shared" si="217"/>
        <v>43646</v>
      </c>
      <c r="E355" s="81">
        <f t="shared" si="214"/>
        <v>91</v>
      </c>
      <c r="F355" s="83">
        <f>VLOOKUP(D355,'FERC Interest Rate'!$A:$B,2,TRUE)</f>
        <v>5.7999999999999996E-2</v>
      </c>
      <c r="G355" s="84">
        <f t="shared" si="215"/>
        <v>1301.6698855141776</v>
      </c>
      <c r="H355" s="84">
        <v>0</v>
      </c>
      <c r="I355" s="109">
        <f t="shared" si="222"/>
        <v>7.8669885514177933</v>
      </c>
      <c r="J355" s="85">
        <f t="shared" si="225"/>
        <v>18.822503166421448</v>
      </c>
      <c r="K355" s="129">
        <f t="shared" si="210"/>
        <v>26.689491717839243</v>
      </c>
      <c r="L355" s="85">
        <f t="shared" si="220"/>
        <v>122.3</v>
      </c>
      <c r="M355" s="130">
        <f t="shared" si="211"/>
        <v>148.98949171783923</v>
      </c>
      <c r="N355" s="8">
        <f t="shared" si="212"/>
        <v>1320.4923886805991</v>
      </c>
      <c r="O355" s="84">
        <f t="shared" si="213"/>
        <v>1171.5028969627599</v>
      </c>
    </row>
    <row r="356" spans="1:15" x14ac:dyDescent="0.2">
      <c r="A356" s="17" t="s">
        <v>65</v>
      </c>
      <c r="B356" s="81" t="str">
        <f t="shared" si="224"/>
        <v>Q3/2019</v>
      </c>
      <c r="C356" s="82">
        <f t="shared" si="216"/>
        <v>43647</v>
      </c>
      <c r="D356" s="82">
        <f t="shared" si="217"/>
        <v>43738</v>
      </c>
      <c r="E356" s="81">
        <f t="shared" si="214"/>
        <v>92</v>
      </c>
      <c r="F356" s="83">
        <f>VLOOKUP(D356,'FERC Interest Rate'!$A:$B,2,TRUE)</f>
        <v>0.06</v>
      </c>
      <c r="G356" s="84">
        <f t="shared" si="215"/>
        <v>1171.5028969627599</v>
      </c>
      <c r="H356" s="84">
        <v>0</v>
      </c>
      <c r="I356" s="109">
        <f t="shared" si="222"/>
        <v>7.8669885514177933</v>
      </c>
      <c r="J356" s="85">
        <f t="shared" si="225"/>
        <v>17.716975318450508</v>
      </c>
      <c r="K356" s="129">
        <f t="shared" si="210"/>
        <v>25.583963869868303</v>
      </c>
      <c r="L356" s="85">
        <f t="shared" si="220"/>
        <v>122.3</v>
      </c>
      <c r="M356" s="130">
        <f t="shared" si="211"/>
        <v>147.8839638698683</v>
      </c>
      <c r="N356" s="8">
        <f t="shared" si="212"/>
        <v>1189.2198722812104</v>
      </c>
      <c r="O356" s="84">
        <f t="shared" si="213"/>
        <v>1041.3359084113422</v>
      </c>
    </row>
    <row r="357" spans="1:15" x14ac:dyDescent="0.2">
      <c r="A357" s="17" t="s">
        <v>66</v>
      </c>
      <c r="B357" s="81" t="str">
        <f t="shared" si="224"/>
        <v>Q4/2019</v>
      </c>
      <c r="C357" s="82">
        <f t="shared" si="216"/>
        <v>43739</v>
      </c>
      <c r="D357" s="82">
        <f t="shared" si="217"/>
        <v>43830</v>
      </c>
      <c r="E357" s="81">
        <f t="shared" si="214"/>
        <v>92</v>
      </c>
      <c r="F357" s="83">
        <f>VLOOKUP(D357,'FERC Interest Rate'!$A:$B,2,TRUE)</f>
        <v>6.0349460000000001E-2</v>
      </c>
      <c r="G357" s="84">
        <f t="shared" si="215"/>
        <v>1041.3359084113422</v>
      </c>
      <c r="H357" s="84">
        <v>0</v>
      </c>
      <c r="I357" s="109">
        <f t="shared" si="222"/>
        <v>7.8669885514177933</v>
      </c>
      <c r="J357" s="85">
        <f t="shared" si="225"/>
        <v>15.840146567434314</v>
      </c>
      <c r="K357" s="129">
        <f t="shared" si="210"/>
        <v>23.707135118852108</v>
      </c>
      <c r="L357" s="85">
        <f t="shared" si="220"/>
        <v>122.3</v>
      </c>
      <c r="M357" s="130">
        <f t="shared" si="211"/>
        <v>146.00713511885209</v>
      </c>
      <c r="N357" s="8">
        <f t="shared" si="212"/>
        <v>1057.1760549787764</v>
      </c>
      <c r="O357" s="84">
        <f t="shared" si="213"/>
        <v>911.16891985992447</v>
      </c>
    </row>
    <row r="358" spans="1:15" x14ac:dyDescent="0.2">
      <c r="A358" s="17" t="s">
        <v>67</v>
      </c>
      <c r="B358" s="81" t="str">
        <f t="shared" si="224"/>
        <v>Q1/2020</v>
      </c>
      <c r="C358" s="82">
        <f t="shared" si="216"/>
        <v>43831</v>
      </c>
      <c r="D358" s="82">
        <f t="shared" si="217"/>
        <v>43921</v>
      </c>
      <c r="E358" s="81">
        <f t="shared" si="214"/>
        <v>91</v>
      </c>
      <c r="F358" s="83">
        <f>VLOOKUP(D358,'FERC Interest Rate'!$A:$B,2,TRUE)</f>
        <v>6.2501040000000008E-2</v>
      </c>
      <c r="G358" s="84">
        <f t="shared" si="215"/>
        <v>911.16891985992447</v>
      </c>
      <c r="H358" s="84">
        <v>0</v>
      </c>
      <c r="I358" s="109">
        <f t="shared" si="222"/>
        <v>7.8669885514177933</v>
      </c>
      <c r="J358" s="85">
        <f t="shared" si="225"/>
        <v>14.159452089425946</v>
      </c>
      <c r="K358" s="129">
        <f t="shared" si="210"/>
        <v>22.026440640843738</v>
      </c>
      <c r="L358" s="85">
        <f t="shared" si="220"/>
        <v>122.3</v>
      </c>
      <c r="M358" s="130">
        <f t="shared" si="211"/>
        <v>144.32644064084374</v>
      </c>
      <c r="N358" s="8">
        <f t="shared" si="212"/>
        <v>925.32837194935041</v>
      </c>
      <c r="O358" s="84">
        <f t="shared" si="213"/>
        <v>781.00193130850676</v>
      </c>
    </row>
    <row r="359" spans="1:15" x14ac:dyDescent="0.2">
      <c r="A359" s="17" t="s">
        <v>68</v>
      </c>
      <c r="B359" s="81" t="str">
        <f t="shared" si="224"/>
        <v>Q2/2020</v>
      </c>
      <c r="C359" s="82">
        <f t="shared" si="216"/>
        <v>43922</v>
      </c>
      <c r="D359" s="82">
        <f t="shared" si="217"/>
        <v>44012</v>
      </c>
      <c r="E359" s="81">
        <f t="shared" si="214"/>
        <v>91</v>
      </c>
      <c r="F359" s="83">
        <f>VLOOKUP(D359,'FERC Interest Rate'!$A:$B,2,TRUE)</f>
        <v>6.3055559999999997E-2</v>
      </c>
      <c r="G359" s="84">
        <f t="shared" si="215"/>
        <v>781.00193130850676</v>
      </c>
      <c r="H359" s="84">
        <v>0</v>
      </c>
      <c r="I359" s="109">
        <f t="shared" si="222"/>
        <v>7.8669885514177933</v>
      </c>
      <c r="J359" s="85">
        <f t="shared" si="225"/>
        <v>12.24435187627401</v>
      </c>
      <c r="K359" s="129">
        <f t="shared" si="210"/>
        <v>20.111340427691804</v>
      </c>
      <c r="L359" s="85">
        <f t="shared" si="220"/>
        <v>122.3</v>
      </c>
      <c r="M359" s="130">
        <f t="shared" si="211"/>
        <v>142.41134042769181</v>
      </c>
      <c r="N359" s="8">
        <f t="shared" si="212"/>
        <v>793.24628318478074</v>
      </c>
      <c r="O359" s="84">
        <f t="shared" si="213"/>
        <v>650.83494275708904</v>
      </c>
    </row>
    <row r="360" spans="1:15" x14ac:dyDescent="0.2">
      <c r="A360" s="17" t="s">
        <v>69</v>
      </c>
      <c r="B360" s="81" t="str">
        <f t="shared" si="224"/>
        <v>Q3/2020</v>
      </c>
      <c r="C360" s="82">
        <f t="shared" si="216"/>
        <v>44013</v>
      </c>
      <c r="D360" s="82">
        <f t="shared" si="217"/>
        <v>44104</v>
      </c>
      <c r="E360" s="81">
        <f t="shared" si="214"/>
        <v>92</v>
      </c>
      <c r="F360" s="83">
        <f>VLOOKUP(D360,'FERC Interest Rate'!$A:$B,2,TRUE)</f>
        <v>6.5000000000000002E-2</v>
      </c>
      <c r="G360" s="84">
        <f t="shared" si="215"/>
        <v>650.83494275708904</v>
      </c>
      <c r="H360" s="84">
        <v>0</v>
      </c>
      <c r="I360" s="109">
        <f t="shared" si="222"/>
        <v>7.8669885514177933</v>
      </c>
      <c r="J360" s="85">
        <f t="shared" si="225"/>
        <v>10.633860540129488</v>
      </c>
      <c r="K360" s="129">
        <f t="shared" si="210"/>
        <v>18.500849091547281</v>
      </c>
      <c r="L360" s="85">
        <f t="shared" si="220"/>
        <v>122.3</v>
      </c>
      <c r="M360" s="130">
        <f t="shared" si="211"/>
        <v>140.80084909154726</v>
      </c>
      <c r="N360" s="8">
        <f t="shared" si="212"/>
        <v>661.46880329721853</v>
      </c>
      <c r="O360" s="84">
        <f t="shared" si="213"/>
        <v>520.66795420567132</v>
      </c>
    </row>
    <row r="361" spans="1:15" x14ac:dyDescent="0.2">
      <c r="A361" s="17" t="s">
        <v>70</v>
      </c>
      <c r="B361" s="81" t="str">
        <f t="shared" si="224"/>
        <v>Q4/2020</v>
      </c>
      <c r="C361" s="82">
        <f t="shared" si="216"/>
        <v>44105</v>
      </c>
      <c r="D361" s="82">
        <f t="shared" si="217"/>
        <v>44196</v>
      </c>
      <c r="E361" s="81">
        <f t="shared" si="214"/>
        <v>92</v>
      </c>
      <c r="F361" s="83">
        <f>VLOOKUP(D361,'FERC Interest Rate'!$A:$B,2,TRUE)</f>
        <v>6.5000000000000002E-2</v>
      </c>
      <c r="G361" s="84">
        <f t="shared" si="215"/>
        <v>520.66795420567132</v>
      </c>
      <c r="H361" s="84">
        <v>0</v>
      </c>
      <c r="I361" s="109">
        <f t="shared" si="222"/>
        <v>7.8669885514177933</v>
      </c>
      <c r="J361" s="85">
        <f t="shared" si="225"/>
        <v>8.5070884321035916</v>
      </c>
      <c r="K361" s="129">
        <f t="shared" si="210"/>
        <v>16.374076983521384</v>
      </c>
      <c r="L361" s="85">
        <f t="shared" si="220"/>
        <v>122.3</v>
      </c>
      <c r="M361" s="130">
        <f t="shared" si="211"/>
        <v>138.67407698352139</v>
      </c>
      <c r="N361" s="8">
        <f t="shared" si="212"/>
        <v>529.17504263777494</v>
      </c>
      <c r="O361" s="84">
        <f t="shared" si="213"/>
        <v>390.50096565425349</v>
      </c>
    </row>
    <row r="362" spans="1:15" x14ac:dyDescent="0.2">
      <c r="A362" s="17" t="s">
        <v>71</v>
      </c>
      <c r="B362" s="81" t="str">
        <f>+IF(MONTH(C362)&lt;4,"Q1",IF(MONTH(C362)&lt;7,"Q2",IF(MONTH(C362)&lt;10,"Q3","Q4")))&amp;"/"&amp;YEAR(C362)</f>
        <v>Q1/2021</v>
      </c>
      <c r="C362" s="82">
        <f t="shared" si="216"/>
        <v>44197</v>
      </c>
      <c r="D362" s="82">
        <f t="shared" si="217"/>
        <v>44286</v>
      </c>
      <c r="E362" s="81">
        <f t="shared" si="214"/>
        <v>90</v>
      </c>
      <c r="F362" s="83">
        <f>VLOOKUP(D362,'FERC Interest Rate'!$A:$B,2,TRUE)</f>
        <v>6.5000000000000002E-2</v>
      </c>
      <c r="G362" s="84">
        <f t="shared" si="215"/>
        <v>390.50096565425349</v>
      </c>
      <c r="H362" s="84">
        <v>0</v>
      </c>
      <c r="I362" s="109">
        <f t="shared" si="222"/>
        <v>7.8669885514177933</v>
      </c>
      <c r="J362" s="85">
        <f t="shared" si="225"/>
        <v>6.2587141070613228</v>
      </c>
      <c r="K362" s="129">
        <f t="shared" si="210"/>
        <v>14.125702658479117</v>
      </c>
      <c r="L362" s="85">
        <f t="shared" si="220"/>
        <v>122.3</v>
      </c>
      <c r="M362" s="130">
        <f t="shared" si="211"/>
        <v>136.42570265847911</v>
      </c>
      <c r="N362" s="8">
        <f t="shared" si="212"/>
        <v>396.75967976131483</v>
      </c>
      <c r="O362" s="84">
        <f t="shared" si="213"/>
        <v>260.33397710283566</v>
      </c>
    </row>
    <row r="363" spans="1:15" x14ac:dyDescent="0.2">
      <c r="A363" s="17" t="s">
        <v>72</v>
      </c>
      <c r="B363" s="81" t="str">
        <f>+IF(MONTH(C363)&lt;4,"Q1",IF(MONTH(C363)&lt;7,"Q2",IF(MONTH(C363)&lt;10,"Q3","Q4")))&amp;"/"&amp;YEAR(C363)</f>
        <v>Q2/2021</v>
      </c>
      <c r="C363" s="82">
        <f t="shared" si="216"/>
        <v>44287</v>
      </c>
      <c r="D363" s="82">
        <f t="shared" si="217"/>
        <v>44377</v>
      </c>
      <c r="E363" s="81">
        <f t="shared" si="214"/>
        <v>91</v>
      </c>
      <c r="F363" s="83">
        <f>VLOOKUP(D363,'FERC Interest Rate'!$A:$B,2,TRUE)</f>
        <v>6.5000000000000002E-2</v>
      </c>
      <c r="G363" s="84">
        <f t="shared" si="215"/>
        <v>260.33397710283566</v>
      </c>
      <c r="H363" s="84">
        <v>0</v>
      </c>
      <c r="I363" s="109">
        <f t="shared" si="222"/>
        <v>7.8669885514177933</v>
      </c>
      <c r="J363" s="85">
        <f t="shared" si="225"/>
        <v>4.218836916611707</v>
      </c>
      <c r="K363" s="129">
        <f t="shared" si="210"/>
        <v>12.085825468029501</v>
      </c>
      <c r="L363" s="85">
        <f t="shared" si="220"/>
        <v>122.3</v>
      </c>
      <c r="M363" s="130">
        <f t="shared" si="211"/>
        <v>134.38582546802951</v>
      </c>
      <c r="N363" s="8">
        <f t="shared" si="212"/>
        <v>264.5528140194474</v>
      </c>
      <c r="O363" s="84">
        <f t="shared" si="213"/>
        <v>130.16698855141786</v>
      </c>
    </row>
    <row r="364" spans="1:15" x14ac:dyDescent="0.2">
      <c r="A364" s="17" t="s">
        <v>73</v>
      </c>
      <c r="B364" s="81" t="str">
        <f>+IF(MONTH(C364)&lt;4,"Q1",IF(MONTH(C364)&lt;7,"Q2",IF(MONTH(C364)&lt;10,"Q3","Q4")))&amp;"/"&amp;YEAR(C364)</f>
        <v>Q3/2021</v>
      </c>
      <c r="C364" s="82">
        <f t="shared" si="216"/>
        <v>44378</v>
      </c>
      <c r="D364" s="82">
        <f t="shared" si="217"/>
        <v>44469</v>
      </c>
      <c r="E364" s="81">
        <f t="shared" si="214"/>
        <v>92</v>
      </c>
      <c r="F364" s="83">
        <f>VLOOKUP(D364,'FERC Interest Rate'!$A:$B,2,TRUE)</f>
        <v>6.5000000000000002E-2</v>
      </c>
      <c r="G364" s="84">
        <f t="shared" si="215"/>
        <v>130.16698855141786</v>
      </c>
      <c r="H364" s="84">
        <v>0</v>
      </c>
      <c r="I364" s="109">
        <f t="shared" si="222"/>
        <v>7.8669885514177933</v>
      </c>
      <c r="J364" s="85">
        <f t="shared" si="225"/>
        <v>2.1325988809245997</v>
      </c>
      <c r="K364" s="129">
        <f t="shared" si="210"/>
        <v>9.999587432342393</v>
      </c>
      <c r="L364" s="85">
        <f t="shared" si="220"/>
        <v>122.3</v>
      </c>
      <c r="M364" s="130">
        <f t="shared" si="211"/>
        <v>132.29958743234238</v>
      </c>
      <c r="N364" s="8">
        <f t="shared" si="212"/>
        <v>132.29958743234246</v>
      </c>
      <c r="O364" s="84">
        <f t="shared" si="213"/>
        <v>6.8389738316909643E-14</v>
      </c>
    </row>
    <row r="365" spans="1:15" x14ac:dyDescent="0.2">
      <c r="B365" s="81"/>
      <c r="C365" s="82"/>
      <c r="D365" s="82"/>
      <c r="E365" s="81"/>
      <c r="F365" s="83"/>
      <c r="G365" s="84"/>
      <c r="H365" s="84"/>
      <c r="I365" s="109"/>
      <c r="J365" s="85"/>
      <c r="K365" s="129"/>
      <c r="L365" s="85"/>
      <c r="M365" s="130"/>
      <c r="N365" s="8"/>
      <c r="O365" s="84"/>
    </row>
    <row r="366" spans="1:15" ht="13.5" thickBot="1" x14ac:dyDescent="0.25">
      <c r="A366" s="151"/>
      <c r="B366" s="152"/>
      <c r="C366" s="153"/>
      <c r="D366" s="153"/>
      <c r="E366" s="154"/>
      <c r="F366" s="152"/>
      <c r="G366" s="144">
        <f t="shared" ref="G366:O366" si="229">+SUM(G338:G365)</f>
        <v>44794.946856340284</v>
      </c>
      <c r="H366" s="144">
        <f t="shared" si="229"/>
        <v>157.33977102835587</v>
      </c>
      <c r="I366" s="138">
        <f t="shared" si="229"/>
        <v>157.33977102835584</v>
      </c>
      <c r="J366" s="137">
        <f t="shared" si="229"/>
        <v>300.20067508555047</v>
      </c>
      <c r="K366" s="137">
        <f t="shared" si="229"/>
        <v>457.54044611390628</v>
      </c>
      <c r="L366" s="137">
        <f t="shared" si="229"/>
        <v>2446</v>
      </c>
      <c r="M366" s="139">
        <f t="shared" si="229"/>
        <v>2903.5404461139065</v>
      </c>
      <c r="N366" s="137">
        <f t="shared" si="229"/>
        <v>45252.487302454181</v>
      </c>
      <c r="O366" s="137">
        <f t="shared" si="229"/>
        <v>42348.946856340277</v>
      </c>
    </row>
    <row r="367" spans="1:15" ht="13.5" thickTop="1" x14ac:dyDescent="0.2">
      <c r="B367" s="11"/>
      <c r="C367" s="98"/>
      <c r="D367" s="98"/>
      <c r="E367" s="10"/>
      <c r="F367" s="11"/>
      <c r="G367" s="85"/>
      <c r="H367" s="85"/>
      <c r="I367" s="132"/>
      <c r="J367" s="70"/>
      <c r="K367" s="129"/>
      <c r="L367" s="70"/>
      <c r="M367" s="130"/>
      <c r="N367" s="8"/>
    </row>
    <row r="368" spans="1:15" x14ac:dyDescent="0.2">
      <c r="B368" s="11"/>
      <c r="C368" s="98"/>
      <c r="D368" s="98"/>
      <c r="E368" s="10"/>
      <c r="F368" s="11"/>
      <c r="G368" s="85"/>
      <c r="H368" s="85"/>
      <c r="I368" s="132"/>
      <c r="J368" s="70"/>
      <c r="K368" s="129"/>
      <c r="L368" s="70"/>
      <c r="M368" s="130"/>
      <c r="N368" s="8"/>
    </row>
    <row r="369" spans="1:15" ht="38.25" x14ac:dyDescent="0.2">
      <c r="A369" s="90" t="s">
        <v>53</v>
      </c>
      <c r="B369" s="90" t="s">
        <v>3</v>
      </c>
      <c r="C369" s="90" t="s">
        <v>4</v>
      </c>
      <c r="D369" s="90" t="s">
        <v>5</v>
      </c>
      <c r="E369" s="90" t="s">
        <v>6</v>
      </c>
      <c r="F369" s="90" t="s">
        <v>7</v>
      </c>
      <c r="G369" s="90" t="s">
        <v>93</v>
      </c>
      <c r="H369" s="90" t="s">
        <v>94</v>
      </c>
      <c r="I369" s="105" t="s">
        <v>95</v>
      </c>
      <c r="J369" s="106" t="s">
        <v>96</v>
      </c>
      <c r="K369" s="106" t="s">
        <v>97</v>
      </c>
      <c r="L369" s="106" t="s">
        <v>98</v>
      </c>
      <c r="M369" s="107" t="s">
        <v>99</v>
      </c>
      <c r="N369" s="90" t="s">
        <v>100</v>
      </c>
      <c r="O369" s="90" t="s">
        <v>101</v>
      </c>
    </row>
    <row r="370" spans="1:15" x14ac:dyDescent="0.2">
      <c r="A370" s="309" t="s">
        <v>15</v>
      </c>
      <c r="B370" s="309"/>
      <c r="C370" s="282">
        <f>VLOOKUP(B371,A$1:F$18,2,FALSE)</f>
        <v>42068</v>
      </c>
      <c r="D370" s="282">
        <f>DATE(YEAR(C370),IF(MONTH(C370)&lt;=3,3,IF(MONTH(C370)&lt;=6,6,IF(MONTH(C370)&lt;=9,9,12))),IF(OR(MONTH(C370)&lt;=3,MONTH(C370)&gt;=10),31,30))</f>
        <v>42094</v>
      </c>
      <c r="E370" s="283">
        <f>D370-C370+1</f>
        <v>27</v>
      </c>
      <c r="F370" s="284">
        <f>VLOOKUP(D370,'FERC Interest Rate'!$A:$B,2,TRUE)</f>
        <v>3.2500000000000001E-2</v>
      </c>
      <c r="G370" s="167">
        <f>VLOOKUP(B371,$A$1:$F$22,5,FALSE)</f>
        <v>2274</v>
      </c>
      <c r="H370" s="167">
        <f t="shared" ref="H370:H377" si="230">G370*F370*(E370/(DATE(YEAR(D370),12,31)-DATE(YEAR(D370),1,1)+1))</f>
        <v>5.4669452054794521</v>
      </c>
      <c r="I370" s="291">
        <v>0</v>
      </c>
      <c r="J370" s="286">
        <v>0</v>
      </c>
      <c r="K370" s="288">
        <f>+SUM(I370:J370)</f>
        <v>0</v>
      </c>
      <c r="L370" s="286">
        <v>0</v>
      </c>
      <c r="M370" s="289">
        <f>+SUM(K370:L370)</f>
        <v>0</v>
      </c>
      <c r="N370" s="290">
        <f>+G370+H370+J370</f>
        <v>2279.4669452054795</v>
      </c>
      <c r="O370" s="167">
        <f t="shared" ref="O370:O396" si="231">G370+H370-L370-I370</f>
        <v>2279.4669452054795</v>
      </c>
    </row>
    <row r="371" spans="1:15" x14ac:dyDescent="0.2">
      <c r="A371" s="275" t="s">
        <v>38</v>
      </c>
      <c r="B371" s="276" t="s">
        <v>63</v>
      </c>
      <c r="C371" s="282">
        <f>D370+1</f>
        <v>42095</v>
      </c>
      <c r="D371" s="282">
        <f>EOMONTH(D370,3)</f>
        <v>42185</v>
      </c>
      <c r="E371" s="283">
        <f t="shared" ref="E371:E396" si="232">D371-C371+1</f>
        <v>91</v>
      </c>
      <c r="F371" s="284">
        <f>VLOOKUP(D371,'FERC Interest Rate'!$A:$B,2,TRUE)</f>
        <v>3.2500000000000001E-2</v>
      </c>
      <c r="G371" s="167">
        <f t="shared" ref="G371:G396" si="233">O370</f>
        <v>2279.4669452054795</v>
      </c>
      <c r="H371" s="167">
        <f t="shared" si="230"/>
        <v>18.469927371082754</v>
      </c>
      <c r="I371" s="291">
        <v>0</v>
      </c>
      <c r="J371" s="286">
        <v>0</v>
      </c>
      <c r="K371" s="288">
        <f t="shared" ref="K371:K396" si="234">+SUM(I371:J371)</f>
        <v>0</v>
      </c>
      <c r="L371" s="286">
        <v>0</v>
      </c>
      <c r="M371" s="289">
        <f t="shared" ref="M371:M396" si="235">+SUM(K371:L371)</f>
        <v>0</v>
      </c>
      <c r="N371" s="290">
        <f t="shared" ref="N371:N396" si="236">+G371+H371+J371</f>
        <v>2297.9368725765621</v>
      </c>
      <c r="O371" s="167">
        <f t="shared" si="231"/>
        <v>2297.9368725765621</v>
      </c>
    </row>
    <row r="372" spans="1:15" x14ac:dyDescent="0.2">
      <c r="B372" s="283"/>
      <c r="C372" s="282">
        <f t="shared" ref="C372:C396" si="237">D371+1</f>
        <v>42186</v>
      </c>
      <c r="D372" s="282">
        <f t="shared" ref="D372:D396" si="238">EOMONTH(D371,3)</f>
        <v>42277</v>
      </c>
      <c r="E372" s="283">
        <f t="shared" si="232"/>
        <v>92</v>
      </c>
      <c r="F372" s="284">
        <f>VLOOKUP(D372,'FERC Interest Rate'!$A:$B,2,TRUE)</f>
        <v>3.2500000000000001E-2</v>
      </c>
      <c r="G372" s="167">
        <f t="shared" si="233"/>
        <v>2297.9368725765621</v>
      </c>
      <c r="H372" s="167">
        <f t="shared" si="230"/>
        <v>18.82419520275047</v>
      </c>
      <c r="I372" s="291">
        <v>0</v>
      </c>
      <c r="J372" s="286">
        <v>0</v>
      </c>
      <c r="K372" s="288">
        <f t="shared" si="234"/>
        <v>0</v>
      </c>
      <c r="L372" s="286">
        <v>0</v>
      </c>
      <c r="M372" s="289">
        <f t="shared" si="235"/>
        <v>0</v>
      </c>
      <c r="N372" s="290">
        <f t="shared" si="236"/>
        <v>2316.7610677793127</v>
      </c>
      <c r="O372" s="167">
        <f t="shared" si="231"/>
        <v>2316.7610677793127</v>
      </c>
    </row>
    <row r="373" spans="1:15" x14ac:dyDescent="0.2">
      <c r="B373" s="283"/>
      <c r="C373" s="282">
        <f t="shared" si="237"/>
        <v>42278</v>
      </c>
      <c r="D373" s="282">
        <f t="shared" si="238"/>
        <v>42369</v>
      </c>
      <c r="E373" s="283">
        <f t="shared" si="232"/>
        <v>92</v>
      </c>
      <c r="F373" s="284">
        <f>VLOOKUP(D373,'FERC Interest Rate'!$A:$B,2,TRUE)</f>
        <v>3.2500000000000001E-2</v>
      </c>
      <c r="G373" s="167">
        <f t="shared" si="233"/>
        <v>2316.7610677793127</v>
      </c>
      <c r="H373" s="167">
        <f t="shared" si="230"/>
        <v>18.978398884000399</v>
      </c>
      <c r="I373" s="291">
        <v>0</v>
      </c>
      <c r="J373" s="286">
        <v>0</v>
      </c>
      <c r="K373" s="288">
        <f t="shared" si="234"/>
        <v>0</v>
      </c>
      <c r="L373" s="286">
        <v>0</v>
      </c>
      <c r="M373" s="289">
        <f t="shared" si="235"/>
        <v>0</v>
      </c>
      <c r="N373" s="290">
        <f t="shared" si="236"/>
        <v>2335.7394666633131</v>
      </c>
      <c r="O373" s="167">
        <f t="shared" si="231"/>
        <v>2335.7394666633131</v>
      </c>
    </row>
    <row r="374" spans="1:15" x14ac:dyDescent="0.2">
      <c r="B374" s="283"/>
      <c r="C374" s="282">
        <f t="shared" si="237"/>
        <v>42370</v>
      </c>
      <c r="D374" s="282">
        <f t="shared" si="238"/>
        <v>42460</v>
      </c>
      <c r="E374" s="283">
        <f t="shared" si="232"/>
        <v>91</v>
      </c>
      <c r="F374" s="284">
        <f>VLOOKUP(D374,'FERC Interest Rate'!$A:$B,2,TRUE)</f>
        <v>3.2500000000000001E-2</v>
      </c>
      <c r="G374" s="167">
        <f t="shared" si="233"/>
        <v>2335.7394666633131</v>
      </c>
      <c r="H374" s="167">
        <f t="shared" si="230"/>
        <v>18.874178887040298</v>
      </c>
      <c r="I374" s="291">
        <v>0</v>
      </c>
      <c r="J374" s="286">
        <v>0</v>
      </c>
      <c r="K374" s="288">
        <f t="shared" si="234"/>
        <v>0</v>
      </c>
      <c r="L374" s="286">
        <v>0</v>
      </c>
      <c r="M374" s="289">
        <f t="shared" si="235"/>
        <v>0</v>
      </c>
      <c r="N374" s="290">
        <f t="shared" si="236"/>
        <v>2354.6136455503533</v>
      </c>
      <c r="O374" s="167">
        <f t="shared" si="231"/>
        <v>2354.6136455503533</v>
      </c>
    </row>
    <row r="375" spans="1:15" x14ac:dyDescent="0.2">
      <c r="B375" s="283"/>
      <c r="C375" s="282">
        <f t="shared" si="237"/>
        <v>42461</v>
      </c>
      <c r="D375" s="282">
        <f t="shared" si="238"/>
        <v>42551</v>
      </c>
      <c r="E375" s="283">
        <f t="shared" si="232"/>
        <v>91</v>
      </c>
      <c r="F375" s="284">
        <f>VLOOKUP(D375,'FERC Interest Rate'!$A:$B,2,TRUE)</f>
        <v>3.4599999999999999E-2</v>
      </c>
      <c r="G375" s="167">
        <f t="shared" si="233"/>
        <v>2354.6136455503533</v>
      </c>
      <c r="H375" s="167">
        <f t="shared" si="230"/>
        <v>20.256110722349295</v>
      </c>
      <c r="I375" s="291">
        <v>0</v>
      </c>
      <c r="J375" s="286">
        <v>0</v>
      </c>
      <c r="K375" s="288">
        <f t="shared" si="234"/>
        <v>0</v>
      </c>
      <c r="L375" s="286">
        <v>0</v>
      </c>
      <c r="M375" s="289">
        <f t="shared" si="235"/>
        <v>0</v>
      </c>
      <c r="N375" s="290">
        <f t="shared" si="236"/>
        <v>2374.8697562727025</v>
      </c>
      <c r="O375" s="167">
        <f t="shared" si="231"/>
        <v>2374.8697562727025</v>
      </c>
    </row>
    <row r="376" spans="1:15" x14ac:dyDescent="0.2">
      <c r="B376" s="283"/>
      <c r="C376" s="282">
        <f t="shared" si="237"/>
        <v>42552</v>
      </c>
      <c r="D376" s="282">
        <f t="shared" si="238"/>
        <v>42643</v>
      </c>
      <c r="E376" s="283">
        <f t="shared" si="232"/>
        <v>92</v>
      </c>
      <c r="F376" s="284">
        <f>VLOOKUP(D376,'FERC Interest Rate'!$A:$B,2,TRUE)</f>
        <v>3.5000000000000003E-2</v>
      </c>
      <c r="G376" s="167">
        <f t="shared" si="233"/>
        <v>2374.8697562727025</v>
      </c>
      <c r="H376" s="167">
        <f t="shared" si="230"/>
        <v>20.893662883054926</v>
      </c>
      <c r="I376" s="291">
        <v>0</v>
      </c>
      <c r="J376" s="286">
        <v>0</v>
      </c>
      <c r="K376" s="288">
        <f t="shared" si="234"/>
        <v>0</v>
      </c>
      <c r="L376" s="286">
        <v>0</v>
      </c>
      <c r="M376" s="289">
        <f t="shared" si="235"/>
        <v>0</v>
      </c>
      <c r="N376" s="290">
        <f t="shared" si="236"/>
        <v>2395.7634191557572</v>
      </c>
      <c r="O376" s="167">
        <f t="shared" si="231"/>
        <v>2395.7634191557572</v>
      </c>
    </row>
    <row r="377" spans="1:15" x14ac:dyDescent="0.2">
      <c r="A377" s="17" t="s">
        <v>54</v>
      </c>
      <c r="B377" s="81" t="str">
        <f t="shared" ref="B377:B391" si="239">+IF(MONTH(C377)&lt;4,"Q1",IF(MONTH(C377)&lt;7,"Q2",IF(MONTH(C377)&lt;10,"Q3","Q4")))&amp;"/"&amp;YEAR(C377)</f>
        <v>Q4/2016</v>
      </c>
      <c r="C377" s="82">
        <f t="shared" si="237"/>
        <v>42644</v>
      </c>
      <c r="D377" s="82">
        <f t="shared" si="238"/>
        <v>42735</v>
      </c>
      <c r="E377" s="81">
        <f t="shared" si="232"/>
        <v>92</v>
      </c>
      <c r="F377" s="83">
        <f>VLOOKUP(D377,'FERC Interest Rate'!$A:$B,2,TRUE)</f>
        <v>3.5000000000000003E-2</v>
      </c>
      <c r="G377" s="84">
        <f t="shared" si="233"/>
        <v>2395.7634191557572</v>
      </c>
      <c r="H377" s="167">
        <f t="shared" si="230"/>
        <v>21.07748144721732</v>
      </c>
      <c r="I377" s="173">
        <f t="shared" ref="I377:I396" si="240">(SUM($H$370:$H$397)/20)</f>
        <v>7.1420450301487453</v>
      </c>
      <c r="J377" s="85">
        <v>0</v>
      </c>
      <c r="K377" s="129">
        <f t="shared" ref="K377:K378" si="241">+SUM(I377:J377)</f>
        <v>7.1420450301487453</v>
      </c>
      <c r="L377" s="85">
        <f t="shared" ref="L377:L396" si="242">VLOOKUP($B$371,A$1:F$18,5,FALSE)/20</f>
        <v>113.7</v>
      </c>
      <c r="M377" s="130">
        <f t="shared" ref="M377:M378" si="243">+SUM(K377:L377)</f>
        <v>120.84204503014875</v>
      </c>
      <c r="N377" s="8">
        <f t="shared" si="236"/>
        <v>2416.8409006029747</v>
      </c>
      <c r="O377" s="84">
        <f t="shared" si="231"/>
        <v>2295.998855572826</v>
      </c>
    </row>
    <row r="378" spans="1:15" x14ac:dyDescent="0.2">
      <c r="A378" s="17" t="s">
        <v>55</v>
      </c>
      <c r="B378" s="81" t="str">
        <f t="shared" si="239"/>
        <v>Q1/2017</v>
      </c>
      <c r="C378" s="82">
        <f t="shared" si="237"/>
        <v>42736</v>
      </c>
      <c r="D378" s="82">
        <f t="shared" si="238"/>
        <v>42825</v>
      </c>
      <c r="E378" s="81">
        <f t="shared" si="232"/>
        <v>90</v>
      </c>
      <c r="F378" s="83">
        <f>VLOOKUP(D378,'FERC Interest Rate'!$A:$B,2,TRUE)</f>
        <v>3.5000000000000003E-2</v>
      </c>
      <c r="G378" s="84">
        <f t="shared" si="233"/>
        <v>2295.998855572826</v>
      </c>
      <c r="H378" s="84">
        <v>0</v>
      </c>
      <c r="I378" s="109">
        <f t="shared" si="240"/>
        <v>7.1420450301487453</v>
      </c>
      <c r="J378" s="85">
        <f>G378*F378*(E378/(DATE(YEAR(D378),12,31)-DATE(YEAR(D378),1,1)+1))</f>
        <v>19.814784643984662</v>
      </c>
      <c r="K378" s="129">
        <f t="shared" si="241"/>
        <v>26.956829674133409</v>
      </c>
      <c r="L378" s="85">
        <f t="shared" si="242"/>
        <v>113.7</v>
      </c>
      <c r="M378" s="130">
        <f t="shared" si="243"/>
        <v>140.65682967413341</v>
      </c>
      <c r="N378" s="8">
        <f t="shared" si="236"/>
        <v>2315.8136402168107</v>
      </c>
      <c r="O378" s="84">
        <f t="shared" si="231"/>
        <v>2175.1568105426772</v>
      </c>
    </row>
    <row r="379" spans="1:15" x14ac:dyDescent="0.2">
      <c r="A379" s="17" t="s">
        <v>56</v>
      </c>
      <c r="B379" s="81" t="str">
        <f t="shared" si="239"/>
        <v>Q2/2017</v>
      </c>
      <c r="C379" s="82">
        <f t="shared" si="237"/>
        <v>42826</v>
      </c>
      <c r="D379" s="82">
        <f t="shared" si="238"/>
        <v>42916</v>
      </c>
      <c r="E379" s="81">
        <f t="shared" si="232"/>
        <v>91</v>
      </c>
      <c r="F379" s="83">
        <f>VLOOKUP(D379,'FERC Interest Rate'!$A:$B,2,TRUE)</f>
        <v>3.7100000000000001E-2</v>
      </c>
      <c r="G379" s="84">
        <f t="shared" si="233"/>
        <v>2175.1568105426772</v>
      </c>
      <c r="H379" s="84">
        <v>0</v>
      </c>
      <c r="I379" s="173">
        <f t="shared" si="240"/>
        <v>7.1420450301487453</v>
      </c>
      <c r="J379" s="85">
        <f>G379*F379*(E379/(DATE(YEAR(D379),12,31)-DATE(YEAR(D379),1,1)+1))</f>
        <v>20.119306597460636</v>
      </c>
      <c r="K379" s="129">
        <f t="shared" si="234"/>
        <v>27.261351627609379</v>
      </c>
      <c r="L379" s="85">
        <f t="shared" si="242"/>
        <v>113.7</v>
      </c>
      <c r="M379" s="130">
        <f t="shared" si="235"/>
        <v>140.96135162760939</v>
      </c>
      <c r="N379" s="8">
        <f t="shared" si="236"/>
        <v>2195.276117140138</v>
      </c>
      <c r="O379" s="84">
        <f t="shared" si="231"/>
        <v>2054.3147655125285</v>
      </c>
    </row>
    <row r="380" spans="1:15" x14ac:dyDescent="0.2">
      <c r="A380" s="17" t="s">
        <v>57</v>
      </c>
      <c r="B380" s="81" t="str">
        <f t="shared" si="239"/>
        <v>Q3/2017</v>
      </c>
      <c r="C380" s="82">
        <f t="shared" si="237"/>
        <v>42917</v>
      </c>
      <c r="D380" s="82">
        <f t="shared" si="238"/>
        <v>43008</v>
      </c>
      <c r="E380" s="81">
        <f t="shared" si="232"/>
        <v>92</v>
      </c>
      <c r="F380" s="83">
        <f>VLOOKUP(D380,'FERC Interest Rate'!$A:$B,2,TRUE)</f>
        <v>3.9600000000000003E-2</v>
      </c>
      <c r="G380" s="84">
        <f t="shared" si="233"/>
        <v>2054.3147655125285</v>
      </c>
      <c r="H380" s="84">
        <v>0</v>
      </c>
      <c r="I380" s="109">
        <f t="shared" si="240"/>
        <v>7.1420450301487453</v>
      </c>
      <c r="J380" s="85">
        <f>G380*F380*(E380/(DATE(YEAR(D380),12,31)-DATE(YEAR(D380),1,1)+1))</f>
        <v>20.504875489630809</v>
      </c>
      <c r="K380" s="129">
        <f t="shared" si="234"/>
        <v>27.646920519779556</v>
      </c>
      <c r="L380" s="85">
        <f t="shared" si="242"/>
        <v>113.7</v>
      </c>
      <c r="M380" s="130">
        <f t="shared" si="235"/>
        <v>141.34692051977956</v>
      </c>
      <c r="N380" s="8">
        <f t="shared" si="236"/>
        <v>2074.8196410021592</v>
      </c>
      <c r="O380" s="84">
        <f t="shared" si="231"/>
        <v>1933.4727204823798</v>
      </c>
    </row>
    <row r="381" spans="1:15" x14ac:dyDescent="0.2">
      <c r="A381" s="17" t="s">
        <v>58</v>
      </c>
      <c r="B381" s="81" t="str">
        <f t="shared" si="239"/>
        <v>Q4/2017</v>
      </c>
      <c r="C381" s="82">
        <f t="shared" si="237"/>
        <v>43009</v>
      </c>
      <c r="D381" s="82">
        <f t="shared" si="238"/>
        <v>43100</v>
      </c>
      <c r="E381" s="81">
        <f t="shared" si="232"/>
        <v>92</v>
      </c>
      <c r="F381" s="83">
        <f>VLOOKUP(D381,'FERC Interest Rate'!$A:$B,2,TRUE)</f>
        <v>4.2099999999999999E-2</v>
      </c>
      <c r="G381" s="84">
        <f t="shared" si="233"/>
        <v>1933.4727204823798</v>
      </c>
      <c r="H381" s="84">
        <v>0</v>
      </c>
      <c r="I381" s="109">
        <f t="shared" si="240"/>
        <v>7.1420450301487453</v>
      </c>
      <c r="J381" s="85">
        <f t="shared" ref="J381:J396" si="244">G381*F381*(E381/(DATE(YEAR(D381),12,31)-DATE(YEAR(D381),1,1)+1))</f>
        <v>20.517059016362612</v>
      </c>
      <c r="K381" s="129">
        <f t="shared" si="234"/>
        <v>27.659104046511359</v>
      </c>
      <c r="L381" s="85">
        <f t="shared" si="242"/>
        <v>113.7</v>
      </c>
      <c r="M381" s="130">
        <f t="shared" si="235"/>
        <v>141.35910404651136</v>
      </c>
      <c r="N381" s="8">
        <f t="shared" si="236"/>
        <v>1953.9897794987423</v>
      </c>
      <c r="O381" s="84">
        <f t="shared" si="231"/>
        <v>1812.6306754522311</v>
      </c>
    </row>
    <row r="382" spans="1:15" x14ac:dyDescent="0.2">
      <c r="A382" s="17" t="s">
        <v>59</v>
      </c>
      <c r="B382" s="81" t="str">
        <f t="shared" si="239"/>
        <v>Q1/2018</v>
      </c>
      <c r="C382" s="82">
        <f t="shared" si="237"/>
        <v>43101</v>
      </c>
      <c r="D382" s="82">
        <f t="shared" si="238"/>
        <v>43190</v>
      </c>
      <c r="E382" s="81">
        <f t="shared" si="232"/>
        <v>90</v>
      </c>
      <c r="F382" s="83">
        <f>VLOOKUP(D382,'FERC Interest Rate'!$A:$B,2,TRUE)</f>
        <v>4.2500000000000003E-2</v>
      </c>
      <c r="G382" s="84">
        <f t="shared" si="233"/>
        <v>1812.6306754522311</v>
      </c>
      <c r="H382" s="84">
        <v>0</v>
      </c>
      <c r="I382" s="109">
        <f t="shared" si="240"/>
        <v>7.1420450301487453</v>
      </c>
      <c r="J382" s="85">
        <f t="shared" si="244"/>
        <v>18.995376256451461</v>
      </c>
      <c r="K382" s="129">
        <f t="shared" si="234"/>
        <v>26.137421286600208</v>
      </c>
      <c r="L382" s="85">
        <f t="shared" si="242"/>
        <v>113.7</v>
      </c>
      <c r="M382" s="130">
        <f t="shared" si="235"/>
        <v>139.8374212866002</v>
      </c>
      <c r="N382" s="8">
        <f t="shared" si="236"/>
        <v>1831.6260517086826</v>
      </c>
      <c r="O382" s="84">
        <f t="shared" si="231"/>
        <v>1691.7886304220824</v>
      </c>
    </row>
    <row r="383" spans="1:15" x14ac:dyDescent="0.2">
      <c r="A383" s="17" t="s">
        <v>60</v>
      </c>
      <c r="B383" s="81" t="str">
        <f t="shared" si="239"/>
        <v>Q2/2018</v>
      </c>
      <c r="C383" s="82">
        <f t="shared" si="237"/>
        <v>43191</v>
      </c>
      <c r="D383" s="82">
        <f t="shared" si="238"/>
        <v>43281</v>
      </c>
      <c r="E383" s="81">
        <f t="shared" si="232"/>
        <v>91</v>
      </c>
      <c r="F383" s="83">
        <f>VLOOKUP(D383,'FERC Interest Rate'!$A:$B,2,TRUE)</f>
        <v>4.4699999999999997E-2</v>
      </c>
      <c r="G383" s="84">
        <f t="shared" si="233"/>
        <v>1691.7886304220824</v>
      </c>
      <c r="H383" s="84">
        <v>0</v>
      </c>
      <c r="I383" s="109">
        <f t="shared" si="240"/>
        <v>7.1420450301487453</v>
      </c>
      <c r="J383" s="85">
        <f t="shared" si="244"/>
        <v>18.853941402651792</v>
      </c>
      <c r="K383" s="129">
        <f t="shared" si="234"/>
        <v>25.995986432800535</v>
      </c>
      <c r="L383" s="85">
        <f t="shared" si="242"/>
        <v>113.7</v>
      </c>
      <c r="M383" s="130">
        <f t="shared" si="235"/>
        <v>139.69598643280054</v>
      </c>
      <c r="N383" s="8">
        <f t="shared" si="236"/>
        <v>1710.6425718247342</v>
      </c>
      <c r="O383" s="84">
        <f t="shared" si="231"/>
        <v>1570.9465853919337</v>
      </c>
    </row>
    <row r="384" spans="1:15" x14ac:dyDescent="0.2">
      <c r="A384" s="17" t="s">
        <v>61</v>
      </c>
      <c r="B384" s="81" t="str">
        <f t="shared" si="239"/>
        <v>Q3/2018</v>
      </c>
      <c r="C384" s="82">
        <f t="shared" si="237"/>
        <v>43282</v>
      </c>
      <c r="D384" s="82">
        <f t="shared" si="238"/>
        <v>43373</v>
      </c>
      <c r="E384" s="81">
        <f t="shared" si="232"/>
        <v>92</v>
      </c>
      <c r="F384" s="83">
        <f>VLOOKUP(D384,'FERC Interest Rate'!$A:$B,2,TRUE)</f>
        <v>5.011111E-2</v>
      </c>
      <c r="G384" s="84">
        <f t="shared" si="233"/>
        <v>1570.9465853919337</v>
      </c>
      <c r="H384" s="84">
        <v>0</v>
      </c>
      <c r="I384" s="109">
        <f t="shared" si="240"/>
        <v>7.1420450301487453</v>
      </c>
      <c r="J384" s="85">
        <f t="shared" si="244"/>
        <v>19.842226567979075</v>
      </c>
      <c r="K384" s="129">
        <f t="shared" si="234"/>
        <v>26.984271598127819</v>
      </c>
      <c r="L384" s="85">
        <f t="shared" si="242"/>
        <v>113.7</v>
      </c>
      <c r="M384" s="130">
        <f t="shared" si="235"/>
        <v>140.68427159812782</v>
      </c>
      <c r="N384" s="8">
        <f t="shared" si="236"/>
        <v>1590.7888119599127</v>
      </c>
      <c r="O384" s="84">
        <f t="shared" si="231"/>
        <v>1450.104540361785</v>
      </c>
    </row>
    <row r="385" spans="1:15" x14ac:dyDescent="0.2">
      <c r="A385" s="17" t="s">
        <v>62</v>
      </c>
      <c r="B385" s="81" t="str">
        <f t="shared" si="239"/>
        <v>Q4/2018</v>
      </c>
      <c r="C385" s="82">
        <f t="shared" si="237"/>
        <v>43374</v>
      </c>
      <c r="D385" s="82">
        <f t="shared" si="238"/>
        <v>43465</v>
      </c>
      <c r="E385" s="81">
        <f t="shared" si="232"/>
        <v>92</v>
      </c>
      <c r="F385" s="83">
        <f>VLOOKUP(D385,'FERC Interest Rate'!$A:$B,2,TRUE)</f>
        <v>5.2822580000000001E-2</v>
      </c>
      <c r="G385" s="84">
        <f t="shared" si="233"/>
        <v>1450.104540361785</v>
      </c>
      <c r="H385" s="84">
        <v>0</v>
      </c>
      <c r="I385" s="109">
        <f t="shared" si="240"/>
        <v>7.1420450301487453</v>
      </c>
      <c r="J385" s="85">
        <f t="shared" si="244"/>
        <v>19.306959464190065</v>
      </c>
      <c r="K385" s="129">
        <f t="shared" si="234"/>
        <v>26.449004494338809</v>
      </c>
      <c r="L385" s="85">
        <f t="shared" si="242"/>
        <v>113.7</v>
      </c>
      <c r="M385" s="130">
        <f t="shared" si="235"/>
        <v>140.14900449433881</v>
      </c>
      <c r="N385" s="8">
        <f t="shared" si="236"/>
        <v>1469.4114998259749</v>
      </c>
      <c r="O385" s="84">
        <f t="shared" si="231"/>
        <v>1329.2624953316363</v>
      </c>
    </row>
    <row r="386" spans="1:15" x14ac:dyDescent="0.2">
      <c r="A386" s="17" t="s">
        <v>63</v>
      </c>
      <c r="B386" s="81" t="str">
        <f t="shared" si="239"/>
        <v>Q1/2019</v>
      </c>
      <c r="C386" s="82">
        <f t="shared" si="237"/>
        <v>43466</v>
      </c>
      <c r="D386" s="82">
        <f t="shared" si="238"/>
        <v>43555</v>
      </c>
      <c r="E386" s="81">
        <f t="shared" si="232"/>
        <v>90</v>
      </c>
      <c r="F386" s="83">
        <f>VLOOKUP(D386,'FERC Interest Rate'!$A:$B,2,TRUE)</f>
        <v>5.5296770000000002E-2</v>
      </c>
      <c r="G386" s="84">
        <f t="shared" si="233"/>
        <v>1329.2624953316363</v>
      </c>
      <c r="H386" s="84">
        <v>0</v>
      </c>
      <c r="I386" s="109">
        <f t="shared" si="240"/>
        <v>7.1420450301487453</v>
      </c>
      <c r="J386" s="85">
        <f t="shared" si="244"/>
        <v>18.124254856597702</v>
      </c>
      <c r="K386" s="129">
        <f t="shared" si="234"/>
        <v>25.266299886746445</v>
      </c>
      <c r="L386" s="85">
        <f t="shared" si="242"/>
        <v>113.7</v>
      </c>
      <c r="M386" s="130">
        <f t="shared" si="235"/>
        <v>138.96629988674644</v>
      </c>
      <c r="N386" s="8">
        <f t="shared" si="236"/>
        <v>1347.3867501882339</v>
      </c>
      <c r="O386" s="84">
        <f t="shared" si="231"/>
        <v>1208.4204503014876</v>
      </c>
    </row>
    <row r="387" spans="1:15" x14ac:dyDescent="0.2">
      <c r="A387" s="17" t="s">
        <v>64</v>
      </c>
      <c r="B387" s="81" t="str">
        <f t="shared" si="239"/>
        <v>Q2/2019</v>
      </c>
      <c r="C387" s="82">
        <f t="shared" si="237"/>
        <v>43556</v>
      </c>
      <c r="D387" s="82">
        <f t="shared" si="238"/>
        <v>43646</v>
      </c>
      <c r="E387" s="81">
        <f t="shared" si="232"/>
        <v>91</v>
      </c>
      <c r="F387" s="83">
        <f>VLOOKUP(D387,'FERC Interest Rate'!$A:$B,2,TRUE)</f>
        <v>5.7999999999999996E-2</v>
      </c>
      <c r="G387" s="84">
        <f t="shared" si="233"/>
        <v>1208.4204503014876</v>
      </c>
      <c r="H387" s="84">
        <v>0</v>
      </c>
      <c r="I387" s="109">
        <f t="shared" si="240"/>
        <v>7.1420450301487453</v>
      </c>
      <c r="J387" s="85">
        <f t="shared" si="244"/>
        <v>17.474090785455484</v>
      </c>
      <c r="K387" s="129">
        <f t="shared" si="234"/>
        <v>24.616135815604231</v>
      </c>
      <c r="L387" s="85">
        <f t="shared" si="242"/>
        <v>113.7</v>
      </c>
      <c r="M387" s="130">
        <f t="shared" si="235"/>
        <v>138.31613581560424</v>
      </c>
      <c r="N387" s="8">
        <f t="shared" si="236"/>
        <v>1225.894541086943</v>
      </c>
      <c r="O387" s="84">
        <f t="shared" si="231"/>
        <v>1087.5784052713389</v>
      </c>
    </row>
    <row r="388" spans="1:15" x14ac:dyDescent="0.2">
      <c r="A388" s="17" t="s">
        <v>65</v>
      </c>
      <c r="B388" s="81" t="str">
        <f t="shared" si="239"/>
        <v>Q3/2019</v>
      </c>
      <c r="C388" s="82">
        <f t="shared" si="237"/>
        <v>43647</v>
      </c>
      <c r="D388" s="82">
        <f t="shared" si="238"/>
        <v>43738</v>
      </c>
      <c r="E388" s="81">
        <f t="shared" si="232"/>
        <v>92</v>
      </c>
      <c r="F388" s="83">
        <f>VLOOKUP(D388,'FERC Interest Rate'!$A:$B,2,TRUE)</f>
        <v>0.06</v>
      </c>
      <c r="G388" s="84">
        <f t="shared" si="233"/>
        <v>1087.5784052713389</v>
      </c>
      <c r="H388" s="84">
        <v>0</v>
      </c>
      <c r="I388" s="109">
        <f t="shared" si="240"/>
        <v>7.1420450301487453</v>
      </c>
      <c r="J388" s="85">
        <f t="shared" si="244"/>
        <v>16.447761087939153</v>
      </c>
      <c r="K388" s="129">
        <f t="shared" si="234"/>
        <v>23.5898061180879</v>
      </c>
      <c r="L388" s="85">
        <f t="shared" si="242"/>
        <v>113.7</v>
      </c>
      <c r="M388" s="130">
        <f t="shared" si="235"/>
        <v>137.28980611808791</v>
      </c>
      <c r="N388" s="8">
        <f t="shared" si="236"/>
        <v>1104.026166359278</v>
      </c>
      <c r="O388" s="84">
        <f t="shared" si="231"/>
        <v>966.73636024119003</v>
      </c>
    </row>
    <row r="389" spans="1:15" x14ac:dyDescent="0.2">
      <c r="A389" s="17" t="s">
        <v>66</v>
      </c>
      <c r="B389" s="81" t="str">
        <f t="shared" si="239"/>
        <v>Q4/2019</v>
      </c>
      <c r="C389" s="82">
        <f t="shared" si="237"/>
        <v>43739</v>
      </c>
      <c r="D389" s="82">
        <f t="shared" si="238"/>
        <v>43830</v>
      </c>
      <c r="E389" s="81">
        <f t="shared" si="232"/>
        <v>92</v>
      </c>
      <c r="F389" s="83">
        <f>VLOOKUP(D389,'FERC Interest Rate'!$A:$B,2,TRUE)</f>
        <v>6.0349460000000001E-2</v>
      </c>
      <c r="G389" s="84">
        <f t="shared" si="233"/>
        <v>966.73636024119003</v>
      </c>
      <c r="H389" s="84">
        <v>0</v>
      </c>
      <c r="I389" s="109">
        <f t="shared" si="240"/>
        <v>7.1420450301487453</v>
      </c>
      <c r="J389" s="85">
        <f t="shared" si="244"/>
        <v>14.705385183202081</v>
      </c>
      <c r="K389" s="129">
        <f t="shared" si="234"/>
        <v>21.847430213350826</v>
      </c>
      <c r="L389" s="85">
        <f t="shared" si="242"/>
        <v>113.7</v>
      </c>
      <c r="M389" s="130">
        <f t="shared" si="235"/>
        <v>135.54743021335082</v>
      </c>
      <c r="N389" s="8">
        <f t="shared" si="236"/>
        <v>981.44174542439214</v>
      </c>
      <c r="O389" s="84">
        <f t="shared" si="231"/>
        <v>845.8943152110412</v>
      </c>
    </row>
    <row r="390" spans="1:15" x14ac:dyDescent="0.2">
      <c r="A390" s="17" t="s">
        <v>67</v>
      </c>
      <c r="B390" s="81" t="str">
        <f t="shared" si="239"/>
        <v>Q1/2020</v>
      </c>
      <c r="C390" s="82">
        <f t="shared" si="237"/>
        <v>43831</v>
      </c>
      <c r="D390" s="82">
        <f t="shared" si="238"/>
        <v>43921</v>
      </c>
      <c r="E390" s="81">
        <f t="shared" si="232"/>
        <v>91</v>
      </c>
      <c r="F390" s="83">
        <f>VLOOKUP(D390,'FERC Interest Rate'!$A:$B,2,TRUE)</f>
        <v>6.2501040000000008E-2</v>
      </c>
      <c r="G390" s="84">
        <f t="shared" si="233"/>
        <v>845.8943152110412</v>
      </c>
      <c r="H390" s="84">
        <v>0</v>
      </c>
      <c r="I390" s="109">
        <f t="shared" si="240"/>
        <v>7.1420450301487453</v>
      </c>
      <c r="J390" s="85">
        <f t="shared" si="244"/>
        <v>13.145092822952975</v>
      </c>
      <c r="K390" s="129">
        <f t="shared" si="234"/>
        <v>20.287137853101719</v>
      </c>
      <c r="L390" s="85">
        <f t="shared" si="242"/>
        <v>113.7</v>
      </c>
      <c r="M390" s="130">
        <f t="shared" si="235"/>
        <v>133.98713785310173</v>
      </c>
      <c r="N390" s="8">
        <f t="shared" si="236"/>
        <v>859.03940803399416</v>
      </c>
      <c r="O390" s="84">
        <f t="shared" si="231"/>
        <v>725.05227018089238</v>
      </c>
    </row>
    <row r="391" spans="1:15" x14ac:dyDescent="0.2">
      <c r="A391" s="17" t="s">
        <v>68</v>
      </c>
      <c r="B391" s="81" t="str">
        <f t="shared" si="239"/>
        <v>Q2/2020</v>
      </c>
      <c r="C391" s="82">
        <f t="shared" si="237"/>
        <v>43922</v>
      </c>
      <c r="D391" s="82">
        <f t="shared" si="238"/>
        <v>44012</v>
      </c>
      <c r="E391" s="81">
        <f t="shared" si="232"/>
        <v>91</v>
      </c>
      <c r="F391" s="83">
        <f>VLOOKUP(D391,'FERC Interest Rate'!$A:$B,2,TRUE)</f>
        <v>6.3055559999999997E-2</v>
      </c>
      <c r="G391" s="84">
        <f t="shared" si="233"/>
        <v>725.05227018089238</v>
      </c>
      <c r="H391" s="84">
        <v>0</v>
      </c>
      <c r="I391" s="109">
        <f t="shared" si="240"/>
        <v>7.1420450301487453</v>
      </c>
      <c r="J391" s="85">
        <f t="shared" si="244"/>
        <v>11.367187159079233</v>
      </c>
      <c r="K391" s="129">
        <f t="shared" si="234"/>
        <v>18.50923218922798</v>
      </c>
      <c r="L391" s="85">
        <f t="shared" si="242"/>
        <v>113.7</v>
      </c>
      <c r="M391" s="130">
        <f t="shared" si="235"/>
        <v>132.20923218922798</v>
      </c>
      <c r="N391" s="8">
        <f t="shared" si="236"/>
        <v>736.41945733997159</v>
      </c>
      <c r="O391" s="84">
        <f t="shared" si="231"/>
        <v>604.21022515074355</v>
      </c>
    </row>
    <row r="392" spans="1:15" x14ac:dyDescent="0.2">
      <c r="A392" s="17" t="s">
        <v>69</v>
      </c>
      <c r="B392" s="81" t="str">
        <f>+IF(MONTH(C392)&lt;4,"Q1",IF(MONTH(C392)&lt;7,"Q2",IF(MONTH(C392)&lt;10,"Q3","Q4")))&amp;"/"&amp;YEAR(C392)</f>
        <v>Q3/2020</v>
      </c>
      <c r="C392" s="82">
        <f t="shared" si="237"/>
        <v>44013</v>
      </c>
      <c r="D392" s="82">
        <f t="shared" si="238"/>
        <v>44104</v>
      </c>
      <c r="E392" s="81">
        <f t="shared" si="232"/>
        <v>92</v>
      </c>
      <c r="F392" s="83">
        <f>VLOOKUP(D392,'FERC Interest Rate'!$A:$B,2,TRUE)</f>
        <v>6.5000000000000002E-2</v>
      </c>
      <c r="G392" s="84">
        <f t="shared" si="233"/>
        <v>604.21022515074355</v>
      </c>
      <c r="H392" s="84">
        <v>0</v>
      </c>
      <c r="I392" s="109">
        <f t="shared" si="240"/>
        <v>7.1420450301487453</v>
      </c>
      <c r="J392" s="85">
        <f t="shared" si="244"/>
        <v>9.8720687060148808</v>
      </c>
      <c r="K392" s="129">
        <f t="shared" si="234"/>
        <v>17.014113736163626</v>
      </c>
      <c r="L392" s="85">
        <f t="shared" si="242"/>
        <v>113.7</v>
      </c>
      <c r="M392" s="130">
        <f t="shared" si="235"/>
        <v>130.71411373616363</v>
      </c>
      <c r="N392" s="8">
        <f t="shared" si="236"/>
        <v>614.08229385675838</v>
      </c>
      <c r="O392" s="84">
        <f t="shared" si="231"/>
        <v>483.36818012059484</v>
      </c>
    </row>
    <row r="393" spans="1:15" x14ac:dyDescent="0.2">
      <c r="A393" s="17" t="s">
        <v>70</v>
      </c>
      <c r="B393" s="81" t="str">
        <f>+IF(MONTH(C393)&lt;4,"Q1",IF(MONTH(C393)&lt;7,"Q2",IF(MONTH(C393)&lt;10,"Q3","Q4")))&amp;"/"&amp;YEAR(C393)</f>
        <v>Q4/2020</v>
      </c>
      <c r="C393" s="82">
        <f t="shared" si="237"/>
        <v>44105</v>
      </c>
      <c r="D393" s="82">
        <f t="shared" si="238"/>
        <v>44196</v>
      </c>
      <c r="E393" s="81">
        <f t="shared" si="232"/>
        <v>92</v>
      </c>
      <c r="F393" s="83">
        <f>VLOOKUP(D393,'FERC Interest Rate'!$A:$B,2,TRUE)</f>
        <v>6.5000000000000002E-2</v>
      </c>
      <c r="G393" s="84">
        <f t="shared" si="233"/>
        <v>483.36818012059484</v>
      </c>
      <c r="H393" s="84">
        <v>0</v>
      </c>
      <c r="I393" s="109">
        <f t="shared" si="240"/>
        <v>7.1420450301487453</v>
      </c>
      <c r="J393" s="85">
        <f t="shared" si="244"/>
        <v>7.8976549648119052</v>
      </c>
      <c r="K393" s="129">
        <f t="shared" si="234"/>
        <v>15.03969999496065</v>
      </c>
      <c r="L393" s="85">
        <f t="shared" si="242"/>
        <v>113.7</v>
      </c>
      <c r="M393" s="130">
        <f t="shared" si="235"/>
        <v>128.73969999496066</v>
      </c>
      <c r="N393" s="8">
        <f t="shared" si="236"/>
        <v>491.26583508540676</v>
      </c>
      <c r="O393" s="84">
        <f t="shared" si="231"/>
        <v>362.52613509044613</v>
      </c>
    </row>
    <row r="394" spans="1:15" x14ac:dyDescent="0.2">
      <c r="A394" s="17" t="s">
        <v>71</v>
      </c>
      <c r="B394" s="81" t="str">
        <f>+IF(MONTH(C394)&lt;4,"Q1",IF(MONTH(C394)&lt;7,"Q2",IF(MONTH(C394)&lt;10,"Q3","Q4")))&amp;"/"&amp;YEAR(C394)</f>
        <v>Q1/2021</v>
      </c>
      <c r="C394" s="82">
        <f t="shared" si="237"/>
        <v>44197</v>
      </c>
      <c r="D394" s="82">
        <f t="shared" si="238"/>
        <v>44286</v>
      </c>
      <c r="E394" s="81">
        <f t="shared" si="232"/>
        <v>90</v>
      </c>
      <c r="F394" s="83">
        <f>VLOOKUP(D394,'FERC Interest Rate'!$A:$B,2,TRUE)</f>
        <v>6.5000000000000002E-2</v>
      </c>
      <c r="G394" s="84">
        <f t="shared" si="233"/>
        <v>362.52613509044613</v>
      </c>
      <c r="H394" s="84">
        <v>0</v>
      </c>
      <c r="I394" s="109">
        <f t="shared" si="240"/>
        <v>7.1420450301487453</v>
      </c>
      <c r="J394" s="85">
        <f t="shared" si="244"/>
        <v>5.8103503843263287</v>
      </c>
      <c r="K394" s="129">
        <f t="shared" si="234"/>
        <v>12.952395414475074</v>
      </c>
      <c r="L394" s="85">
        <f t="shared" si="242"/>
        <v>113.7</v>
      </c>
      <c r="M394" s="130">
        <f t="shared" si="235"/>
        <v>126.65239541447508</v>
      </c>
      <c r="N394" s="8">
        <f t="shared" si="236"/>
        <v>368.33648547477247</v>
      </c>
      <c r="O394" s="84">
        <f t="shared" si="231"/>
        <v>241.68409006029739</v>
      </c>
    </row>
    <row r="395" spans="1:15" x14ac:dyDescent="0.2">
      <c r="A395" s="17" t="s">
        <v>72</v>
      </c>
      <c r="B395" s="81" t="str">
        <f t="shared" ref="B395:B396" si="245">+IF(MONTH(C395)&lt;4,"Q1",IF(MONTH(C395)&lt;7,"Q2",IF(MONTH(C395)&lt;10,"Q3","Q4")))&amp;"/"&amp;YEAR(C395)</f>
        <v>Q2/2021</v>
      </c>
      <c r="C395" s="82">
        <f t="shared" si="237"/>
        <v>44287</v>
      </c>
      <c r="D395" s="82">
        <f t="shared" si="238"/>
        <v>44377</v>
      </c>
      <c r="E395" s="81">
        <f t="shared" si="232"/>
        <v>91</v>
      </c>
      <c r="F395" s="83">
        <f>VLOOKUP(D395,'FERC Interest Rate'!$A:$B,2,TRUE)</f>
        <v>6.5000000000000002E-2</v>
      </c>
      <c r="G395" s="84">
        <f t="shared" si="233"/>
        <v>241.68409006029739</v>
      </c>
      <c r="H395" s="84">
        <v>0</v>
      </c>
      <c r="I395" s="109">
        <f t="shared" si="240"/>
        <v>7.1420450301487453</v>
      </c>
      <c r="J395" s="85">
        <f t="shared" si="244"/>
        <v>3.9166065553607101</v>
      </c>
      <c r="K395" s="129">
        <f t="shared" si="234"/>
        <v>11.058651585509455</v>
      </c>
      <c r="L395" s="85">
        <f t="shared" si="242"/>
        <v>113.7</v>
      </c>
      <c r="M395" s="130">
        <f t="shared" si="235"/>
        <v>124.75865158550945</v>
      </c>
      <c r="N395" s="8">
        <f t="shared" si="236"/>
        <v>245.60069661565811</v>
      </c>
      <c r="O395" s="84">
        <f t="shared" si="231"/>
        <v>120.84204503014864</v>
      </c>
    </row>
    <row r="396" spans="1:15" x14ac:dyDescent="0.2">
      <c r="A396" s="17" t="s">
        <v>73</v>
      </c>
      <c r="B396" s="81" t="str">
        <f t="shared" si="245"/>
        <v>Q3/2021</v>
      </c>
      <c r="C396" s="82">
        <f t="shared" si="237"/>
        <v>44378</v>
      </c>
      <c r="D396" s="82">
        <f t="shared" si="238"/>
        <v>44469</v>
      </c>
      <c r="E396" s="81">
        <f t="shared" si="232"/>
        <v>92</v>
      </c>
      <c r="F396" s="83">
        <f>VLOOKUP(D396,'FERC Interest Rate'!$A:$B,2,TRUE)</f>
        <v>6.5000000000000002E-2</v>
      </c>
      <c r="G396" s="84">
        <f t="shared" si="233"/>
        <v>120.84204503014864</v>
      </c>
      <c r="H396" s="84">
        <v>0</v>
      </c>
      <c r="I396" s="109">
        <f t="shared" si="240"/>
        <v>7.1420450301487453</v>
      </c>
      <c r="J396" s="85">
        <f t="shared" si="244"/>
        <v>1.9798230939185999</v>
      </c>
      <c r="K396" s="129">
        <f t="shared" si="234"/>
        <v>9.1218681240673458</v>
      </c>
      <c r="L396" s="85">
        <f t="shared" si="242"/>
        <v>113.7</v>
      </c>
      <c r="M396" s="130">
        <f t="shared" si="235"/>
        <v>122.82186812406735</v>
      </c>
      <c r="N396" s="8">
        <f t="shared" si="236"/>
        <v>122.82186812406724</v>
      </c>
      <c r="O396" s="84">
        <f t="shared" si="231"/>
        <v>-1.0835776720341528E-13</v>
      </c>
    </row>
    <row r="397" spans="1:15" x14ac:dyDescent="0.2">
      <c r="A397" s="96"/>
      <c r="B397" s="81"/>
      <c r="C397" s="82"/>
      <c r="D397" s="82"/>
      <c r="E397" s="81"/>
      <c r="F397" s="83"/>
      <c r="G397" s="84"/>
      <c r="H397" s="84"/>
      <c r="I397" s="109"/>
      <c r="J397" s="85"/>
      <c r="K397" s="129"/>
      <c r="L397" s="85"/>
      <c r="M397" s="130"/>
      <c r="N397" s="8"/>
      <c r="O397" s="84"/>
    </row>
    <row r="398" spans="1:15" ht="13.5" thickBot="1" x14ac:dyDescent="0.25">
      <c r="A398" s="151"/>
      <c r="B398" s="152"/>
      <c r="C398" s="153"/>
      <c r="D398" s="153"/>
      <c r="E398" s="154"/>
      <c r="F398" s="152"/>
      <c r="G398" s="137">
        <f t="shared" ref="G398:O398" si="246">SUM(G370:G397)</f>
        <v>41589.139728931754</v>
      </c>
      <c r="H398" s="137">
        <f t="shared" si="246"/>
        <v>142.8409006029749</v>
      </c>
      <c r="I398" s="138">
        <f t="shared" si="246"/>
        <v>142.84090060297495</v>
      </c>
      <c r="J398" s="137">
        <f t="shared" si="246"/>
        <v>278.69480503837013</v>
      </c>
      <c r="K398" s="137">
        <f t="shared" si="246"/>
        <v>421.53570564134503</v>
      </c>
      <c r="L398" s="137">
        <f t="shared" si="246"/>
        <v>2274.0000000000005</v>
      </c>
      <c r="M398" s="139">
        <f t="shared" si="246"/>
        <v>2695.5357056413454</v>
      </c>
      <c r="N398" s="137">
        <f t="shared" si="246"/>
        <v>42010.675434573073</v>
      </c>
      <c r="O398" s="137">
        <f t="shared" si="246"/>
        <v>39315.139728931754</v>
      </c>
    </row>
    <row r="399" spans="1:15" ht="13.5" thickTop="1" x14ac:dyDescent="0.2">
      <c r="B399" s="117"/>
      <c r="C399" s="117"/>
      <c r="D399" s="117"/>
      <c r="E399" s="117"/>
      <c r="F399" s="117"/>
      <c r="G399" s="117"/>
      <c r="H399" s="117"/>
      <c r="I399" s="116"/>
      <c r="J399" s="117"/>
      <c r="K399" s="117"/>
      <c r="L399" s="117"/>
      <c r="M399" s="131"/>
      <c r="O399" s="117"/>
    </row>
    <row r="400" spans="1:15" ht="38.25" x14ac:dyDescent="0.2">
      <c r="A400" s="90" t="s">
        <v>53</v>
      </c>
      <c r="B400" s="90" t="s">
        <v>3</v>
      </c>
      <c r="C400" s="90" t="s">
        <v>4</v>
      </c>
      <c r="D400" s="90" t="s">
        <v>5</v>
      </c>
      <c r="E400" s="90" t="s">
        <v>6</v>
      </c>
      <c r="F400" s="90" t="s">
        <v>7</v>
      </c>
      <c r="G400" s="90" t="s">
        <v>93</v>
      </c>
      <c r="H400" s="90" t="s">
        <v>94</v>
      </c>
      <c r="I400" s="105" t="s">
        <v>95</v>
      </c>
      <c r="J400" s="106" t="s">
        <v>96</v>
      </c>
      <c r="K400" s="106" t="s">
        <v>97</v>
      </c>
      <c r="L400" s="106" t="s">
        <v>98</v>
      </c>
      <c r="M400" s="107" t="s">
        <v>99</v>
      </c>
      <c r="N400" s="90" t="s">
        <v>100</v>
      </c>
      <c r="O400" s="90" t="s">
        <v>101</v>
      </c>
    </row>
    <row r="401" spans="1:15" x14ac:dyDescent="0.2">
      <c r="A401" s="309" t="s">
        <v>15</v>
      </c>
      <c r="B401" s="309"/>
      <c r="C401" s="282">
        <f>VLOOKUP(B402,A$1:F$18,2,FALSE)</f>
        <v>42093</v>
      </c>
      <c r="D401" s="282">
        <f>DATE(YEAR(C401),IF(MONTH(C401)&lt;=3,3,IF(MONTH(C401)&lt;=6,6,IF(MONTH(C401)&lt;=9,9,12))),IF(OR(MONTH(C401)&lt;=3,MONTH(C401)&gt;=10),31,30))</f>
        <v>42094</v>
      </c>
      <c r="E401" s="283">
        <f>D401-C401+1</f>
        <v>2</v>
      </c>
      <c r="F401" s="284">
        <f>VLOOKUP(D401,'FERC Interest Rate'!$A:$B,2,TRUE)</f>
        <v>3.2500000000000001E-2</v>
      </c>
      <c r="G401" s="167">
        <f>VLOOKUP(B402,$A$1:$F$18,5,FALSE)</f>
        <v>2021</v>
      </c>
      <c r="H401" s="167">
        <f t="shared" ref="H401:H408" si="247">G401*F401*(E401/(DATE(YEAR(D401),12,31)-DATE(YEAR(D401),1,1)+1))</f>
        <v>0.35990410958904112</v>
      </c>
      <c r="I401" s="291">
        <v>0</v>
      </c>
      <c r="J401" s="286">
        <v>0</v>
      </c>
      <c r="K401" s="288">
        <f t="shared" ref="K401:K426" si="248">+SUM(I401:J401)</f>
        <v>0</v>
      </c>
      <c r="L401" s="286">
        <v>0</v>
      </c>
      <c r="M401" s="289">
        <f t="shared" ref="M401:M426" si="249">+SUM(K401:L401)</f>
        <v>0</v>
      </c>
      <c r="N401" s="290">
        <f t="shared" ref="N401:N426" si="250">+G401+H401+J401</f>
        <v>2021.359904109589</v>
      </c>
      <c r="O401" s="167">
        <f t="shared" ref="O401:O426" si="251">G401+H401-L401-I401</f>
        <v>2021.359904109589</v>
      </c>
    </row>
    <row r="402" spans="1:15" x14ac:dyDescent="0.2">
      <c r="A402" s="275" t="s">
        <v>38</v>
      </c>
      <c r="B402" s="276" t="s">
        <v>64</v>
      </c>
      <c r="C402" s="282">
        <f>D401+1</f>
        <v>42095</v>
      </c>
      <c r="D402" s="282">
        <f>EOMONTH(D401,3)</f>
        <v>42185</v>
      </c>
      <c r="E402" s="283">
        <f t="shared" ref="E402:E426" si="252">D402-C402+1</f>
        <v>91</v>
      </c>
      <c r="F402" s="284">
        <f>VLOOKUP(D402,'FERC Interest Rate'!$A:$B,2,TRUE)</f>
        <v>3.2500000000000001E-2</v>
      </c>
      <c r="G402" s="167">
        <f t="shared" ref="G402:G426" si="253">O401</f>
        <v>2021.359904109589</v>
      </c>
      <c r="H402" s="167">
        <f t="shared" si="247"/>
        <v>16.378553195627699</v>
      </c>
      <c r="I402" s="291">
        <v>0</v>
      </c>
      <c r="J402" s="286">
        <v>0</v>
      </c>
      <c r="K402" s="288">
        <f t="shared" si="248"/>
        <v>0</v>
      </c>
      <c r="L402" s="286">
        <v>0</v>
      </c>
      <c r="M402" s="289">
        <f t="shared" si="249"/>
        <v>0</v>
      </c>
      <c r="N402" s="290">
        <f t="shared" si="250"/>
        <v>2037.7384573052168</v>
      </c>
      <c r="O402" s="167">
        <f t="shared" si="251"/>
        <v>2037.7384573052168</v>
      </c>
    </row>
    <row r="403" spans="1:15" x14ac:dyDescent="0.2">
      <c r="B403" s="283"/>
      <c r="C403" s="282">
        <f t="shared" ref="C403:C426" si="254">D402+1</f>
        <v>42186</v>
      </c>
      <c r="D403" s="282">
        <f t="shared" ref="D403:D427" si="255">EOMONTH(D402,3)</f>
        <v>42277</v>
      </c>
      <c r="E403" s="283">
        <f t="shared" si="252"/>
        <v>92</v>
      </c>
      <c r="F403" s="284">
        <f>VLOOKUP(D403,'FERC Interest Rate'!$A:$B,2,TRUE)</f>
        <v>3.2500000000000001E-2</v>
      </c>
      <c r="G403" s="167">
        <f t="shared" si="253"/>
        <v>2037.7384573052168</v>
      </c>
      <c r="H403" s="167">
        <f t="shared" si="247"/>
        <v>16.692706814637255</v>
      </c>
      <c r="I403" s="291">
        <v>0</v>
      </c>
      <c r="J403" s="286">
        <v>0</v>
      </c>
      <c r="K403" s="288">
        <f t="shared" si="248"/>
        <v>0</v>
      </c>
      <c r="L403" s="286">
        <v>0</v>
      </c>
      <c r="M403" s="289">
        <f t="shared" si="249"/>
        <v>0</v>
      </c>
      <c r="N403" s="290">
        <f t="shared" si="250"/>
        <v>2054.4311641198542</v>
      </c>
      <c r="O403" s="167">
        <f t="shared" si="251"/>
        <v>2054.4311641198542</v>
      </c>
    </row>
    <row r="404" spans="1:15" x14ac:dyDescent="0.2">
      <c r="B404" s="283"/>
      <c r="C404" s="282">
        <f t="shared" si="254"/>
        <v>42278</v>
      </c>
      <c r="D404" s="282">
        <f t="shared" si="255"/>
        <v>42369</v>
      </c>
      <c r="E404" s="283">
        <f t="shared" si="252"/>
        <v>92</v>
      </c>
      <c r="F404" s="284">
        <f>VLOOKUP(D404,'FERC Interest Rate'!$A:$B,2,TRUE)</f>
        <v>3.2500000000000001E-2</v>
      </c>
      <c r="G404" s="167">
        <f t="shared" si="253"/>
        <v>2054.4311641198542</v>
      </c>
      <c r="H404" s="167">
        <f t="shared" si="247"/>
        <v>16.829449810187299</v>
      </c>
      <c r="I404" s="291">
        <v>0</v>
      </c>
      <c r="J404" s="286">
        <v>0</v>
      </c>
      <c r="K404" s="288">
        <f t="shared" si="248"/>
        <v>0</v>
      </c>
      <c r="L404" s="286">
        <v>0</v>
      </c>
      <c r="M404" s="289">
        <f t="shared" si="249"/>
        <v>0</v>
      </c>
      <c r="N404" s="290">
        <f t="shared" si="250"/>
        <v>2071.2606139300415</v>
      </c>
      <c r="O404" s="167">
        <f t="shared" si="251"/>
        <v>2071.2606139300415</v>
      </c>
    </row>
    <row r="405" spans="1:15" x14ac:dyDescent="0.2">
      <c r="B405" s="283"/>
      <c r="C405" s="282">
        <f t="shared" si="254"/>
        <v>42370</v>
      </c>
      <c r="D405" s="282">
        <f t="shared" si="255"/>
        <v>42460</v>
      </c>
      <c r="E405" s="283">
        <f t="shared" si="252"/>
        <v>91</v>
      </c>
      <c r="F405" s="284">
        <f>VLOOKUP(D405,'FERC Interest Rate'!$A:$B,2,TRUE)</f>
        <v>3.2500000000000001E-2</v>
      </c>
      <c r="G405" s="167">
        <f t="shared" si="253"/>
        <v>2071.2606139300415</v>
      </c>
      <c r="H405" s="167">
        <f t="shared" si="247"/>
        <v>16.737030780595894</v>
      </c>
      <c r="I405" s="291">
        <v>0</v>
      </c>
      <c r="J405" s="286">
        <v>0</v>
      </c>
      <c r="K405" s="288">
        <f t="shared" si="248"/>
        <v>0</v>
      </c>
      <c r="L405" s="286">
        <v>0</v>
      </c>
      <c r="M405" s="289">
        <f t="shared" si="249"/>
        <v>0</v>
      </c>
      <c r="N405" s="290">
        <f t="shared" si="250"/>
        <v>2087.9976447106374</v>
      </c>
      <c r="O405" s="167">
        <f t="shared" si="251"/>
        <v>2087.9976447106374</v>
      </c>
    </row>
    <row r="406" spans="1:15" x14ac:dyDescent="0.2">
      <c r="B406" s="283"/>
      <c r="C406" s="282">
        <f t="shared" si="254"/>
        <v>42461</v>
      </c>
      <c r="D406" s="282">
        <f t="shared" si="255"/>
        <v>42551</v>
      </c>
      <c r="E406" s="283">
        <f t="shared" si="252"/>
        <v>91</v>
      </c>
      <c r="F406" s="284">
        <f>VLOOKUP(D406,'FERC Interest Rate'!$A:$B,2,TRUE)</f>
        <v>3.4599999999999999E-2</v>
      </c>
      <c r="G406" s="167">
        <f t="shared" si="253"/>
        <v>2087.9976447106374</v>
      </c>
      <c r="H406" s="167">
        <f t="shared" si="247"/>
        <v>17.962484656109051</v>
      </c>
      <c r="I406" s="291">
        <v>0</v>
      </c>
      <c r="J406" s="286">
        <v>0</v>
      </c>
      <c r="K406" s="288">
        <f t="shared" si="248"/>
        <v>0</v>
      </c>
      <c r="L406" s="286">
        <v>0</v>
      </c>
      <c r="M406" s="289">
        <f t="shared" si="249"/>
        <v>0</v>
      </c>
      <c r="N406" s="290">
        <f t="shared" si="250"/>
        <v>2105.9601293667465</v>
      </c>
      <c r="O406" s="167">
        <f t="shared" si="251"/>
        <v>2105.9601293667465</v>
      </c>
    </row>
    <row r="407" spans="1:15" x14ac:dyDescent="0.2">
      <c r="B407" s="81"/>
      <c r="C407" s="282">
        <f t="shared" si="254"/>
        <v>42552</v>
      </c>
      <c r="D407" s="282">
        <f t="shared" si="255"/>
        <v>42643</v>
      </c>
      <c r="E407" s="283">
        <f t="shared" si="252"/>
        <v>92</v>
      </c>
      <c r="F407" s="284">
        <f>VLOOKUP(D407,'FERC Interest Rate'!$A:$B,2,TRUE)</f>
        <v>3.5000000000000003E-2</v>
      </c>
      <c r="G407" s="167">
        <f t="shared" si="253"/>
        <v>2105.9601293667465</v>
      </c>
      <c r="H407" s="167">
        <f t="shared" si="247"/>
        <v>18.527845946887769</v>
      </c>
      <c r="I407" s="291">
        <v>0</v>
      </c>
      <c r="J407" s="286">
        <v>0</v>
      </c>
      <c r="K407" s="288">
        <f t="shared" si="248"/>
        <v>0</v>
      </c>
      <c r="L407" s="286">
        <v>0</v>
      </c>
      <c r="M407" s="289">
        <f t="shared" si="249"/>
        <v>0</v>
      </c>
      <c r="N407" s="290">
        <f t="shared" si="250"/>
        <v>2124.4879753136343</v>
      </c>
      <c r="O407" s="167">
        <f t="shared" si="251"/>
        <v>2124.4879753136343</v>
      </c>
    </row>
    <row r="408" spans="1:15" x14ac:dyDescent="0.2">
      <c r="A408" s="17" t="s">
        <v>54</v>
      </c>
      <c r="B408" s="81" t="str">
        <f t="shared" ref="B408:B422" si="256">+IF(MONTH(C408)&lt;4,"Q1",IF(MONTH(C408)&lt;7,"Q2",IF(MONTH(C408)&lt;10,"Q3","Q4")))&amp;"/"&amp;YEAR(C408)</f>
        <v>Q4/2016</v>
      </c>
      <c r="C408" s="82">
        <f t="shared" si="254"/>
        <v>42644</v>
      </c>
      <c r="D408" s="82">
        <f t="shared" si="255"/>
        <v>42735</v>
      </c>
      <c r="E408" s="81">
        <f t="shared" si="252"/>
        <v>92</v>
      </c>
      <c r="F408" s="83">
        <f>VLOOKUP(D408,'FERC Interest Rate'!$A:$B,2,TRUE)</f>
        <v>3.5000000000000003E-2</v>
      </c>
      <c r="G408" s="84">
        <f t="shared" si="253"/>
        <v>2124.4879753136343</v>
      </c>
      <c r="H408" s="167">
        <f t="shared" si="247"/>
        <v>18.690850493196454</v>
      </c>
      <c r="I408" s="109">
        <f t="shared" ref="I408:I410" si="257">SUM($H$401:$H$428)/20</f>
        <v>6.108941290341523</v>
      </c>
      <c r="J408" s="286">
        <v>0</v>
      </c>
      <c r="K408" s="129">
        <f t="shared" si="248"/>
        <v>6.108941290341523</v>
      </c>
      <c r="L408" s="85">
        <f t="shared" ref="L408:L427" si="258">VLOOKUP($B$402,A$1:F$18,5,FALSE)/20</f>
        <v>101.05</v>
      </c>
      <c r="M408" s="130">
        <f t="shared" si="249"/>
        <v>107.15894129034152</v>
      </c>
      <c r="N408" s="8">
        <f t="shared" si="250"/>
        <v>2143.1788258068309</v>
      </c>
      <c r="O408" s="84">
        <f t="shared" si="251"/>
        <v>2036.0198845164894</v>
      </c>
    </row>
    <row r="409" spans="1:15" x14ac:dyDescent="0.2">
      <c r="A409" s="17" t="s">
        <v>55</v>
      </c>
      <c r="B409" s="81" t="str">
        <f t="shared" si="256"/>
        <v>Q1/2017</v>
      </c>
      <c r="C409" s="82">
        <f t="shared" si="254"/>
        <v>42736</v>
      </c>
      <c r="D409" s="82">
        <f t="shared" si="255"/>
        <v>42825</v>
      </c>
      <c r="E409" s="81">
        <f t="shared" si="252"/>
        <v>90</v>
      </c>
      <c r="F409" s="83">
        <f>VLOOKUP(D409,'FERC Interest Rate'!$A:$B,2,TRUE)</f>
        <v>3.5000000000000003E-2</v>
      </c>
      <c r="G409" s="84">
        <f t="shared" si="253"/>
        <v>2036.0198845164894</v>
      </c>
      <c r="H409" s="84">
        <v>0</v>
      </c>
      <c r="I409" s="109">
        <f t="shared" si="257"/>
        <v>6.108941290341523</v>
      </c>
      <c r="J409" s="85">
        <f t="shared" ref="J409:J427" si="259">G409*F409*(E409/(DATE(YEAR(D409),12,31)-DATE(YEAR(D409),1,1)+1))</f>
        <v>17.5711305102108</v>
      </c>
      <c r="K409" s="129">
        <f t="shared" si="248"/>
        <v>23.680071800552323</v>
      </c>
      <c r="L409" s="85">
        <f t="shared" si="258"/>
        <v>101.05</v>
      </c>
      <c r="M409" s="130">
        <f t="shared" si="249"/>
        <v>124.73007180055232</v>
      </c>
      <c r="N409" s="8">
        <f t="shared" si="250"/>
        <v>2053.5910150267</v>
      </c>
      <c r="O409" s="84">
        <f t="shared" si="251"/>
        <v>1928.8609432261478</v>
      </c>
    </row>
    <row r="410" spans="1:15" x14ac:dyDescent="0.2">
      <c r="A410" s="17" t="s">
        <v>56</v>
      </c>
      <c r="B410" s="81" t="str">
        <f t="shared" si="256"/>
        <v>Q2/2017</v>
      </c>
      <c r="C410" s="82">
        <f t="shared" si="254"/>
        <v>42826</v>
      </c>
      <c r="D410" s="82">
        <f t="shared" si="255"/>
        <v>42916</v>
      </c>
      <c r="E410" s="81">
        <f t="shared" si="252"/>
        <v>91</v>
      </c>
      <c r="F410" s="83">
        <f>VLOOKUP(D410,'FERC Interest Rate'!$A:$B,2,TRUE)</f>
        <v>3.7100000000000001E-2</v>
      </c>
      <c r="G410" s="84">
        <f t="shared" si="253"/>
        <v>1928.8609432261478</v>
      </c>
      <c r="H410" s="84">
        <v>0</v>
      </c>
      <c r="I410" s="109">
        <f t="shared" si="257"/>
        <v>6.108941290341523</v>
      </c>
      <c r="J410" s="85">
        <f t="shared" si="259"/>
        <v>17.841171042262459</v>
      </c>
      <c r="K410" s="129">
        <f t="shared" si="248"/>
        <v>23.950112332603982</v>
      </c>
      <c r="L410" s="85">
        <f t="shared" si="258"/>
        <v>101.05</v>
      </c>
      <c r="M410" s="130">
        <f t="shared" si="249"/>
        <v>125.00011233260398</v>
      </c>
      <c r="N410" s="8">
        <f t="shared" si="250"/>
        <v>1946.7021142684102</v>
      </c>
      <c r="O410" s="84">
        <f t="shared" si="251"/>
        <v>1821.7020019358063</v>
      </c>
    </row>
    <row r="411" spans="1:15" x14ac:dyDescent="0.2">
      <c r="A411" s="17" t="s">
        <v>57</v>
      </c>
      <c r="B411" s="81" t="str">
        <f t="shared" si="256"/>
        <v>Q3/2017</v>
      </c>
      <c r="C411" s="82">
        <f t="shared" si="254"/>
        <v>42917</v>
      </c>
      <c r="D411" s="82">
        <f t="shared" si="255"/>
        <v>43008</v>
      </c>
      <c r="E411" s="81">
        <f t="shared" si="252"/>
        <v>92</v>
      </c>
      <c r="F411" s="83">
        <f>VLOOKUP(D411,'FERC Interest Rate'!$A:$B,2,TRUE)</f>
        <v>3.9600000000000003E-2</v>
      </c>
      <c r="G411" s="84">
        <f t="shared" si="253"/>
        <v>1821.7020019358063</v>
      </c>
      <c r="H411" s="84">
        <v>0</v>
      </c>
      <c r="I411" s="109">
        <f>SUM($H$401:$H$428)/20</f>
        <v>6.108941290341523</v>
      </c>
      <c r="J411" s="85">
        <f t="shared" si="259"/>
        <v>18.183081461513783</v>
      </c>
      <c r="K411" s="129">
        <f t="shared" si="248"/>
        <v>24.292022751855306</v>
      </c>
      <c r="L411" s="85">
        <f t="shared" si="258"/>
        <v>101.05</v>
      </c>
      <c r="M411" s="130">
        <f t="shared" si="249"/>
        <v>125.3420227518553</v>
      </c>
      <c r="N411" s="8">
        <f t="shared" si="250"/>
        <v>1839.8850833973202</v>
      </c>
      <c r="O411" s="84">
        <f t="shared" si="251"/>
        <v>1714.5430606454647</v>
      </c>
    </row>
    <row r="412" spans="1:15" x14ac:dyDescent="0.2">
      <c r="A412" s="17" t="s">
        <v>58</v>
      </c>
      <c r="B412" s="81" t="str">
        <f t="shared" si="256"/>
        <v>Q4/2017</v>
      </c>
      <c r="C412" s="82">
        <f t="shared" si="254"/>
        <v>43009</v>
      </c>
      <c r="D412" s="82">
        <f t="shared" si="255"/>
        <v>43100</v>
      </c>
      <c r="E412" s="81">
        <f t="shared" si="252"/>
        <v>92</v>
      </c>
      <c r="F412" s="83">
        <f>VLOOKUP(D412,'FERC Interest Rate'!$A:$B,2,TRUE)</f>
        <v>4.2099999999999999E-2</v>
      </c>
      <c r="G412" s="84">
        <f t="shared" si="253"/>
        <v>1714.5430606454647</v>
      </c>
      <c r="H412" s="84">
        <v>0</v>
      </c>
      <c r="I412" s="109">
        <f t="shared" ref="I412:I427" si="260">SUM($H$401:$H$428)/20</f>
        <v>6.108941290341523</v>
      </c>
      <c r="J412" s="85">
        <f t="shared" si="259"/>
        <v>18.193885431484972</v>
      </c>
      <c r="K412" s="129">
        <f t="shared" si="248"/>
        <v>24.302826721826495</v>
      </c>
      <c r="L412" s="85">
        <f t="shared" si="258"/>
        <v>101.05</v>
      </c>
      <c r="M412" s="130">
        <f t="shared" si="249"/>
        <v>125.35282672182649</v>
      </c>
      <c r="N412" s="8">
        <f t="shared" si="250"/>
        <v>1732.7369460769496</v>
      </c>
      <c r="O412" s="84">
        <f t="shared" si="251"/>
        <v>1607.3841193551232</v>
      </c>
    </row>
    <row r="413" spans="1:15" x14ac:dyDescent="0.2">
      <c r="A413" s="17" t="s">
        <v>59</v>
      </c>
      <c r="B413" s="81" t="str">
        <f t="shared" si="256"/>
        <v>Q1/2018</v>
      </c>
      <c r="C413" s="82">
        <f t="shared" si="254"/>
        <v>43101</v>
      </c>
      <c r="D413" s="82">
        <f t="shared" si="255"/>
        <v>43190</v>
      </c>
      <c r="E413" s="81">
        <f t="shared" si="252"/>
        <v>90</v>
      </c>
      <c r="F413" s="83">
        <f>VLOOKUP(D413,'FERC Interest Rate'!$A:$B,2,TRUE)</f>
        <v>4.2500000000000003E-2</v>
      </c>
      <c r="G413" s="84">
        <f t="shared" si="253"/>
        <v>1607.3841193551232</v>
      </c>
      <c r="H413" s="84">
        <v>0</v>
      </c>
      <c r="I413" s="109">
        <f t="shared" si="260"/>
        <v>6.108941290341523</v>
      </c>
      <c r="J413" s="85">
        <f t="shared" si="259"/>
        <v>16.844504812420126</v>
      </c>
      <c r="K413" s="129">
        <f t="shared" si="248"/>
        <v>22.953446102761649</v>
      </c>
      <c r="L413" s="85">
        <f t="shared" si="258"/>
        <v>101.05</v>
      </c>
      <c r="M413" s="130">
        <f t="shared" si="249"/>
        <v>124.00344610276164</v>
      </c>
      <c r="N413" s="8">
        <f t="shared" si="250"/>
        <v>1624.2286241675433</v>
      </c>
      <c r="O413" s="84">
        <f t="shared" si="251"/>
        <v>1500.2251780647816</v>
      </c>
    </row>
    <row r="414" spans="1:15" x14ac:dyDescent="0.2">
      <c r="A414" s="17" t="s">
        <v>60</v>
      </c>
      <c r="B414" s="81" t="str">
        <f t="shared" si="256"/>
        <v>Q2/2018</v>
      </c>
      <c r="C414" s="82">
        <f t="shared" si="254"/>
        <v>43191</v>
      </c>
      <c r="D414" s="82">
        <f t="shared" si="255"/>
        <v>43281</v>
      </c>
      <c r="E414" s="81">
        <f t="shared" si="252"/>
        <v>91</v>
      </c>
      <c r="F414" s="83">
        <f>VLOOKUP(D414,'FERC Interest Rate'!$A:$B,2,TRUE)</f>
        <v>4.4699999999999997E-2</v>
      </c>
      <c r="G414" s="84">
        <f t="shared" si="253"/>
        <v>1500.2251780647816</v>
      </c>
      <c r="H414" s="84">
        <v>0</v>
      </c>
      <c r="I414" s="109">
        <f t="shared" si="260"/>
        <v>6.108941290341523</v>
      </c>
      <c r="J414" s="85">
        <f t="shared" si="259"/>
        <v>16.719084813189347</v>
      </c>
      <c r="K414" s="129">
        <f t="shared" si="248"/>
        <v>22.82802610353087</v>
      </c>
      <c r="L414" s="85">
        <f t="shared" si="258"/>
        <v>101.05</v>
      </c>
      <c r="M414" s="130">
        <f t="shared" si="249"/>
        <v>123.87802610353087</v>
      </c>
      <c r="N414" s="8">
        <f t="shared" si="250"/>
        <v>1516.9442628779709</v>
      </c>
      <c r="O414" s="84">
        <f t="shared" si="251"/>
        <v>1393.0662367744401</v>
      </c>
    </row>
    <row r="415" spans="1:15" x14ac:dyDescent="0.2">
      <c r="A415" s="17" t="s">
        <v>61</v>
      </c>
      <c r="B415" s="81" t="str">
        <f t="shared" si="256"/>
        <v>Q3/2018</v>
      </c>
      <c r="C415" s="82">
        <f t="shared" si="254"/>
        <v>43282</v>
      </c>
      <c r="D415" s="82">
        <f t="shared" si="255"/>
        <v>43373</v>
      </c>
      <c r="E415" s="81">
        <f t="shared" si="252"/>
        <v>92</v>
      </c>
      <c r="F415" s="83">
        <f>VLOOKUP(D415,'FERC Interest Rate'!$A:$B,2,TRUE)</f>
        <v>5.011111E-2</v>
      </c>
      <c r="G415" s="84">
        <f t="shared" si="253"/>
        <v>1393.0662367744401</v>
      </c>
      <c r="H415" s="84">
        <v>0</v>
      </c>
      <c r="I415" s="109">
        <f t="shared" si="260"/>
        <v>6.108941290341523</v>
      </c>
      <c r="J415" s="85">
        <f t="shared" si="259"/>
        <v>17.595465149048444</v>
      </c>
      <c r="K415" s="129">
        <f t="shared" si="248"/>
        <v>23.704406439389967</v>
      </c>
      <c r="L415" s="85">
        <f t="shared" si="258"/>
        <v>101.05</v>
      </c>
      <c r="M415" s="130">
        <f t="shared" si="249"/>
        <v>124.75440643938997</v>
      </c>
      <c r="N415" s="8">
        <f t="shared" si="250"/>
        <v>1410.6617019234886</v>
      </c>
      <c r="O415" s="84">
        <f t="shared" si="251"/>
        <v>1285.9072954840985</v>
      </c>
    </row>
    <row r="416" spans="1:15" x14ac:dyDescent="0.2">
      <c r="A416" s="17" t="s">
        <v>62</v>
      </c>
      <c r="B416" s="81" t="str">
        <f t="shared" si="256"/>
        <v>Q4/2018</v>
      </c>
      <c r="C416" s="82">
        <f t="shared" si="254"/>
        <v>43374</v>
      </c>
      <c r="D416" s="82">
        <f t="shared" si="255"/>
        <v>43465</v>
      </c>
      <c r="E416" s="81">
        <f t="shared" si="252"/>
        <v>92</v>
      </c>
      <c r="F416" s="83">
        <f>VLOOKUP(D416,'FERC Interest Rate'!$A:$B,2,TRUE)</f>
        <v>5.2822580000000001E-2</v>
      </c>
      <c r="G416" s="84">
        <f t="shared" si="253"/>
        <v>1285.9072954840985</v>
      </c>
      <c r="H416" s="84">
        <v>0</v>
      </c>
      <c r="I416" s="109">
        <f t="shared" si="260"/>
        <v>6.108941290341523</v>
      </c>
      <c r="J416" s="85">
        <f t="shared" si="259"/>
        <v>17.120807043624396</v>
      </c>
      <c r="K416" s="129">
        <f t="shared" si="248"/>
        <v>23.229748333965919</v>
      </c>
      <c r="L416" s="85">
        <f t="shared" si="258"/>
        <v>101.05</v>
      </c>
      <c r="M416" s="130">
        <f t="shared" si="249"/>
        <v>124.27974833396591</v>
      </c>
      <c r="N416" s="8">
        <f t="shared" si="250"/>
        <v>1303.0281025277229</v>
      </c>
      <c r="O416" s="84">
        <f t="shared" si="251"/>
        <v>1178.748354193757</v>
      </c>
    </row>
    <row r="417" spans="1:15" x14ac:dyDescent="0.2">
      <c r="A417" s="17" t="s">
        <v>63</v>
      </c>
      <c r="B417" s="81" t="str">
        <f t="shared" si="256"/>
        <v>Q1/2019</v>
      </c>
      <c r="C417" s="82">
        <f t="shared" si="254"/>
        <v>43466</v>
      </c>
      <c r="D417" s="82">
        <f t="shared" si="255"/>
        <v>43555</v>
      </c>
      <c r="E417" s="81">
        <f t="shared" si="252"/>
        <v>90</v>
      </c>
      <c r="F417" s="83">
        <f>VLOOKUP(D417,'FERC Interest Rate'!$A:$B,2,TRUE)</f>
        <v>5.5296770000000002E-2</v>
      </c>
      <c r="G417" s="84">
        <f t="shared" si="253"/>
        <v>1178.748354193757</v>
      </c>
      <c r="H417" s="84">
        <v>0</v>
      </c>
      <c r="I417" s="109">
        <f t="shared" si="260"/>
        <v>6.108941290341523</v>
      </c>
      <c r="J417" s="85">
        <f t="shared" si="259"/>
        <v>16.072021634728124</v>
      </c>
      <c r="K417" s="129">
        <f t="shared" si="248"/>
        <v>22.180962925069647</v>
      </c>
      <c r="L417" s="85">
        <f t="shared" si="258"/>
        <v>101.05</v>
      </c>
      <c r="M417" s="130">
        <f t="shared" si="249"/>
        <v>123.23096292506965</v>
      </c>
      <c r="N417" s="8">
        <f t="shared" si="250"/>
        <v>1194.8203758284851</v>
      </c>
      <c r="O417" s="84">
        <f t="shared" si="251"/>
        <v>1071.5894129034155</v>
      </c>
    </row>
    <row r="418" spans="1:15" x14ac:dyDescent="0.2">
      <c r="A418" s="17" t="s">
        <v>64</v>
      </c>
      <c r="B418" s="81" t="str">
        <f t="shared" si="256"/>
        <v>Q2/2019</v>
      </c>
      <c r="C418" s="82">
        <f t="shared" si="254"/>
        <v>43556</v>
      </c>
      <c r="D418" s="82">
        <f t="shared" si="255"/>
        <v>43646</v>
      </c>
      <c r="E418" s="81">
        <f t="shared" si="252"/>
        <v>91</v>
      </c>
      <c r="F418" s="83">
        <f>VLOOKUP(D418,'FERC Interest Rate'!$A:$B,2,TRUE)</f>
        <v>5.7999999999999996E-2</v>
      </c>
      <c r="G418" s="84">
        <f t="shared" si="253"/>
        <v>1071.5894129034155</v>
      </c>
      <c r="H418" s="84">
        <v>0</v>
      </c>
      <c r="I418" s="109">
        <f t="shared" si="260"/>
        <v>6.108941290341523</v>
      </c>
      <c r="J418" s="85">
        <f t="shared" si="259"/>
        <v>15.495476496723908</v>
      </c>
      <c r="K418" s="129">
        <f t="shared" si="248"/>
        <v>21.604417787065429</v>
      </c>
      <c r="L418" s="85">
        <f t="shared" si="258"/>
        <v>101.05</v>
      </c>
      <c r="M418" s="130">
        <f t="shared" si="249"/>
        <v>122.65441778706543</v>
      </c>
      <c r="N418" s="8">
        <f t="shared" si="250"/>
        <v>1087.0848894001394</v>
      </c>
      <c r="O418" s="84">
        <f t="shared" si="251"/>
        <v>964.43047161307402</v>
      </c>
    </row>
    <row r="419" spans="1:15" x14ac:dyDescent="0.2">
      <c r="A419" s="17" t="s">
        <v>65</v>
      </c>
      <c r="B419" s="81" t="str">
        <f t="shared" si="256"/>
        <v>Q3/2019</v>
      </c>
      <c r="C419" s="82">
        <f t="shared" si="254"/>
        <v>43647</v>
      </c>
      <c r="D419" s="82">
        <f t="shared" si="255"/>
        <v>43738</v>
      </c>
      <c r="E419" s="81">
        <f t="shared" si="252"/>
        <v>92</v>
      </c>
      <c r="F419" s="83">
        <f>VLOOKUP(D419,'FERC Interest Rate'!$A:$B,2,TRUE)</f>
        <v>0.06</v>
      </c>
      <c r="G419" s="84">
        <f t="shared" si="253"/>
        <v>964.43047161307402</v>
      </c>
      <c r="H419" s="84">
        <v>0</v>
      </c>
      <c r="I419" s="109">
        <f t="shared" si="260"/>
        <v>6.108941290341523</v>
      </c>
      <c r="J419" s="85">
        <f t="shared" si="259"/>
        <v>14.585359461107311</v>
      </c>
      <c r="K419" s="129">
        <f t="shared" si="248"/>
        <v>20.694300751448836</v>
      </c>
      <c r="L419" s="85">
        <f t="shared" si="258"/>
        <v>101.05</v>
      </c>
      <c r="M419" s="130">
        <f t="shared" si="249"/>
        <v>121.74430075144883</v>
      </c>
      <c r="N419" s="8">
        <f t="shared" si="250"/>
        <v>979.01583107418128</v>
      </c>
      <c r="O419" s="84">
        <f t="shared" si="251"/>
        <v>857.27153032273259</v>
      </c>
    </row>
    <row r="420" spans="1:15" x14ac:dyDescent="0.2">
      <c r="A420" s="17" t="s">
        <v>66</v>
      </c>
      <c r="B420" s="81" t="str">
        <f t="shared" si="256"/>
        <v>Q4/2019</v>
      </c>
      <c r="C420" s="82">
        <f t="shared" si="254"/>
        <v>43739</v>
      </c>
      <c r="D420" s="82">
        <f t="shared" si="255"/>
        <v>43830</v>
      </c>
      <c r="E420" s="81">
        <f t="shared" si="252"/>
        <v>92</v>
      </c>
      <c r="F420" s="83">
        <f>VLOOKUP(D420,'FERC Interest Rate'!$A:$B,2,TRUE)</f>
        <v>6.0349460000000001E-2</v>
      </c>
      <c r="G420" s="84">
        <f t="shared" si="253"/>
        <v>857.27153032273259</v>
      </c>
      <c r="H420" s="84">
        <v>0</v>
      </c>
      <c r="I420" s="109">
        <f t="shared" si="260"/>
        <v>6.108941290341523</v>
      </c>
      <c r="J420" s="85">
        <f t="shared" si="259"/>
        <v>13.040275072351369</v>
      </c>
      <c r="K420" s="129">
        <f t="shared" si="248"/>
        <v>19.14921636269289</v>
      </c>
      <c r="L420" s="85">
        <f t="shared" si="258"/>
        <v>101.05</v>
      </c>
      <c r="M420" s="130">
        <f t="shared" si="249"/>
        <v>120.19921636269288</v>
      </c>
      <c r="N420" s="8">
        <f t="shared" si="250"/>
        <v>870.31180539508398</v>
      </c>
      <c r="O420" s="84">
        <f t="shared" si="251"/>
        <v>750.11258903239116</v>
      </c>
    </row>
    <row r="421" spans="1:15" x14ac:dyDescent="0.2">
      <c r="A421" s="17" t="s">
        <v>67</v>
      </c>
      <c r="B421" s="81" t="str">
        <f t="shared" si="256"/>
        <v>Q1/2020</v>
      </c>
      <c r="C421" s="82">
        <f t="shared" si="254"/>
        <v>43831</v>
      </c>
      <c r="D421" s="82">
        <f t="shared" si="255"/>
        <v>43921</v>
      </c>
      <c r="E421" s="81">
        <f t="shared" si="252"/>
        <v>91</v>
      </c>
      <c r="F421" s="83">
        <f>VLOOKUP(D421,'FERC Interest Rate'!$A:$B,2,TRUE)</f>
        <v>6.2501040000000008E-2</v>
      </c>
      <c r="G421" s="84">
        <f t="shared" si="253"/>
        <v>750.11258903239116</v>
      </c>
      <c r="H421" s="84">
        <v>0</v>
      </c>
      <c r="I421" s="109">
        <f t="shared" si="260"/>
        <v>6.108941290341523</v>
      </c>
      <c r="J421" s="85">
        <f t="shared" si="259"/>
        <v>11.656656668790031</v>
      </c>
      <c r="K421" s="129">
        <f t="shared" si="248"/>
        <v>17.765597959131554</v>
      </c>
      <c r="L421" s="85">
        <f t="shared" si="258"/>
        <v>101.05</v>
      </c>
      <c r="M421" s="130">
        <f t="shared" si="249"/>
        <v>118.81559795913155</v>
      </c>
      <c r="N421" s="8">
        <f t="shared" si="250"/>
        <v>761.76924570118115</v>
      </c>
      <c r="O421" s="84">
        <f t="shared" si="251"/>
        <v>642.95364774204972</v>
      </c>
    </row>
    <row r="422" spans="1:15" x14ac:dyDescent="0.2">
      <c r="A422" s="17" t="s">
        <v>68</v>
      </c>
      <c r="B422" s="81" t="str">
        <f t="shared" si="256"/>
        <v>Q2/2020</v>
      </c>
      <c r="C422" s="82">
        <f t="shared" si="254"/>
        <v>43922</v>
      </c>
      <c r="D422" s="82">
        <f t="shared" si="255"/>
        <v>44012</v>
      </c>
      <c r="E422" s="81">
        <f t="shared" si="252"/>
        <v>91</v>
      </c>
      <c r="F422" s="83">
        <f>VLOOKUP(D422,'FERC Interest Rate'!$A:$B,2,TRUE)</f>
        <v>6.3055559999999997E-2</v>
      </c>
      <c r="G422" s="84">
        <f t="shared" si="253"/>
        <v>642.95364774204972</v>
      </c>
      <c r="H422" s="84">
        <v>0</v>
      </c>
      <c r="I422" s="109">
        <f t="shared" si="260"/>
        <v>6.108941290341523</v>
      </c>
      <c r="J422" s="85">
        <f t="shared" si="259"/>
        <v>10.080065602267783</v>
      </c>
      <c r="K422" s="129">
        <f t="shared" si="248"/>
        <v>16.189006892609306</v>
      </c>
      <c r="L422" s="85">
        <f t="shared" si="258"/>
        <v>101.05</v>
      </c>
      <c r="M422" s="130">
        <f t="shared" si="249"/>
        <v>117.2390068926093</v>
      </c>
      <c r="N422" s="8">
        <f t="shared" si="250"/>
        <v>653.03371334431756</v>
      </c>
      <c r="O422" s="84">
        <f t="shared" si="251"/>
        <v>535.79470645170829</v>
      </c>
    </row>
    <row r="423" spans="1:15" x14ac:dyDescent="0.2">
      <c r="A423" s="17" t="s">
        <v>69</v>
      </c>
      <c r="B423" s="81" t="str">
        <f>+IF(MONTH(C423)&lt;4,"Q1",IF(MONTH(C423)&lt;7,"Q2",IF(MONTH(C423)&lt;10,"Q3","Q4")))&amp;"/"&amp;YEAR(C423)</f>
        <v>Q3/2020</v>
      </c>
      <c r="C423" s="82">
        <f t="shared" si="254"/>
        <v>44013</v>
      </c>
      <c r="D423" s="82">
        <f t="shared" si="255"/>
        <v>44104</v>
      </c>
      <c r="E423" s="81">
        <f t="shared" si="252"/>
        <v>92</v>
      </c>
      <c r="F423" s="83">
        <f>VLOOKUP(D423,'FERC Interest Rate'!$A:$B,2,TRUE)</f>
        <v>6.5000000000000002E-2</v>
      </c>
      <c r="G423" s="84">
        <f t="shared" si="253"/>
        <v>535.79470645170829</v>
      </c>
      <c r="H423" s="84">
        <v>0</v>
      </c>
      <c r="I423" s="109">
        <f t="shared" si="260"/>
        <v>6.108941290341523</v>
      </c>
      <c r="J423" s="85">
        <f t="shared" si="259"/>
        <v>8.7542413786372002</v>
      </c>
      <c r="K423" s="129">
        <f t="shared" si="248"/>
        <v>14.863182668978723</v>
      </c>
      <c r="L423" s="85">
        <f t="shared" si="258"/>
        <v>101.05</v>
      </c>
      <c r="M423" s="130">
        <f t="shared" si="249"/>
        <v>115.91318266897872</v>
      </c>
      <c r="N423" s="8">
        <f t="shared" si="250"/>
        <v>544.54894783034547</v>
      </c>
      <c r="O423" s="84">
        <f t="shared" si="251"/>
        <v>428.63576516136675</v>
      </c>
    </row>
    <row r="424" spans="1:15" x14ac:dyDescent="0.2">
      <c r="A424" s="17" t="s">
        <v>70</v>
      </c>
      <c r="B424" s="81" t="str">
        <f>+IF(MONTH(C424)&lt;4,"Q1",IF(MONTH(C424)&lt;7,"Q2",IF(MONTH(C424)&lt;10,"Q3","Q4")))&amp;"/"&amp;YEAR(C424)</f>
        <v>Q4/2020</v>
      </c>
      <c r="C424" s="82">
        <f t="shared" si="254"/>
        <v>44105</v>
      </c>
      <c r="D424" s="82">
        <f t="shared" si="255"/>
        <v>44196</v>
      </c>
      <c r="E424" s="81">
        <f t="shared" si="252"/>
        <v>92</v>
      </c>
      <c r="F424" s="83">
        <f>VLOOKUP(D424,'FERC Interest Rate'!$A:$B,2,TRUE)</f>
        <v>6.5000000000000002E-2</v>
      </c>
      <c r="G424" s="84">
        <f t="shared" si="253"/>
        <v>428.63576516136675</v>
      </c>
      <c r="H424" s="84">
        <v>0</v>
      </c>
      <c r="I424" s="109">
        <f t="shared" si="260"/>
        <v>6.108941290341523</v>
      </c>
      <c r="J424" s="85">
        <f t="shared" si="259"/>
        <v>7.0033931029097634</v>
      </c>
      <c r="K424" s="129">
        <f t="shared" si="248"/>
        <v>13.112334393251286</v>
      </c>
      <c r="L424" s="85">
        <f t="shared" si="258"/>
        <v>101.05</v>
      </c>
      <c r="M424" s="130">
        <f t="shared" si="249"/>
        <v>114.16233439325129</v>
      </c>
      <c r="N424" s="8">
        <f t="shared" si="250"/>
        <v>435.63915826427649</v>
      </c>
      <c r="O424" s="84">
        <f t="shared" si="251"/>
        <v>321.4768238710252</v>
      </c>
    </row>
    <row r="425" spans="1:15" x14ac:dyDescent="0.2">
      <c r="A425" s="17" t="s">
        <v>71</v>
      </c>
      <c r="B425" s="81" t="str">
        <f>+IF(MONTH(C425)&lt;4,"Q1",IF(MONTH(C425)&lt;7,"Q2",IF(MONTH(C425)&lt;10,"Q3","Q4")))&amp;"/"&amp;YEAR(C425)</f>
        <v>Q1/2021</v>
      </c>
      <c r="C425" s="82">
        <f t="shared" si="254"/>
        <v>44197</v>
      </c>
      <c r="D425" s="82">
        <f t="shared" si="255"/>
        <v>44286</v>
      </c>
      <c r="E425" s="81">
        <f t="shared" si="252"/>
        <v>90</v>
      </c>
      <c r="F425" s="83">
        <f>VLOOKUP(D425,'FERC Interest Rate'!$A:$B,2,TRUE)</f>
        <v>6.5000000000000002E-2</v>
      </c>
      <c r="G425" s="84">
        <f t="shared" si="253"/>
        <v>321.4768238710252</v>
      </c>
      <c r="H425" s="84">
        <v>0</v>
      </c>
      <c r="I425" s="109">
        <f t="shared" si="260"/>
        <v>6.108941290341523</v>
      </c>
      <c r="J425" s="85">
        <f t="shared" si="259"/>
        <v>5.1524367661520474</v>
      </c>
      <c r="K425" s="129">
        <f t="shared" si="248"/>
        <v>11.261378056493569</v>
      </c>
      <c r="L425" s="85">
        <f t="shared" si="258"/>
        <v>101.05</v>
      </c>
      <c r="M425" s="130">
        <f t="shared" si="249"/>
        <v>112.31137805649357</v>
      </c>
      <c r="N425" s="8">
        <f t="shared" si="250"/>
        <v>326.62926063717725</v>
      </c>
      <c r="O425" s="84">
        <f t="shared" si="251"/>
        <v>214.31788258068366</v>
      </c>
    </row>
    <row r="426" spans="1:15" x14ac:dyDescent="0.2">
      <c r="A426" s="17" t="s">
        <v>72</v>
      </c>
      <c r="B426" s="81" t="str">
        <f t="shared" ref="B426:B427" si="261">+IF(MONTH(C426)&lt;4,"Q1",IF(MONTH(C426)&lt;7,"Q2",IF(MONTH(C426)&lt;10,"Q3","Q4")))&amp;"/"&amp;YEAR(C426)</f>
        <v>Q2/2021</v>
      </c>
      <c r="C426" s="82">
        <f t="shared" si="254"/>
        <v>44287</v>
      </c>
      <c r="D426" s="82">
        <f t="shared" si="255"/>
        <v>44377</v>
      </c>
      <c r="E426" s="81">
        <f t="shared" si="252"/>
        <v>91</v>
      </c>
      <c r="F426" s="83">
        <f>VLOOKUP(D426,'FERC Interest Rate'!$A:$B,2,TRUE)</f>
        <v>6.5000000000000002E-2</v>
      </c>
      <c r="G426" s="84">
        <f t="shared" si="253"/>
        <v>214.31788258068366</v>
      </c>
      <c r="H426" s="84">
        <v>0</v>
      </c>
      <c r="I426" s="109">
        <f t="shared" si="260"/>
        <v>6.108941290341523</v>
      </c>
      <c r="J426" s="85">
        <f t="shared" si="259"/>
        <v>3.4731240423691609</v>
      </c>
      <c r="K426" s="129">
        <f t="shared" si="248"/>
        <v>9.5820653327106839</v>
      </c>
      <c r="L426" s="85">
        <f t="shared" si="258"/>
        <v>101.05</v>
      </c>
      <c r="M426" s="130">
        <f t="shared" si="249"/>
        <v>110.63206533271068</v>
      </c>
      <c r="N426" s="8">
        <f t="shared" si="250"/>
        <v>217.79100662305282</v>
      </c>
      <c r="O426" s="84">
        <f t="shared" si="251"/>
        <v>107.15894129034214</v>
      </c>
    </row>
    <row r="427" spans="1:15" x14ac:dyDescent="0.2">
      <c r="A427" s="17" t="s">
        <v>73</v>
      </c>
      <c r="B427" s="81" t="str">
        <f t="shared" si="261"/>
        <v>Q3/2021</v>
      </c>
      <c r="C427" s="82">
        <f>D426+1</f>
        <v>44378</v>
      </c>
      <c r="D427" s="82">
        <f t="shared" si="255"/>
        <v>44469</v>
      </c>
      <c r="E427" s="81">
        <f>D427-C427+1</f>
        <v>92</v>
      </c>
      <c r="F427" s="83">
        <f>VLOOKUP(D427,'FERC Interest Rate'!$A:$B,2,TRUE)</f>
        <v>6.5000000000000002E-2</v>
      </c>
      <c r="G427" s="84">
        <f>O426</f>
        <v>107.15894129034214</v>
      </c>
      <c r="H427" s="84">
        <v>0</v>
      </c>
      <c r="I427" s="109">
        <f t="shared" si="260"/>
        <v>6.108941290341523</v>
      </c>
      <c r="J427" s="85">
        <f t="shared" si="259"/>
        <v>1.7556451203184824</v>
      </c>
      <c r="K427" s="129">
        <f>+SUM(I427:J427)</f>
        <v>7.8645864106600056</v>
      </c>
      <c r="L427" s="85">
        <f t="shared" si="258"/>
        <v>101.05</v>
      </c>
      <c r="M427" s="130">
        <f>+SUM(K427:L427)</f>
        <v>108.91458641066001</v>
      </c>
      <c r="N427" s="8">
        <f>+G427+H427+J427</f>
        <v>108.91458641066062</v>
      </c>
      <c r="O427" s="84">
        <f>G427+H427-L427-I427</f>
        <v>6.2172489379008766E-13</v>
      </c>
    </row>
    <row r="428" spans="1:15" x14ac:dyDescent="0.2">
      <c r="A428" s="96"/>
      <c r="B428" s="81"/>
      <c r="C428" s="82"/>
      <c r="D428" s="82"/>
      <c r="E428" s="81"/>
      <c r="F428" s="83"/>
      <c r="G428" s="84"/>
      <c r="H428" s="84"/>
      <c r="I428" s="109"/>
      <c r="J428" s="85"/>
      <c r="K428" s="129"/>
      <c r="L428" s="85"/>
      <c r="M428" s="130"/>
      <c r="N428" s="8"/>
      <c r="O428" s="84"/>
    </row>
    <row r="429" spans="1:15" ht="13.5" thickBot="1" x14ac:dyDescent="0.25">
      <c r="A429" s="151"/>
      <c r="B429" s="152"/>
      <c r="C429" s="153"/>
      <c r="D429" s="153"/>
      <c r="E429" s="154"/>
      <c r="F429" s="152"/>
      <c r="G429" s="137">
        <f t="shared" ref="G429:O429" si="262">SUM(G401:G428)</f>
        <v>36884.434734020608</v>
      </c>
      <c r="H429" s="137">
        <f t="shared" si="262"/>
        <v>122.17882580683046</v>
      </c>
      <c r="I429" s="138">
        <f t="shared" si="262"/>
        <v>122.17882580683042</v>
      </c>
      <c r="J429" s="137">
        <f t="shared" si="262"/>
        <v>247.13782561010953</v>
      </c>
      <c r="K429" s="137">
        <f t="shared" si="262"/>
        <v>369.31665141693992</v>
      </c>
      <c r="L429" s="137">
        <f t="shared" si="262"/>
        <v>2020.9999999999993</v>
      </c>
      <c r="M429" s="139">
        <f t="shared" si="262"/>
        <v>2390.3166514169397</v>
      </c>
      <c r="N429" s="137">
        <f t="shared" si="262"/>
        <v>37253.75138543755</v>
      </c>
      <c r="O429" s="137">
        <f t="shared" si="262"/>
        <v>34863.434734020622</v>
      </c>
    </row>
    <row r="430" spans="1:15" ht="13.5" thickTop="1" x14ac:dyDescent="0.2">
      <c r="B430" s="117"/>
      <c r="C430" s="117"/>
      <c r="D430" s="117"/>
      <c r="E430" s="117"/>
      <c r="F430" s="117"/>
      <c r="G430" s="117"/>
      <c r="H430" s="117"/>
      <c r="I430" s="116"/>
      <c r="J430" s="117"/>
      <c r="K430" s="117"/>
      <c r="L430" s="117"/>
      <c r="M430" s="131"/>
      <c r="O430" s="117"/>
    </row>
    <row r="431" spans="1:15" ht="38.25" x14ac:dyDescent="0.2">
      <c r="A431" s="90" t="s">
        <v>53</v>
      </c>
      <c r="B431" s="90" t="s">
        <v>3</v>
      </c>
      <c r="C431" s="90" t="s">
        <v>4</v>
      </c>
      <c r="D431" s="90" t="s">
        <v>5</v>
      </c>
      <c r="E431" s="90" t="s">
        <v>6</v>
      </c>
      <c r="F431" s="90" t="s">
        <v>7</v>
      </c>
      <c r="G431" s="90" t="s">
        <v>93</v>
      </c>
      <c r="H431" s="90" t="s">
        <v>94</v>
      </c>
      <c r="I431" s="105" t="s">
        <v>95</v>
      </c>
      <c r="J431" s="106" t="s">
        <v>96</v>
      </c>
      <c r="K431" s="106" t="s">
        <v>97</v>
      </c>
      <c r="L431" s="106" t="s">
        <v>98</v>
      </c>
      <c r="M431" s="107" t="s">
        <v>99</v>
      </c>
      <c r="N431" s="90" t="s">
        <v>100</v>
      </c>
      <c r="O431" s="90" t="s">
        <v>101</v>
      </c>
    </row>
    <row r="432" spans="1:15" x14ac:dyDescent="0.2">
      <c r="A432" s="309" t="s">
        <v>15</v>
      </c>
      <c r="B432" s="309"/>
      <c r="C432" s="282">
        <f>VLOOKUP(B433,A$1:F$18,2,FALSE)</f>
        <v>42124</v>
      </c>
      <c r="D432" s="282">
        <f>DATE(YEAR(C432),IF(MONTH(C432)&lt;=3,3,IF(MONTH(C432)&lt;=6,6,IF(MONTH(C432)&lt;=9,9,12))),IF(OR(MONTH(C432)&lt;=3,MONTH(C432)&gt;=10),31,30))</f>
        <v>42185</v>
      </c>
      <c r="E432" s="283">
        <f>D432-C432+1</f>
        <v>62</v>
      </c>
      <c r="F432" s="284">
        <f>VLOOKUP(D432,'FERC Interest Rate'!$A:$B,2,TRUE)</f>
        <v>3.2500000000000001E-2</v>
      </c>
      <c r="G432" s="167">
        <f>VLOOKUP(B433,$A$1:$F$22,5,FALSE)</f>
        <v>3375.5</v>
      </c>
      <c r="H432" s="167">
        <f t="shared" ref="H432:H438" si="263">G432*F432*(E432/(DATE(YEAR(D432),12,31)-DATE(YEAR(D432),1,1)+1))</f>
        <v>18.634609589041094</v>
      </c>
      <c r="I432" s="291">
        <v>0</v>
      </c>
      <c r="J432" s="286">
        <v>0</v>
      </c>
      <c r="K432" s="288">
        <f t="shared" ref="K432:K457" si="264">+SUM(I432:J432)</f>
        <v>0</v>
      </c>
      <c r="L432" s="286">
        <v>0</v>
      </c>
      <c r="M432" s="289">
        <f t="shared" ref="M432:M457" si="265">+SUM(K432:L432)</f>
        <v>0</v>
      </c>
      <c r="N432" s="290">
        <f t="shared" ref="N432:N457" si="266">+G432+H432+J432</f>
        <v>3394.1346095890412</v>
      </c>
      <c r="O432" s="167">
        <f t="shared" ref="O432:O457" si="267">G432+H432-L432-I432</f>
        <v>3394.1346095890412</v>
      </c>
    </row>
    <row r="433" spans="1:15" x14ac:dyDescent="0.2">
      <c r="A433" s="275" t="s">
        <v>38</v>
      </c>
      <c r="B433" s="276" t="s">
        <v>65</v>
      </c>
      <c r="C433" s="282">
        <f>D432+1</f>
        <v>42186</v>
      </c>
      <c r="D433" s="282">
        <f>EOMONTH(D432,3)</f>
        <v>42277</v>
      </c>
      <c r="E433" s="283">
        <f t="shared" ref="E433:E457" si="268">D433-C433+1</f>
        <v>92</v>
      </c>
      <c r="F433" s="284">
        <f>VLOOKUP(D433,'FERC Interest Rate'!$A:$B,2,TRUE)</f>
        <v>3.2500000000000001E-2</v>
      </c>
      <c r="G433" s="167">
        <f t="shared" ref="G433:G457" si="269">O432</f>
        <v>3394.1346095890412</v>
      </c>
      <c r="H433" s="167">
        <f t="shared" si="263"/>
        <v>27.804006801838998</v>
      </c>
      <c r="I433" s="291">
        <v>0</v>
      </c>
      <c r="J433" s="286">
        <v>0</v>
      </c>
      <c r="K433" s="288">
        <f t="shared" si="264"/>
        <v>0</v>
      </c>
      <c r="L433" s="286">
        <v>0</v>
      </c>
      <c r="M433" s="289">
        <f t="shared" si="265"/>
        <v>0</v>
      </c>
      <c r="N433" s="290">
        <f t="shared" si="266"/>
        <v>3421.9386163908803</v>
      </c>
      <c r="O433" s="167">
        <f t="shared" si="267"/>
        <v>3421.9386163908803</v>
      </c>
    </row>
    <row r="434" spans="1:15" x14ac:dyDescent="0.2">
      <c r="B434" s="283"/>
      <c r="C434" s="282">
        <f t="shared" ref="C434:C457" si="270">D433+1</f>
        <v>42278</v>
      </c>
      <c r="D434" s="282">
        <f t="shared" ref="D434:D457" si="271">EOMONTH(D433,3)</f>
        <v>42369</v>
      </c>
      <c r="E434" s="283">
        <f t="shared" si="268"/>
        <v>92</v>
      </c>
      <c r="F434" s="284">
        <f>VLOOKUP(D434,'FERC Interest Rate'!$A:$B,2,TRUE)</f>
        <v>3.2500000000000001E-2</v>
      </c>
      <c r="G434" s="167">
        <f t="shared" si="269"/>
        <v>3421.9386163908803</v>
      </c>
      <c r="H434" s="167">
        <f t="shared" si="263"/>
        <v>28.031771131530775</v>
      </c>
      <c r="I434" s="291">
        <v>0</v>
      </c>
      <c r="J434" s="286">
        <v>0</v>
      </c>
      <c r="K434" s="288">
        <f t="shared" si="264"/>
        <v>0</v>
      </c>
      <c r="L434" s="286">
        <v>0</v>
      </c>
      <c r="M434" s="289">
        <f t="shared" si="265"/>
        <v>0</v>
      </c>
      <c r="N434" s="290">
        <f t="shared" si="266"/>
        <v>3449.9703875224109</v>
      </c>
      <c r="O434" s="167">
        <f t="shared" si="267"/>
        <v>3449.9703875224109</v>
      </c>
    </row>
    <row r="435" spans="1:15" x14ac:dyDescent="0.2">
      <c r="B435" s="283"/>
      <c r="C435" s="282">
        <f t="shared" si="270"/>
        <v>42370</v>
      </c>
      <c r="D435" s="282">
        <f t="shared" si="271"/>
        <v>42460</v>
      </c>
      <c r="E435" s="283">
        <f t="shared" si="268"/>
        <v>91</v>
      </c>
      <c r="F435" s="284">
        <f>VLOOKUP(D435,'FERC Interest Rate'!$A:$B,2,TRUE)</f>
        <v>3.2500000000000001E-2</v>
      </c>
      <c r="G435" s="167">
        <f t="shared" si="269"/>
        <v>3449.9703875224109</v>
      </c>
      <c r="H435" s="167">
        <f t="shared" si="263"/>
        <v>27.877834483873034</v>
      </c>
      <c r="I435" s="291">
        <v>0</v>
      </c>
      <c r="J435" s="286">
        <v>0</v>
      </c>
      <c r="K435" s="288">
        <f t="shared" si="264"/>
        <v>0</v>
      </c>
      <c r="L435" s="286">
        <v>0</v>
      </c>
      <c r="M435" s="289">
        <f t="shared" si="265"/>
        <v>0</v>
      </c>
      <c r="N435" s="290">
        <f t="shared" si="266"/>
        <v>3477.8482220062838</v>
      </c>
      <c r="O435" s="167">
        <f t="shared" si="267"/>
        <v>3477.8482220062838</v>
      </c>
    </row>
    <row r="436" spans="1:15" x14ac:dyDescent="0.2">
      <c r="B436" s="283"/>
      <c r="C436" s="282">
        <f t="shared" si="270"/>
        <v>42461</v>
      </c>
      <c r="D436" s="282">
        <f t="shared" si="271"/>
        <v>42551</v>
      </c>
      <c r="E436" s="283">
        <f t="shared" si="268"/>
        <v>91</v>
      </c>
      <c r="F436" s="284">
        <f>VLOOKUP(D436,'FERC Interest Rate'!$A:$B,2,TRUE)</f>
        <v>3.4599999999999999E-2</v>
      </c>
      <c r="G436" s="167">
        <f t="shared" si="269"/>
        <v>3477.8482220062838</v>
      </c>
      <c r="H436" s="167">
        <f t="shared" si="263"/>
        <v>29.918997026800504</v>
      </c>
      <c r="I436" s="291">
        <v>0</v>
      </c>
      <c r="J436" s="286">
        <v>0</v>
      </c>
      <c r="K436" s="288">
        <f t="shared" si="264"/>
        <v>0</v>
      </c>
      <c r="L436" s="286">
        <v>0</v>
      </c>
      <c r="M436" s="289">
        <f t="shared" si="265"/>
        <v>0</v>
      </c>
      <c r="N436" s="290">
        <f t="shared" si="266"/>
        <v>3507.7672190330841</v>
      </c>
      <c r="O436" s="167">
        <f t="shared" si="267"/>
        <v>3507.7672190330841</v>
      </c>
    </row>
    <row r="437" spans="1:15" x14ac:dyDescent="0.2">
      <c r="B437" s="283"/>
      <c r="C437" s="282">
        <f t="shared" si="270"/>
        <v>42552</v>
      </c>
      <c r="D437" s="282">
        <f t="shared" si="271"/>
        <v>42643</v>
      </c>
      <c r="E437" s="283">
        <f t="shared" si="268"/>
        <v>92</v>
      </c>
      <c r="F437" s="284">
        <f>VLOOKUP(D437,'FERC Interest Rate'!$A:$B,2,TRUE)</f>
        <v>3.5000000000000003E-2</v>
      </c>
      <c r="G437" s="167">
        <f t="shared" si="269"/>
        <v>3507.7672190330841</v>
      </c>
      <c r="H437" s="167">
        <f t="shared" si="263"/>
        <v>30.860684276739157</v>
      </c>
      <c r="I437" s="291">
        <v>0</v>
      </c>
      <c r="J437" s="286">
        <v>0</v>
      </c>
      <c r="K437" s="288">
        <f t="shared" si="264"/>
        <v>0</v>
      </c>
      <c r="L437" s="286">
        <v>0</v>
      </c>
      <c r="M437" s="289">
        <f t="shared" si="265"/>
        <v>0</v>
      </c>
      <c r="N437" s="290">
        <f t="shared" si="266"/>
        <v>3538.6279033098231</v>
      </c>
      <c r="O437" s="167">
        <f t="shared" si="267"/>
        <v>3538.6279033098231</v>
      </c>
    </row>
    <row r="438" spans="1:15" x14ac:dyDescent="0.2">
      <c r="A438" s="17" t="s">
        <v>54</v>
      </c>
      <c r="B438" s="81" t="str">
        <f t="shared" ref="B438:B452" si="272">+IF(MONTH(C438)&lt;4,"Q1",IF(MONTH(C438)&lt;7,"Q2",IF(MONTH(C438)&lt;10,"Q3","Q4")))&amp;"/"&amp;YEAR(C438)</f>
        <v>Q4/2016</v>
      </c>
      <c r="C438" s="82">
        <f t="shared" si="270"/>
        <v>42644</v>
      </c>
      <c r="D438" s="82">
        <f t="shared" si="271"/>
        <v>42735</v>
      </c>
      <c r="E438" s="81">
        <f t="shared" si="268"/>
        <v>92</v>
      </c>
      <c r="F438" s="83">
        <f>VLOOKUP(D438,'FERC Interest Rate'!$A:$B,2,TRUE)</f>
        <v>3.5000000000000003E-2</v>
      </c>
      <c r="G438" s="84">
        <f t="shared" si="269"/>
        <v>3538.6279033098231</v>
      </c>
      <c r="H438" s="167">
        <f t="shared" si="263"/>
        <v>31.132190843326864</v>
      </c>
      <c r="I438" s="173">
        <f>(SUM($H$432:$H$458)/20)</f>
        <v>9.7130047076575217</v>
      </c>
      <c r="J438" s="286">
        <v>0</v>
      </c>
      <c r="K438" s="129">
        <f t="shared" si="264"/>
        <v>9.7130047076575217</v>
      </c>
      <c r="L438" s="85">
        <f t="shared" ref="L438:L457" si="273">VLOOKUP($B$433,A$1:F$18,5,FALSE)/20</f>
        <v>168.77500000000001</v>
      </c>
      <c r="M438" s="130">
        <f t="shared" si="265"/>
        <v>178.48800470765752</v>
      </c>
      <c r="N438" s="8">
        <f t="shared" si="266"/>
        <v>3569.76009415315</v>
      </c>
      <c r="O438" s="84">
        <f t="shared" si="267"/>
        <v>3391.2720894454924</v>
      </c>
    </row>
    <row r="439" spans="1:15" x14ac:dyDescent="0.2">
      <c r="A439" s="17" t="s">
        <v>55</v>
      </c>
      <c r="B439" s="81" t="str">
        <f t="shared" si="272"/>
        <v>Q1/2017</v>
      </c>
      <c r="C439" s="82">
        <f t="shared" si="270"/>
        <v>42736</v>
      </c>
      <c r="D439" s="82">
        <f t="shared" si="271"/>
        <v>42825</v>
      </c>
      <c r="E439" s="81">
        <f t="shared" si="268"/>
        <v>90</v>
      </c>
      <c r="F439" s="83">
        <f>VLOOKUP(D439,'FERC Interest Rate'!$A:$B,2,TRUE)</f>
        <v>3.5000000000000003E-2</v>
      </c>
      <c r="G439" s="84">
        <f t="shared" si="269"/>
        <v>3391.2720894454924</v>
      </c>
      <c r="H439" s="84">
        <v>0</v>
      </c>
      <c r="I439" s="173">
        <f t="shared" ref="I439:I457" si="274">(SUM($H$432:$H$458)/20)</f>
        <v>9.7130047076575217</v>
      </c>
      <c r="J439" s="85">
        <f t="shared" ref="J439:J440" si="275">G439*F439*(E439/(DATE(YEAR(D439),12,31)-DATE(YEAR(D439),1,1)+1))</f>
        <v>29.267142689735074</v>
      </c>
      <c r="K439" s="129">
        <f t="shared" si="264"/>
        <v>38.980147397392599</v>
      </c>
      <c r="L439" s="85">
        <f t="shared" si="273"/>
        <v>168.77500000000001</v>
      </c>
      <c r="M439" s="130">
        <f t="shared" si="265"/>
        <v>207.75514739739259</v>
      </c>
      <c r="N439" s="8">
        <f t="shared" si="266"/>
        <v>3420.5392321352274</v>
      </c>
      <c r="O439" s="84">
        <f t="shared" si="267"/>
        <v>3212.7840847378347</v>
      </c>
    </row>
    <row r="440" spans="1:15" x14ac:dyDescent="0.2">
      <c r="A440" s="17" t="s">
        <v>56</v>
      </c>
      <c r="B440" s="81" t="str">
        <f t="shared" si="272"/>
        <v>Q2/2017</v>
      </c>
      <c r="C440" s="82">
        <f t="shared" si="270"/>
        <v>42826</v>
      </c>
      <c r="D440" s="82">
        <f t="shared" si="271"/>
        <v>42916</v>
      </c>
      <c r="E440" s="81">
        <f t="shared" si="268"/>
        <v>91</v>
      </c>
      <c r="F440" s="83">
        <f>VLOOKUP(D440,'FERC Interest Rate'!$A:$B,2,TRUE)</f>
        <v>3.7100000000000001E-2</v>
      </c>
      <c r="G440" s="84">
        <f t="shared" si="269"/>
        <v>3212.7840847378347</v>
      </c>
      <c r="H440" s="84">
        <v>0</v>
      </c>
      <c r="I440" s="173">
        <f t="shared" si="274"/>
        <v>9.7130047076575217</v>
      </c>
      <c r="J440" s="85">
        <f t="shared" si="275"/>
        <v>29.716932461598368</v>
      </c>
      <c r="K440" s="129">
        <f t="shared" si="264"/>
        <v>39.429937169255894</v>
      </c>
      <c r="L440" s="85">
        <f t="shared" si="273"/>
        <v>168.77500000000001</v>
      </c>
      <c r="M440" s="130">
        <f t="shared" si="265"/>
        <v>208.20493716925591</v>
      </c>
      <c r="N440" s="8">
        <f t="shared" si="266"/>
        <v>3242.5010171994331</v>
      </c>
      <c r="O440" s="84">
        <f t="shared" si="267"/>
        <v>3034.2960800301771</v>
      </c>
    </row>
    <row r="441" spans="1:15" x14ac:dyDescent="0.2">
      <c r="A441" s="17" t="s">
        <v>57</v>
      </c>
      <c r="B441" s="81" t="str">
        <f t="shared" si="272"/>
        <v>Q3/2017</v>
      </c>
      <c r="C441" s="82">
        <f t="shared" si="270"/>
        <v>42917</v>
      </c>
      <c r="D441" s="82">
        <f t="shared" si="271"/>
        <v>43008</v>
      </c>
      <c r="E441" s="81">
        <f t="shared" si="268"/>
        <v>92</v>
      </c>
      <c r="F441" s="83">
        <f>VLOOKUP(D441,'FERC Interest Rate'!$A:$B,2,TRUE)</f>
        <v>3.9600000000000003E-2</v>
      </c>
      <c r="G441" s="84">
        <f t="shared" si="269"/>
        <v>3034.2960800301771</v>
      </c>
      <c r="H441" s="84">
        <v>0</v>
      </c>
      <c r="I441" s="109">
        <f t="shared" si="274"/>
        <v>9.7130047076575217</v>
      </c>
      <c r="J441" s="85">
        <f>G441*F441*(E441/(DATE(YEAR(D441),12,31)-DATE(YEAR(D441),1,1)+1))</f>
        <v>30.286431448673817</v>
      </c>
      <c r="K441" s="129">
        <f t="shared" si="264"/>
        <v>39.999436156331342</v>
      </c>
      <c r="L441" s="85">
        <f t="shared" si="273"/>
        <v>168.77500000000001</v>
      </c>
      <c r="M441" s="130">
        <f t="shared" si="265"/>
        <v>208.77443615633135</v>
      </c>
      <c r="N441" s="8">
        <f t="shared" si="266"/>
        <v>3064.5825114788508</v>
      </c>
      <c r="O441" s="84">
        <f t="shared" si="267"/>
        <v>2855.8080753225195</v>
      </c>
    </row>
    <row r="442" spans="1:15" x14ac:dyDescent="0.2">
      <c r="A442" s="17" t="s">
        <v>58</v>
      </c>
      <c r="B442" s="81" t="str">
        <f t="shared" si="272"/>
        <v>Q4/2017</v>
      </c>
      <c r="C442" s="82">
        <f t="shared" si="270"/>
        <v>43009</v>
      </c>
      <c r="D442" s="82">
        <f t="shared" si="271"/>
        <v>43100</v>
      </c>
      <c r="E442" s="81">
        <f t="shared" si="268"/>
        <v>92</v>
      </c>
      <c r="F442" s="83">
        <f>VLOOKUP(D442,'FERC Interest Rate'!$A:$B,2,TRUE)</f>
        <v>4.2099999999999999E-2</v>
      </c>
      <c r="G442" s="84">
        <f t="shared" si="269"/>
        <v>2855.8080753225195</v>
      </c>
      <c r="H442" s="84">
        <v>0</v>
      </c>
      <c r="I442" s="109">
        <f t="shared" si="274"/>
        <v>9.7130047076575217</v>
      </c>
      <c r="J442" s="85">
        <f>G442*F442*(E442/(DATE(YEAR(D442),12,31)-DATE(YEAR(D442),1,1)+1))</f>
        <v>30.3044269516142</v>
      </c>
      <c r="K442" s="129">
        <f t="shared" si="264"/>
        <v>40.017431659271722</v>
      </c>
      <c r="L442" s="85">
        <f t="shared" si="273"/>
        <v>168.77500000000001</v>
      </c>
      <c r="M442" s="130">
        <f t="shared" si="265"/>
        <v>208.79243165927173</v>
      </c>
      <c r="N442" s="8">
        <f t="shared" si="266"/>
        <v>2886.1125022741335</v>
      </c>
      <c r="O442" s="84">
        <f t="shared" si="267"/>
        <v>2677.3200706148618</v>
      </c>
    </row>
    <row r="443" spans="1:15" x14ac:dyDescent="0.2">
      <c r="A443" s="17" t="s">
        <v>59</v>
      </c>
      <c r="B443" s="81" t="str">
        <f t="shared" si="272"/>
        <v>Q1/2018</v>
      </c>
      <c r="C443" s="82">
        <f t="shared" si="270"/>
        <v>43101</v>
      </c>
      <c r="D443" s="82">
        <f t="shared" si="271"/>
        <v>43190</v>
      </c>
      <c r="E443" s="81">
        <f t="shared" si="268"/>
        <v>90</v>
      </c>
      <c r="F443" s="83">
        <f>VLOOKUP(D443,'FERC Interest Rate'!$A:$B,2,TRUE)</f>
        <v>4.2500000000000003E-2</v>
      </c>
      <c r="G443" s="84">
        <f t="shared" si="269"/>
        <v>2677.3200706148618</v>
      </c>
      <c r="H443" s="84">
        <v>0</v>
      </c>
      <c r="I443" s="109">
        <f t="shared" si="274"/>
        <v>9.7130047076575217</v>
      </c>
      <c r="J443" s="85">
        <f>G443*F443*(E443/(DATE(YEAR(D443),12,31)-DATE(YEAR(D443),1,1)+1))</f>
        <v>28.056847315347525</v>
      </c>
      <c r="K443" s="129">
        <f t="shared" si="264"/>
        <v>37.769852023005043</v>
      </c>
      <c r="L443" s="85">
        <f t="shared" si="273"/>
        <v>168.77500000000001</v>
      </c>
      <c r="M443" s="130">
        <f t="shared" si="265"/>
        <v>206.54485202300503</v>
      </c>
      <c r="N443" s="8">
        <f t="shared" si="266"/>
        <v>2705.3769179302094</v>
      </c>
      <c r="O443" s="84">
        <f t="shared" si="267"/>
        <v>2498.8320659072042</v>
      </c>
    </row>
    <row r="444" spans="1:15" x14ac:dyDescent="0.2">
      <c r="A444" s="17" t="s">
        <v>60</v>
      </c>
      <c r="B444" s="81" t="str">
        <f t="shared" si="272"/>
        <v>Q2/2018</v>
      </c>
      <c r="C444" s="82">
        <f t="shared" si="270"/>
        <v>43191</v>
      </c>
      <c r="D444" s="82">
        <f t="shared" si="271"/>
        <v>43281</v>
      </c>
      <c r="E444" s="81">
        <f t="shared" si="268"/>
        <v>91</v>
      </c>
      <c r="F444" s="83">
        <f>VLOOKUP(D444,'FERC Interest Rate'!$A:$B,2,TRUE)</f>
        <v>4.4699999999999997E-2</v>
      </c>
      <c r="G444" s="84">
        <f t="shared" si="269"/>
        <v>2498.8320659072042</v>
      </c>
      <c r="H444" s="84">
        <v>0</v>
      </c>
      <c r="I444" s="109">
        <f t="shared" si="274"/>
        <v>9.7130047076575217</v>
      </c>
      <c r="J444" s="85">
        <f t="shared" ref="J444:J457" si="276">G444*F444*(E444/(DATE(YEAR(D444),12,31)-DATE(YEAR(D444),1,1)+1))</f>
        <v>27.847942998604751</v>
      </c>
      <c r="K444" s="129">
        <f t="shared" si="264"/>
        <v>37.560947706262269</v>
      </c>
      <c r="L444" s="85">
        <f t="shared" si="273"/>
        <v>168.77500000000001</v>
      </c>
      <c r="M444" s="130">
        <f t="shared" si="265"/>
        <v>206.33594770626229</v>
      </c>
      <c r="N444" s="8">
        <f t="shared" si="266"/>
        <v>2526.6800089058088</v>
      </c>
      <c r="O444" s="84">
        <f t="shared" si="267"/>
        <v>2320.3440611995466</v>
      </c>
    </row>
    <row r="445" spans="1:15" x14ac:dyDescent="0.2">
      <c r="A445" s="17" t="s">
        <v>61</v>
      </c>
      <c r="B445" s="81" t="str">
        <f t="shared" si="272"/>
        <v>Q3/2018</v>
      </c>
      <c r="C445" s="82">
        <f t="shared" si="270"/>
        <v>43282</v>
      </c>
      <c r="D445" s="82">
        <f t="shared" si="271"/>
        <v>43373</v>
      </c>
      <c r="E445" s="81">
        <f t="shared" si="268"/>
        <v>92</v>
      </c>
      <c r="F445" s="83">
        <f>VLOOKUP(D445,'FERC Interest Rate'!$A:$B,2,TRUE)</f>
        <v>5.011111E-2</v>
      </c>
      <c r="G445" s="84">
        <f t="shared" si="269"/>
        <v>2320.3440611995466</v>
      </c>
      <c r="H445" s="84">
        <v>0</v>
      </c>
      <c r="I445" s="109">
        <f t="shared" si="274"/>
        <v>9.7130047076575217</v>
      </c>
      <c r="J445" s="85">
        <f t="shared" si="276"/>
        <v>29.307675388911736</v>
      </c>
      <c r="K445" s="129">
        <f t="shared" si="264"/>
        <v>39.020680096569258</v>
      </c>
      <c r="L445" s="85">
        <f t="shared" si="273"/>
        <v>168.77500000000001</v>
      </c>
      <c r="M445" s="130">
        <f t="shared" si="265"/>
        <v>207.79568009656927</v>
      </c>
      <c r="N445" s="8">
        <f t="shared" si="266"/>
        <v>2349.6517365884583</v>
      </c>
      <c r="O445" s="84">
        <f t="shared" si="267"/>
        <v>2141.8560564918889</v>
      </c>
    </row>
    <row r="446" spans="1:15" x14ac:dyDescent="0.2">
      <c r="A446" s="17" t="s">
        <v>62</v>
      </c>
      <c r="B446" s="81" t="str">
        <f t="shared" si="272"/>
        <v>Q4/2018</v>
      </c>
      <c r="C446" s="82">
        <f t="shared" si="270"/>
        <v>43374</v>
      </c>
      <c r="D446" s="82">
        <f t="shared" si="271"/>
        <v>43465</v>
      </c>
      <c r="E446" s="81">
        <f t="shared" si="268"/>
        <v>92</v>
      </c>
      <c r="F446" s="83">
        <f>VLOOKUP(D446,'FERC Interest Rate'!$A:$B,2,TRUE)</f>
        <v>5.2822580000000001E-2</v>
      </c>
      <c r="G446" s="84">
        <f t="shared" si="269"/>
        <v>2141.8560564918889</v>
      </c>
      <c r="H446" s="84">
        <v>0</v>
      </c>
      <c r="I446" s="109">
        <f t="shared" si="274"/>
        <v>9.7130047076575217</v>
      </c>
      <c r="J446" s="85">
        <f t="shared" si="276"/>
        <v>28.517066811267163</v>
      </c>
      <c r="K446" s="129">
        <f t="shared" si="264"/>
        <v>38.230071518924689</v>
      </c>
      <c r="L446" s="85">
        <f t="shared" si="273"/>
        <v>168.77500000000001</v>
      </c>
      <c r="M446" s="130">
        <f t="shared" si="265"/>
        <v>207.00507151892469</v>
      </c>
      <c r="N446" s="8">
        <f t="shared" si="266"/>
        <v>2170.3731233031563</v>
      </c>
      <c r="O446" s="84">
        <f t="shared" si="267"/>
        <v>1963.3680517842313</v>
      </c>
    </row>
    <row r="447" spans="1:15" x14ac:dyDescent="0.2">
      <c r="A447" s="17" t="s">
        <v>63</v>
      </c>
      <c r="B447" s="81" t="str">
        <f t="shared" si="272"/>
        <v>Q1/2019</v>
      </c>
      <c r="C447" s="82">
        <f t="shared" si="270"/>
        <v>43466</v>
      </c>
      <c r="D447" s="82">
        <f t="shared" si="271"/>
        <v>43555</v>
      </c>
      <c r="E447" s="81">
        <f t="shared" si="268"/>
        <v>90</v>
      </c>
      <c r="F447" s="83">
        <f>VLOOKUP(D447,'FERC Interest Rate'!$A:$B,2,TRUE)</f>
        <v>5.5296770000000002E-2</v>
      </c>
      <c r="G447" s="84">
        <f t="shared" si="269"/>
        <v>1963.3680517842313</v>
      </c>
      <c r="H447" s="84">
        <v>0</v>
      </c>
      <c r="I447" s="109">
        <f t="shared" si="274"/>
        <v>9.7130047076575217</v>
      </c>
      <c r="J447" s="85">
        <f t="shared" si="276"/>
        <v>26.770169979828669</v>
      </c>
      <c r="K447" s="129">
        <f t="shared" si="264"/>
        <v>36.483174687486191</v>
      </c>
      <c r="L447" s="85">
        <f t="shared" si="273"/>
        <v>168.77500000000001</v>
      </c>
      <c r="M447" s="130">
        <f t="shared" si="265"/>
        <v>205.25817468748619</v>
      </c>
      <c r="N447" s="8">
        <f t="shared" si="266"/>
        <v>1990.1382217640601</v>
      </c>
      <c r="O447" s="84">
        <f t="shared" si="267"/>
        <v>1784.8800470765736</v>
      </c>
    </row>
    <row r="448" spans="1:15" x14ac:dyDescent="0.2">
      <c r="A448" s="17" t="s">
        <v>64</v>
      </c>
      <c r="B448" s="81" t="str">
        <f t="shared" si="272"/>
        <v>Q2/2019</v>
      </c>
      <c r="C448" s="82">
        <f t="shared" si="270"/>
        <v>43556</v>
      </c>
      <c r="D448" s="82">
        <f t="shared" si="271"/>
        <v>43646</v>
      </c>
      <c r="E448" s="81">
        <f t="shared" si="268"/>
        <v>91</v>
      </c>
      <c r="F448" s="83">
        <f>VLOOKUP(D448,'FERC Interest Rate'!$A:$B,2,TRUE)</f>
        <v>5.7999999999999996E-2</v>
      </c>
      <c r="G448" s="84">
        <f t="shared" si="269"/>
        <v>1784.8800470765736</v>
      </c>
      <c r="H448" s="84">
        <v>0</v>
      </c>
      <c r="I448" s="109">
        <f t="shared" si="274"/>
        <v>9.7130047076575217</v>
      </c>
      <c r="J448" s="85">
        <f t="shared" si="276"/>
        <v>25.809854488959328</v>
      </c>
      <c r="K448" s="129">
        <f t="shared" si="264"/>
        <v>35.522859196616849</v>
      </c>
      <c r="L448" s="85">
        <f t="shared" si="273"/>
        <v>168.77500000000001</v>
      </c>
      <c r="M448" s="130">
        <f t="shared" si="265"/>
        <v>204.29785919661686</v>
      </c>
      <c r="N448" s="8">
        <f t="shared" si="266"/>
        <v>1810.6899015655329</v>
      </c>
      <c r="O448" s="84">
        <f t="shared" si="267"/>
        <v>1606.392042368916</v>
      </c>
    </row>
    <row r="449" spans="1:15" x14ac:dyDescent="0.2">
      <c r="A449" s="17" t="s">
        <v>65</v>
      </c>
      <c r="B449" s="81" t="str">
        <f t="shared" si="272"/>
        <v>Q3/2019</v>
      </c>
      <c r="C449" s="82">
        <f t="shared" si="270"/>
        <v>43647</v>
      </c>
      <c r="D449" s="82">
        <f t="shared" si="271"/>
        <v>43738</v>
      </c>
      <c r="E449" s="81">
        <f t="shared" si="268"/>
        <v>92</v>
      </c>
      <c r="F449" s="83">
        <f>VLOOKUP(D449,'FERC Interest Rate'!$A:$B,2,TRUE)</f>
        <v>0.06</v>
      </c>
      <c r="G449" s="84">
        <f t="shared" si="269"/>
        <v>1606.392042368916</v>
      </c>
      <c r="H449" s="84">
        <v>0</v>
      </c>
      <c r="I449" s="109">
        <f t="shared" si="274"/>
        <v>9.7130047076575217</v>
      </c>
      <c r="J449" s="85">
        <f t="shared" si="276"/>
        <v>24.29392896952443</v>
      </c>
      <c r="K449" s="129">
        <f t="shared" si="264"/>
        <v>34.006933677181948</v>
      </c>
      <c r="L449" s="85">
        <f t="shared" si="273"/>
        <v>168.77500000000001</v>
      </c>
      <c r="M449" s="130">
        <f t="shared" si="265"/>
        <v>202.78193367718194</v>
      </c>
      <c r="N449" s="8">
        <f t="shared" si="266"/>
        <v>1630.6859713384404</v>
      </c>
      <c r="O449" s="84">
        <f t="shared" si="267"/>
        <v>1427.9040376612584</v>
      </c>
    </row>
    <row r="450" spans="1:15" x14ac:dyDescent="0.2">
      <c r="A450" s="17" t="s">
        <v>66</v>
      </c>
      <c r="B450" s="81" t="str">
        <f t="shared" si="272"/>
        <v>Q4/2019</v>
      </c>
      <c r="C450" s="82">
        <f t="shared" si="270"/>
        <v>43739</v>
      </c>
      <c r="D450" s="82">
        <f t="shared" si="271"/>
        <v>43830</v>
      </c>
      <c r="E450" s="81">
        <f t="shared" si="268"/>
        <v>92</v>
      </c>
      <c r="F450" s="83">
        <f>VLOOKUP(D450,'FERC Interest Rate'!$A:$B,2,TRUE)</f>
        <v>6.0349460000000001E-2</v>
      </c>
      <c r="G450" s="84">
        <f t="shared" si="269"/>
        <v>1427.9040376612584</v>
      </c>
      <c r="H450" s="84">
        <v>0</v>
      </c>
      <c r="I450" s="109">
        <f t="shared" si="274"/>
        <v>9.7130047076575217</v>
      </c>
      <c r="J450" s="85">
        <f t="shared" si="276"/>
        <v>21.720377697617117</v>
      </c>
      <c r="K450" s="129">
        <f t="shared" si="264"/>
        <v>31.433382405274639</v>
      </c>
      <c r="L450" s="85">
        <f t="shared" si="273"/>
        <v>168.77500000000001</v>
      </c>
      <c r="M450" s="130">
        <f t="shared" si="265"/>
        <v>200.20838240527465</v>
      </c>
      <c r="N450" s="8">
        <f t="shared" si="266"/>
        <v>1449.6244153588755</v>
      </c>
      <c r="O450" s="84">
        <f t="shared" si="267"/>
        <v>1249.4160329536007</v>
      </c>
    </row>
    <row r="451" spans="1:15" x14ac:dyDescent="0.2">
      <c r="A451" s="17" t="s">
        <v>67</v>
      </c>
      <c r="B451" s="81" t="str">
        <f t="shared" si="272"/>
        <v>Q1/2020</v>
      </c>
      <c r="C451" s="82">
        <f t="shared" si="270"/>
        <v>43831</v>
      </c>
      <c r="D451" s="82">
        <f t="shared" si="271"/>
        <v>43921</v>
      </c>
      <c r="E451" s="81">
        <f t="shared" si="268"/>
        <v>91</v>
      </c>
      <c r="F451" s="83">
        <f>VLOOKUP(D451,'FERC Interest Rate'!$A:$B,2,TRUE)</f>
        <v>6.2501040000000008E-2</v>
      </c>
      <c r="G451" s="84">
        <f t="shared" si="269"/>
        <v>1249.4160329536007</v>
      </c>
      <c r="H451" s="84">
        <v>0</v>
      </c>
      <c r="I451" s="109">
        <f t="shared" si="274"/>
        <v>9.7130047076575217</v>
      </c>
      <c r="J451" s="85">
        <f t="shared" si="276"/>
        <v>19.415770306439793</v>
      </c>
      <c r="K451" s="129">
        <f t="shared" si="264"/>
        <v>29.128775014097315</v>
      </c>
      <c r="L451" s="85">
        <f t="shared" si="273"/>
        <v>168.77500000000001</v>
      </c>
      <c r="M451" s="130">
        <f t="shared" si="265"/>
        <v>197.90377501409733</v>
      </c>
      <c r="N451" s="8">
        <f t="shared" si="266"/>
        <v>1268.8318032600405</v>
      </c>
      <c r="O451" s="84">
        <f t="shared" si="267"/>
        <v>1070.9280282459431</v>
      </c>
    </row>
    <row r="452" spans="1:15" x14ac:dyDescent="0.2">
      <c r="A452" s="17" t="s">
        <v>68</v>
      </c>
      <c r="B452" s="81" t="str">
        <f t="shared" si="272"/>
        <v>Q2/2020</v>
      </c>
      <c r="C452" s="82">
        <f t="shared" si="270"/>
        <v>43922</v>
      </c>
      <c r="D452" s="82">
        <f t="shared" si="271"/>
        <v>44012</v>
      </c>
      <c r="E452" s="81">
        <f t="shared" si="268"/>
        <v>91</v>
      </c>
      <c r="F452" s="83">
        <f>VLOOKUP(D452,'FERC Interest Rate'!$A:$B,2,TRUE)</f>
        <v>6.3055559999999997E-2</v>
      </c>
      <c r="G452" s="84">
        <f t="shared" si="269"/>
        <v>1070.9280282459431</v>
      </c>
      <c r="H452" s="84">
        <v>0</v>
      </c>
      <c r="I452" s="109">
        <f t="shared" si="274"/>
        <v>9.7130047076575217</v>
      </c>
      <c r="J452" s="85">
        <f t="shared" si="276"/>
        <v>16.789740314775088</v>
      </c>
      <c r="K452" s="129">
        <f t="shared" si="264"/>
        <v>26.50274502243261</v>
      </c>
      <c r="L452" s="85">
        <f t="shared" si="273"/>
        <v>168.77500000000001</v>
      </c>
      <c r="M452" s="130">
        <f t="shared" si="265"/>
        <v>195.27774502243261</v>
      </c>
      <c r="N452" s="8">
        <f t="shared" si="266"/>
        <v>1087.7177685607182</v>
      </c>
      <c r="O452" s="84">
        <f t="shared" si="267"/>
        <v>892.44002353828557</v>
      </c>
    </row>
    <row r="453" spans="1:15" x14ac:dyDescent="0.2">
      <c r="A453" s="17" t="s">
        <v>69</v>
      </c>
      <c r="B453" s="81" t="str">
        <f>+IF(MONTH(C453)&lt;4,"Q1",IF(MONTH(C453)&lt;7,"Q2",IF(MONTH(C453)&lt;10,"Q3","Q4")))&amp;"/"&amp;YEAR(C453)</f>
        <v>Q3/2020</v>
      </c>
      <c r="C453" s="82">
        <f t="shared" si="270"/>
        <v>44013</v>
      </c>
      <c r="D453" s="82">
        <f t="shared" si="271"/>
        <v>44104</v>
      </c>
      <c r="E453" s="81">
        <f t="shared" si="268"/>
        <v>92</v>
      </c>
      <c r="F453" s="83">
        <f>VLOOKUP(D453,'FERC Interest Rate'!$A:$B,2,TRUE)</f>
        <v>6.5000000000000002E-2</v>
      </c>
      <c r="G453" s="84">
        <f t="shared" si="269"/>
        <v>892.44002353828557</v>
      </c>
      <c r="H453" s="84">
        <v>0</v>
      </c>
      <c r="I453" s="109">
        <f t="shared" si="274"/>
        <v>9.7130047076575217</v>
      </c>
      <c r="J453" s="85">
        <f t="shared" si="276"/>
        <v>14.581397105898766</v>
      </c>
      <c r="K453" s="129">
        <f t="shared" si="264"/>
        <v>24.294401813556288</v>
      </c>
      <c r="L453" s="85">
        <f t="shared" si="273"/>
        <v>168.77500000000001</v>
      </c>
      <c r="M453" s="130">
        <f t="shared" si="265"/>
        <v>193.06940181355628</v>
      </c>
      <c r="N453" s="8">
        <f t="shared" si="266"/>
        <v>907.02142064418433</v>
      </c>
      <c r="O453" s="84">
        <f t="shared" si="267"/>
        <v>713.95201883062805</v>
      </c>
    </row>
    <row r="454" spans="1:15" x14ac:dyDescent="0.2">
      <c r="A454" s="17" t="s">
        <v>70</v>
      </c>
      <c r="B454" s="81" t="str">
        <f>+IF(MONTH(C454)&lt;4,"Q1",IF(MONTH(C454)&lt;7,"Q2",IF(MONTH(C454)&lt;10,"Q3","Q4")))&amp;"/"&amp;YEAR(C454)</f>
        <v>Q4/2020</v>
      </c>
      <c r="C454" s="82">
        <f t="shared" si="270"/>
        <v>44105</v>
      </c>
      <c r="D454" s="82">
        <f t="shared" si="271"/>
        <v>44196</v>
      </c>
      <c r="E454" s="81">
        <f t="shared" si="268"/>
        <v>92</v>
      </c>
      <c r="F454" s="83">
        <f>VLOOKUP(D454,'FERC Interest Rate'!$A:$B,2,TRUE)</f>
        <v>6.5000000000000002E-2</v>
      </c>
      <c r="G454" s="84">
        <f t="shared" si="269"/>
        <v>713.95201883062805</v>
      </c>
      <c r="H454" s="84">
        <v>0</v>
      </c>
      <c r="I454" s="109">
        <f t="shared" si="274"/>
        <v>9.7130047076575217</v>
      </c>
      <c r="J454" s="85">
        <f t="shared" si="276"/>
        <v>11.665117684719005</v>
      </c>
      <c r="K454" s="129">
        <f t="shared" si="264"/>
        <v>21.378122392376525</v>
      </c>
      <c r="L454" s="85">
        <f t="shared" si="273"/>
        <v>168.77500000000001</v>
      </c>
      <c r="M454" s="130">
        <f t="shared" si="265"/>
        <v>190.15312239237653</v>
      </c>
      <c r="N454" s="8">
        <f t="shared" si="266"/>
        <v>725.61713651534706</v>
      </c>
      <c r="O454" s="84">
        <f t="shared" si="267"/>
        <v>535.46401412297053</v>
      </c>
    </row>
    <row r="455" spans="1:15" x14ac:dyDescent="0.2">
      <c r="A455" s="17" t="s">
        <v>71</v>
      </c>
      <c r="B455" s="81" t="str">
        <f>+IF(MONTH(C455)&lt;4,"Q1",IF(MONTH(C455)&lt;7,"Q2",IF(MONTH(C455)&lt;10,"Q3","Q4")))&amp;"/"&amp;YEAR(C455)</f>
        <v>Q1/2021</v>
      </c>
      <c r="C455" s="82">
        <f t="shared" si="270"/>
        <v>44197</v>
      </c>
      <c r="D455" s="82">
        <f t="shared" si="271"/>
        <v>44286</v>
      </c>
      <c r="E455" s="81">
        <f t="shared" si="268"/>
        <v>90</v>
      </c>
      <c r="F455" s="83">
        <f>VLOOKUP(D455,'FERC Interest Rate'!$A:$B,2,TRUE)</f>
        <v>6.5000000000000002E-2</v>
      </c>
      <c r="G455" s="84">
        <f t="shared" si="269"/>
        <v>535.46401412297053</v>
      </c>
      <c r="H455" s="84">
        <v>0</v>
      </c>
      <c r="I455" s="109">
        <f t="shared" si="274"/>
        <v>9.7130047076575217</v>
      </c>
      <c r="J455" s="85">
        <f t="shared" si="276"/>
        <v>8.5820944729298017</v>
      </c>
      <c r="K455" s="129">
        <f t="shared" si="264"/>
        <v>18.295099180587322</v>
      </c>
      <c r="L455" s="85">
        <f t="shared" si="273"/>
        <v>168.77500000000001</v>
      </c>
      <c r="M455" s="130">
        <f t="shared" si="265"/>
        <v>187.07009918058733</v>
      </c>
      <c r="N455" s="8">
        <f t="shared" si="266"/>
        <v>544.04610859590036</v>
      </c>
      <c r="O455" s="84">
        <f t="shared" si="267"/>
        <v>356.976009415313</v>
      </c>
    </row>
    <row r="456" spans="1:15" x14ac:dyDescent="0.2">
      <c r="A456" s="17" t="s">
        <v>72</v>
      </c>
      <c r="B456" s="81" t="str">
        <f t="shared" ref="B456:B457" si="277">+IF(MONTH(C456)&lt;4,"Q1",IF(MONTH(C456)&lt;7,"Q2",IF(MONTH(C456)&lt;10,"Q3","Q4")))&amp;"/"&amp;YEAR(C456)</f>
        <v>Q2/2021</v>
      </c>
      <c r="C456" s="82">
        <f t="shared" si="270"/>
        <v>44287</v>
      </c>
      <c r="D456" s="82">
        <f t="shared" si="271"/>
        <v>44377</v>
      </c>
      <c r="E456" s="81">
        <f t="shared" si="268"/>
        <v>91</v>
      </c>
      <c r="F456" s="83">
        <f>VLOOKUP(D456,'FERC Interest Rate'!$A:$B,2,TRUE)</f>
        <v>6.5000000000000002E-2</v>
      </c>
      <c r="G456" s="84">
        <f t="shared" si="269"/>
        <v>356.976009415313</v>
      </c>
      <c r="H456" s="84">
        <v>0</v>
      </c>
      <c r="I456" s="109">
        <f t="shared" si="274"/>
        <v>9.7130047076575217</v>
      </c>
      <c r="J456" s="85">
        <f t="shared" si="276"/>
        <v>5.7849673854563743</v>
      </c>
      <c r="K456" s="129">
        <f t="shared" si="264"/>
        <v>15.497972093113896</v>
      </c>
      <c r="L456" s="85">
        <f t="shared" si="273"/>
        <v>168.77500000000001</v>
      </c>
      <c r="M456" s="130">
        <f t="shared" si="265"/>
        <v>184.27297209311391</v>
      </c>
      <c r="N456" s="8">
        <f t="shared" si="266"/>
        <v>362.76097680076936</v>
      </c>
      <c r="O456" s="84">
        <f t="shared" si="267"/>
        <v>178.48800470765548</v>
      </c>
    </row>
    <row r="457" spans="1:15" x14ac:dyDescent="0.2">
      <c r="A457" s="17" t="s">
        <v>73</v>
      </c>
      <c r="B457" s="81" t="str">
        <f t="shared" si="277"/>
        <v>Q3/2021</v>
      </c>
      <c r="C457" s="82">
        <f t="shared" si="270"/>
        <v>44378</v>
      </c>
      <c r="D457" s="82">
        <f t="shared" si="271"/>
        <v>44469</v>
      </c>
      <c r="E457" s="81">
        <f t="shared" si="268"/>
        <v>92</v>
      </c>
      <c r="F457" s="83">
        <f>VLOOKUP(D457,'FERC Interest Rate'!$A:$B,2,TRUE)</f>
        <v>6.5000000000000002E-2</v>
      </c>
      <c r="G457" s="84">
        <f t="shared" si="269"/>
        <v>178.48800470765548</v>
      </c>
      <c r="H457" s="84">
        <v>0</v>
      </c>
      <c r="I457" s="109">
        <f t="shared" si="274"/>
        <v>9.7130047076575217</v>
      </c>
      <c r="J457" s="85">
        <f t="shared" si="276"/>
        <v>2.9242692278130953</v>
      </c>
      <c r="K457" s="129">
        <f t="shared" si="264"/>
        <v>12.637273935470617</v>
      </c>
      <c r="L457" s="85">
        <f t="shared" si="273"/>
        <v>168.77500000000001</v>
      </c>
      <c r="M457" s="130">
        <f t="shared" si="265"/>
        <v>181.41227393547064</v>
      </c>
      <c r="N457" s="8">
        <f t="shared" si="266"/>
        <v>181.41227393546856</v>
      </c>
      <c r="O457" s="84">
        <f t="shared" si="267"/>
        <v>-2.049915792667889E-12</v>
      </c>
    </row>
    <row r="458" spans="1:15" x14ac:dyDescent="0.2">
      <c r="A458" s="96"/>
      <c r="B458" s="81"/>
      <c r="C458" s="82"/>
      <c r="D458" s="82"/>
      <c r="E458" s="81"/>
      <c r="F458" s="83"/>
      <c r="G458" s="84"/>
      <c r="H458" s="84"/>
      <c r="I458" s="109"/>
      <c r="J458" s="85"/>
      <c r="K458" s="129"/>
      <c r="L458" s="85"/>
      <c r="M458" s="130"/>
      <c r="N458" s="8"/>
      <c r="O458" s="84"/>
    </row>
    <row r="459" spans="1:15" ht="13.5" thickBot="1" x14ac:dyDescent="0.25">
      <c r="A459" s="151"/>
      <c r="B459" s="152"/>
      <c r="C459" s="153"/>
      <c r="D459" s="153"/>
      <c r="E459" s="154"/>
      <c r="F459" s="152"/>
      <c r="G459" s="137">
        <f t="shared" ref="G459:O459" si="278">SUM(G432:G458)</f>
        <v>58078.507852306422</v>
      </c>
      <c r="H459" s="137">
        <f t="shared" si="278"/>
        <v>194.26009415315045</v>
      </c>
      <c r="I459" s="138">
        <f t="shared" si="278"/>
        <v>194.26009415315039</v>
      </c>
      <c r="J459" s="137">
        <f t="shared" si="278"/>
        <v>411.64215369971413</v>
      </c>
      <c r="K459" s="137">
        <f t="shared" si="278"/>
        <v>605.90224785286455</v>
      </c>
      <c r="L459" s="137">
        <f t="shared" si="278"/>
        <v>3375.5000000000009</v>
      </c>
      <c r="M459" s="139">
        <f t="shared" si="278"/>
        <v>3981.402247852865</v>
      </c>
      <c r="N459" s="137">
        <f t="shared" si="278"/>
        <v>58684.410100159294</v>
      </c>
      <c r="O459" s="137">
        <f t="shared" si="278"/>
        <v>54703.007852306422</v>
      </c>
    </row>
    <row r="460" spans="1:15" ht="13.5" thickTop="1" x14ac:dyDescent="0.2">
      <c r="B460" s="117"/>
      <c r="C460" s="117"/>
      <c r="D460" s="117"/>
      <c r="E460" s="117"/>
      <c r="F460" s="117"/>
      <c r="G460" s="117"/>
      <c r="H460" s="117"/>
      <c r="I460" s="116"/>
      <c r="J460" s="117"/>
      <c r="K460" s="117"/>
      <c r="L460" s="117"/>
      <c r="M460" s="131"/>
      <c r="O460" s="117"/>
    </row>
    <row r="461" spans="1:15" ht="38.25" x14ac:dyDescent="0.2">
      <c r="A461" s="90" t="s">
        <v>53</v>
      </c>
      <c r="B461" s="90" t="s">
        <v>3</v>
      </c>
      <c r="C461" s="90" t="s">
        <v>4</v>
      </c>
      <c r="D461" s="90" t="s">
        <v>5</v>
      </c>
      <c r="E461" s="90" t="s">
        <v>6</v>
      </c>
      <c r="F461" s="90" t="s">
        <v>7</v>
      </c>
      <c r="G461" s="90" t="s">
        <v>93</v>
      </c>
      <c r="H461" s="90" t="s">
        <v>94</v>
      </c>
      <c r="I461" s="105" t="s">
        <v>95</v>
      </c>
      <c r="J461" s="106" t="s">
        <v>96</v>
      </c>
      <c r="K461" s="106" t="s">
        <v>97</v>
      </c>
      <c r="L461" s="106" t="s">
        <v>98</v>
      </c>
      <c r="M461" s="107" t="s">
        <v>99</v>
      </c>
      <c r="N461" s="90" t="s">
        <v>100</v>
      </c>
      <c r="O461" s="90" t="s">
        <v>101</v>
      </c>
    </row>
    <row r="462" spans="1:15" x14ac:dyDescent="0.2">
      <c r="A462" s="309" t="s">
        <v>15</v>
      </c>
      <c r="B462" s="309"/>
      <c r="C462" s="282">
        <f>VLOOKUP(B463,A$1:F$18,2,FALSE)</f>
        <v>42164</v>
      </c>
      <c r="D462" s="282">
        <f>DATE(YEAR(C462),IF(MONTH(C462)&lt;=3,3,IF(MONTH(C462)&lt;=6,6,IF(MONTH(C462)&lt;=9,9,12))),IF(OR(MONTH(C462)&lt;=3,MONTH(C462)&gt;=10),31,30))</f>
        <v>42185</v>
      </c>
      <c r="E462" s="283">
        <f>D462-C462+1</f>
        <v>22</v>
      </c>
      <c r="F462" s="284">
        <f>VLOOKUP(D462,'FERC Interest Rate'!$A:$B,2,TRUE)</f>
        <v>3.2500000000000001E-2</v>
      </c>
      <c r="G462" s="167">
        <f>VLOOKUP(B463,$A$1:$F$22,5,FALSE)</f>
        <v>2849</v>
      </c>
      <c r="H462" s="167">
        <f t="shared" ref="H462:H468" si="279">G462*F462*(E462/(DATE(YEAR(D462),12,31)-DATE(YEAR(D462),1,1)+1))</f>
        <v>5.5809178082191782</v>
      </c>
      <c r="I462" s="291">
        <v>0</v>
      </c>
      <c r="J462" s="286">
        <v>0</v>
      </c>
      <c r="K462" s="129">
        <f t="shared" ref="K462:K486" si="280">+SUM(I462:J462)</f>
        <v>0</v>
      </c>
      <c r="L462" s="286">
        <v>0</v>
      </c>
      <c r="M462" s="130">
        <f t="shared" ref="M462:M486" si="281">+SUM(K462:L462)</f>
        <v>0</v>
      </c>
      <c r="N462" s="8">
        <f t="shared" ref="N462:N486" si="282">+G462+H462+J462</f>
        <v>2854.5809178082191</v>
      </c>
      <c r="O462" s="167">
        <f t="shared" ref="O462:O486" si="283">G462+H462-L462-I462</f>
        <v>2854.5809178082191</v>
      </c>
    </row>
    <row r="463" spans="1:15" x14ac:dyDescent="0.2">
      <c r="A463" s="275" t="s">
        <v>38</v>
      </c>
      <c r="B463" s="276" t="s">
        <v>66</v>
      </c>
      <c r="C463" s="282">
        <f>D462+1</f>
        <v>42186</v>
      </c>
      <c r="D463" s="282">
        <f>EOMONTH(D462,3)</f>
        <v>42277</v>
      </c>
      <c r="E463" s="283">
        <f t="shared" ref="E463:E486" si="284">D463-C463+1</f>
        <v>92</v>
      </c>
      <c r="F463" s="284">
        <f>VLOOKUP(D463,'FERC Interest Rate'!$A:$B,2,TRUE)</f>
        <v>3.2500000000000001E-2</v>
      </c>
      <c r="G463" s="167">
        <f t="shared" ref="G463:G486" si="285">O462</f>
        <v>2854.5809178082191</v>
      </c>
      <c r="H463" s="167">
        <f t="shared" si="279"/>
        <v>23.384101217113905</v>
      </c>
      <c r="I463" s="291">
        <v>0</v>
      </c>
      <c r="J463" s="286">
        <v>0</v>
      </c>
      <c r="K463" s="129">
        <f t="shared" si="280"/>
        <v>0</v>
      </c>
      <c r="L463" s="286">
        <v>0</v>
      </c>
      <c r="M463" s="130">
        <f t="shared" si="281"/>
        <v>0</v>
      </c>
      <c r="N463" s="8">
        <f t="shared" si="282"/>
        <v>2877.9650190253328</v>
      </c>
      <c r="O463" s="167">
        <f t="shared" si="283"/>
        <v>2877.9650190253328</v>
      </c>
    </row>
    <row r="464" spans="1:15" x14ac:dyDescent="0.2">
      <c r="B464" s="283"/>
      <c r="C464" s="282">
        <f t="shared" ref="C464:C486" si="286">D463+1</f>
        <v>42278</v>
      </c>
      <c r="D464" s="282">
        <f t="shared" ref="D464:D487" si="287">EOMONTH(D463,3)</f>
        <v>42369</v>
      </c>
      <c r="E464" s="283">
        <f t="shared" si="284"/>
        <v>92</v>
      </c>
      <c r="F464" s="284">
        <f>VLOOKUP(D464,'FERC Interest Rate'!$A:$B,2,TRUE)</f>
        <v>3.2500000000000001E-2</v>
      </c>
      <c r="G464" s="167">
        <f t="shared" si="285"/>
        <v>2877.9650190253328</v>
      </c>
      <c r="H464" s="167">
        <f t="shared" si="279"/>
        <v>23.575658649002044</v>
      </c>
      <c r="I464" s="291">
        <v>0</v>
      </c>
      <c r="J464" s="286">
        <v>0</v>
      </c>
      <c r="K464" s="129">
        <f t="shared" si="280"/>
        <v>0</v>
      </c>
      <c r="L464" s="286">
        <v>0</v>
      </c>
      <c r="M464" s="130">
        <f t="shared" si="281"/>
        <v>0</v>
      </c>
      <c r="N464" s="8">
        <f t="shared" si="282"/>
        <v>2901.5406776743348</v>
      </c>
      <c r="O464" s="167">
        <f t="shared" si="283"/>
        <v>2901.5406776743348</v>
      </c>
    </row>
    <row r="465" spans="1:15" x14ac:dyDescent="0.2">
      <c r="B465" s="283"/>
      <c r="C465" s="282">
        <f t="shared" si="286"/>
        <v>42370</v>
      </c>
      <c r="D465" s="282">
        <f t="shared" si="287"/>
        <v>42460</v>
      </c>
      <c r="E465" s="283">
        <f t="shared" si="284"/>
        <v>91</v>
      </c>
      <c r="F465" s="284">
        <f>VLOOKUP(D465,'FERC Interest Rate'!$A:$B,2,TRUE)</f>
        <v>3.2500000000000001E-2</v>
      </c>
      <c r="G465" s="167">
        <f t="shared" si="285"/>
        <v>2901.5406776743348</v>
      </c>
      <c r="H465" s="167">
        <f t="shared" si="279"/>
        <v>23.446192771097937</v>
      </c>
      <c r="I465" s="291">
        <v>0</v>
      </c>
      <c r="J465" s="286">
        <v>0</v>
      </c>
      <c r="K465" s="129">
        <f t="shared" si="280"/>
        <v>0</v>
      </c>
      <c r="L465" s="286">
        <v>0</v>
      </c>
      <c r="M465" s="130">
        <f t="shared" si="281"/>
        <v>0</v>
      </c>
      <c r="N465" s="8">
        <f t="shared" si="282"/>
        <v>2924.9868704454329</v>
      </c>
      <c r="O465" s="167">
        <f t="shared" si="283"/>
        <v>2924.9868704454329</v>
      </c>
    </row>
    <row r="466" spans="1:15" x14ac:dyDescent="0.2">
      <c r="B466" s="283"/>
      <c r="C466" s="282">
        <f t="shared" si="286"/>
        <v>42461</v>
      </c>
      <c r="D466" s="282">
        <f t="shared" si="287"/>
        <v>42551</v>
      </c>
      <c r="E466" s="283">
        <f t="shared" si="284"/>
        <v>91</v>
      </c>
      <c r="F466" s="284">
        <f>VLOOKUP(D466,'FERC Interest Rate'!$A:$B,2,TRUE)</f>
        <v>3.4599999999999999E-2</v>
      </c>
      <c r="G466" s="167">
        <f t="shared" si="285"/>
        <v>2924.9868704454329</v>
      </c>
      <c r="H466" s="167">
        <f t="shared" si="279"/>
        <v>25.162878853236311</v>
      </c>
      <c r="I466" s="291">
        <v>0</v>
      </c>
      <c r="J466" s="286">
        <v>0</v>
      </c>
      <c r="K466" s="129">
        <f t="shared" si="280"/>
        <v>0</v>
      </c>
      <c r="L466" s="286">
        <v>0</v>
      </c>
      <c r="M466" s="130">
        <f t="shared" si="281"/>
        <v>0</v>
      </c>
      <c r="N466" s="8">
        <f t="shared" si="282"/>
        <v>2950.1497492986691</v>
      </c>
      <c r="O466" s="167">
        <f t="shared" si="283"/>
        <v>2950.1497492986691</v>
      </c>
    </row>
    <row r="467" spans="1:15" x14ac:dyDescent="0.2">
      <c r="A467" s="96"/>
      <c r="B467" s="81"/>
      <c r="C467" s="82">
        <f t="shared" si="286"/>
        <v>42552</v>
      </c>
      <c r="D467" s="82">
        <f t="shared" si="287"/>
        <v>42643</v>
      </c>
      <c r="E467" s="81">
        <f t="shared" si="284"/>
        <v>92</v>
      </c>
      <c r="F467" s="83">
        <f>VLOOKUP(D467,'FERC Interest Rate'!$A:$B,2,TRUE)</f>
        <v>3.5000000000000003E-2</v>
      </c>
      <c r="G467" s="84">
        <f t="shared" si="285"/>
        <v>2950.1497492986691</v>
      </c>
      <c r="H467" s="167">
        <f t="shared" si="279"/>
        <v>25.954869379075728</v>
      </c>
      <c r="I467" s="173">
        <v>0</v>
      </c>
      <c r="J467" s="286">
        <v>0</v>
      </c>
      <c r="K467" s="129">
        <f t="shared" si="280"/>
        <v>0</v>
      </c>
      <c r="L467" s="85">
        <v>0</v>
      </c>
      <c r="M467" s="130">
        <f t="shared" si="281"/>
        <v>0</v>
      </c>
      <c r="N467" s="8">
        <f t="shared" si="282"/>
        <v>2976.1046186777448</v>
      </c>
      <c r="O467" s="84">
        <f t="shared" si="283"/>
        <v>2976.1046186777448</v>
      </c>
    </row>
    <row r="468" spans="1:15" x14ac:dyDescent="0.2">
      <c r="A468" s="17" t="s">
        <v>54</v>
      </c>
      <c r="B468" s="81" t="str">
        <f t="shared" ref="B468:B482" si="288">+IF(MONTH(C468)&lt;4,"Q1",IF(MONTH(C468)&lt;7,"Q2",IF(MONTH(C468)&lt;10,"Q3","Q4")))&amp;"/"&amp;YEAR(C468)</f>
        <v>Q4/2016</v>
      </c>
      <c r="C468" s="82">
        <f t="shared" si="286"/>
        <v>42644</v>
      </c>
      <c r="D468" s="82">
        <f t="shared" si="287"/>
        <v>42735</v>
      </c>
      <c r="E468" s="81">
        <f t="shared" si="284"/>
        <v>92</v>
      </c>
      <c r="F468" s="83">
        <f>VLOOKUP(D468,'FERC Interest Rate'!$A:$B,2,TRUE)</f>
        <v>3.5000000000000003E-2</v>
      </c>
      <c r="G468" s="84">
        <f t="shared" si="285"/>
        <v>2976.1046186777448</v>
      </c>
      <c r="H468" s="84">
        <f t="shared" si="279"/>
        <v>26.183215497656665</v>
      </c>
      <c r="I468" s="173">
        <f>SUM($H$462:$H$488)/20</f>
        <v>7.6643917087700881</v>
      </c>
      <c r="J468" s="85">
        <v>0</v>
      </c>
      <c r="K468" s="129">
        <f t="shared" si="280"/>
        <v>7.6643917087700881</v>
      </c>
      <c r="L468" s="85">
        <f t="shared" ref="L468:L487" si="289">VLOOKUP($B$463,A$1:F$18,5,FALSE)/20</f>
        <v>142.44999999999999</v>
      </c>
      <c r="M468" s="130">
        <f t="shared" si="281"/>
        <v>150.11439170877009</v>
      </c>
      <c r="N468" s="8">
        <f t="shared" si="282"/>
        <v>3002.2878341754017</v>
      </c>
      <c r="O468" s="84">
        <f t="shared" si="283"/>
        <v>2852.173442466632</v>
      </c>
    </row>
    <row r="469" spans="1:15" x14ac:dyDescent="0.2">
      <c r="A469" s="17" t="s">
        <v>55</v>
      </c>
      <c r="B469" s="81" t="str">
        <f t="shared" si="288"/>
        <v>Q1/2017</v>
      </c>
      <c r="C469" s="82">
        <f t="shared" si="286"/>
        <v>42736</v>
      </c>
      <c r="D469" s="82">
        <f t="shared" si="287"/>
        <v>42825</v>
      </c>
      <c r="E469" s="81">
        <f t="shared" si="284"/>
        <v>90</v>
      </c>
      <c r="F469" s="83">
        <f>VLOOKUP(D469,'FERC Interest Rate'!$A:$B,2,TRUE)</f>
        <v>3.5000000000000003E-2</v>
      </c>
      <c r="G469" s="84">
        <f t="shared" si="285"/>
        <v>2852.173442466632</v>
      </c>
      <c r="H469" s="84">
        <v>0</v>
      </c>
      <c r="I469" s="173">
        <f t="shared" ref="I469:I487" si="290">SUM($H$462:$H$488)/20</f>
        <v>7.6643917087700881</v>
      </c>
      <c r="J469" s="85">
        <f t="shared" ref="J469:J473" si="291">G469*F469*(E469/(DATE(YEAR(D469),12,31)-DATE(YEAR(D469),1,1)+1))</f>
        <v>24.614647517177783</v>
      </c>
      <c r="K469" s="129">
        <f t="shared" si="280"/>
        <v>32.279039225947869</v>
      </c>
      <c r="L469" s="85">
        <f t="shared" si="289"/>
        <v>142.44999999999999</v>
      </c>
      <c r="M469" s="130">
        <f t="shared" si="281"/>
        <v>174.72903922594787</v>
      </c>
      <c r="N469" s="8">
        <f t="shared" si="282"/>
        <v>2876.7880899838096</v>
      </c>
      <c r="O469" s="84">
        <f t="shared" si="283"/>
        <v>2702.0590507578622</v>
      </c>
    </row>
    <row r="470" spans="1:15" x14ac:dyDescent="0.2">
      <c r="A470" s="17" t="s">
        <v>56</v>
      </c>
      <c r="B470" s="81" t="str">
        <f t="shared" si="288"/>
        <v>Q2/2017</v>
      </c>
      <c r="C470" s="82">
        <f t="shared" si="286"/>
        <v>42826</v>
      </c>
      <c r="D470" s="82">
        <f t="shared" si="287"/>
        <v>42916</v>
      </c>
      <c r="E470" s="81">
        <f t="shared" si="284"/>
        <v>91</v>
      </c>
      <c r="F470" s="83">
        <f>VLOOKUP(D470,'FERC Interest Rate'!$A:$B,2,TRUE)</f>
        <v>3.7100000000000001E-2</v>
      </c>
      <c r="G470" s="84">
        <f t="shared" si="285"/>
        <v>2702.0590507578622</v>
      </c>
      <c r="H470" s="84">
        <v>0</v>
      </c>
      <c r="I470" s="173">
        <f t="shared" si="290"/>
        <v>7.6643917087700881</v>
      </c>
      <c r="J470" s="85">
        <f t="shared" si="291"/>
        <v>24.992935784283887</v>
      </c>
      <c r="K470" s="129">
        <f t="shared" si="280"/>
        <v>32.657327493053977</v>
      </c>
      <c r="L470" s="85">
        <f t="shared" si="289"/>
        <v>142.44999999999999</v>
      </c>
      <c r="M470" s="130">
        <f t="shared" si="281"/>
        <v>175.10732749305396</v>
      </c>
      <c r="N470" s="8">
        <f t="shared" si="282"/>
        <v>2727.0519865421461</v>
      </c>
      <c r="O470" s="84">
        <f t="shared" si="283"/>
        <v>2551.9446590490925</v>
      </c>
    </row>
    <row r="471" spans="1:15" x14ac:dyDescent="0.2">
      <c r="A471" s="17" t="s">
        <v>57</v>
      </c>
      <c r="B471" s="81" t="str">
        <f t="shared" si="288"/>
        <v>Q3/2017</v>
      </c>
      <c r="C471" s="82">
        <f t="shared" si="286"/>
        <v>42917</v>
      </c>
      <c r="D471" s="82">
        <f t="shared" si="287"/>
        <v>43008</v>
      </c>
      <c r="E471" s="81">
        <f t="shared" si="284"/>
        <v>92</v>
      </c>
      <c r="F471" s="83">
        <f>VLOOKUP(D471,'FERC Interest Rate'!$A:$B,2,TRUE)</f>
        <v>3.9600000000000003E-2</v>
      </c>
      <c r="G471" s="84">
        <f t="shared" si="285"/>
        <v>2551.9446590490925</v>
      </c>
      <c r="H471" s="84">
        <v>0</v>
      </c>
      <c r="I471" s="109">
        <f t="shared" si="290"/>
        <v>7.6643917087700881</v>
      </c>
      <c r="J471" s="85">
        <f t="shared" si="291"/>
        <v>25.471903511911385</v>
      </c>
      <c r="K471" s="129">
        <f t="shared" si="280"/>
        <v>33.136295220681475</v>
      </c>
      <c r="L471" s="85">
        <f t="shared" si="289"/>
        <v>142.44999999999999</v>
      </c>
      <c r="M471" s="130">
        <f t="shared" si="281"/>
        <v>175.58629522068145</v>
      </c>
      <c r="N471" s="8">
        <f t="shared" si="282"/>
        <v>2577.416562561004</v>
      </c>
      <c r="O471" s="84">
        <f t="shared" si="283"/>
        <v>2401.8302673403227</v>
      </c>
    </row>
    <row r="472" spans="1:15" x14ac:dyDescent="0.2">
      <c r="A472" s="17" t="s">
        <v>58</v>
      </c>
      <c r="B472" s="81" t="str">
        <f t="shared" si="288"/>
        <v>Q4/2017</v>
      </c>
      <c r="C472" s="82">
        <f t="shared" si="286"/>
        <v>43009</v>
      </c>
      <c r="D472" s="82">
        <f t="shared" si="287"/>
        <v>43100</v>
      </c>
      <c r="E472" s="81">
        <f t="shared" si="284"/>
        <v>92</v>
      </c>
      <c r="F472" s="83">
        <f>VLOOKUP(D472,'FERC Interest Rate'!$A:$B,2,TRUE)</f>
        <v>4.2099999999999999E-2</v>
      </c>
      <c r="G472" s="84">
        <f t="shared" si="285"/>
        <v>2401.8302673403227</v>
      </c>
      <c r="H472" s="84">
        <v>0</v>
      </c>
      <c r="I472" s="109">
        <f t="shared" si="290"/>
        <v>7.6643917087700881</v>
      </c>
      <c r="J472" s="85">
        <f t="shared" si="291"/>
        <v>25.487038332774077</v>
      </c>
      <c r="K472" s="129">
        <f t="shared" si="280"/>
        <v>33.151430041544167</v>
      </c>
      <c r="L472" s="85">
        <f t="shared" si="289"/>
        <v>142.44999999999999</v>
      </c>
      <c r="M472" s="130">
        <f t="shared" si="281"/>
        <v>175.60143004154415</v>
      </c>
      <c r="N472" s="8">
        <f t="shared" si="282"/>
        <v>2427.3173056730966</v>
      </c>
      <c r="O472" s="84">
        <f t="shared" si="283"/>
        <v>2251.715875631553</v>
      </c>
    </row>
    <row r="473" spans="1:15" x14ac:dyDescent="0.2">
      <c r="A473" s="17" t="s">
        <v>59</v>
      </c>
      <c r="B473" s="81" t="str">
        <f t="shared" si="288"/>
        <v>Q1/2018</v>
      </c>
      <c r="C473" s="82">
        <f t="shared" si="286"/>
        <v>43101</v>
      </c>
      <c r="D473" s="82">
        <f t="shared" si="287"/>
        <v>43190</v>
      </c>
      <c r="E473" s="81">
        <f t="shared" si="284"/>
        <v>90</v>
      </c>
      <c r="F473" s="83">
        <f>VLOOKUP(D473,'FERC Interest Rate'!$A:$B,2,TRUE)</f>
        <v>4.2500000000000003E-2</v>
      </c>
      <c r="G473" s="84">
        <f t="shared" si="285"/>
        <v>2251.715875631553</v>
      </c>
      <c r="H473" s="84">
        <v>0</v>
      </c>
      <c r="I473" s="109">
        <f t="shared" si="290"/>
        <v>7.6643917087700881</v>
      </c>
      <c r="J473" s="85">
        <f t="shared" si="291"/>
        <v>23.596748559700522</v>
      </c>
      <c r="K473" s="129">
        <f t="shared" si="280"/>
        <v>31.261140268470612</v>
      </c>
      <c r="L473" s="85">
        <f t="shared" si="289"/>
        <v>142.44999999999999</v>
      </c>
      <c r="M473" s="130">
        <f t="shared" si="281"/>
        <v>173.71114026847061</v>
      </c>
      <c r="N473" s="8">
        <f t="shared" si="282"/>
        <v>2275.3126241912537</v>
      </c>
      <c r="O473" s="84">
        <f t="shared" si="283"/>
        <v>2101.6014839227832</v>
      </c>
    </row>
    <row r="474" spans="1:15" x14ac:dyDescent="0.2">
      <c r="A474" s="17" t="s">
        <v>60</v>
      </c>
      <c r="B474" s="81" t="str">
        <f t="shared" si="288"/>
        <v>Q2/2018</v>
      </c>
      <c r="C474" s="82">
        <f t="shared" si="286"/>
        <v>43191</v>
      </c>
      <c r="D474" s="82">
        <f t="shared" si="287"/>
        <v>43281</v>
      </c>
      <c r="E474" s="81">
        <f t="shared" si="284"/>
        <v>91</v>
      </c>
      <c r="F474" s="83">
        <f>VLOOKUP(D474,'FERC Interest Rate'!$A:$B,2,TRUE)</f>
        <v>4.4699999999999997E-2</v>
      </c>
      <c r="G474" s="84">
        <f t="shared" si="285"/>
        <v>2101.6014839227832</v>
      </c>
      <c r="H474" s="84">
        <v>0</v>
      </c>
      <c r="I474" s="109">
        <f t="shared" si="290"/>
        <v>7.6643917087700881</v>
      </c>
      <c r="J474" s="85">
        <f>G474*F474*(E474/(DATE(YEAR(D474),12,31)-DATE(YEAR(D474),1,1)+1))</f>
        <v>23.421053030555356</v>
      </c>
      <c r="K474" s="129">
        <f t="shared" si="280"/>
        <v>31.085444739325446</v>
      </c>
      <c r="L474" s="85">
        <f t="shared" si="289"/>
        <v>142.44999999999999</v>
      </c>
      <c r="M474" s="130">
        <f t="shared" si="281"/>
        <v>173.53544473932544</v>
      </c>
      <c r="N474" s="8">
        <f t="shared" si="282"/>
        <v>2125.0225369533387</v>
      </c>
      <c r="O474" s="84">
        <f t="shared" si="283"/>
        <v>1951.487092214013</v>
      </c>
    </row>
    <row r="475" spans="1:15" x14ac:dyDescent="0.2">
      <c r="A475" s="17" t="s">
        <v>61</v>
      </c>
      <c r="B475" s="81" t="str">
        <f t="shared" si="288"/>
        <v>Q3/2018</v>
      </c>
      <c r="C475" s="82">
        <f t="shared" si="286"/>
        <v>43282</v>
      </c>
      <c r="D475" s="82">
        <f t="shared" si="287"/>
        <v>43373</v>
      </c>
      <c r="E475" s="81">
        <f t="shared" si="284"/>
        <v>92</v>
      </c>
      <c r="F475" s="83">
        <f>VLOOKUP(D475,'FERC Interest Rate'!$A:$B,2,TRUE)</f>
        <v>5.011111E-2</v>
      </c>
      <c r="G475" s="84">
        <f t="shared" si="285"/>
        <v>1951.487092214013</v>
      </c>
      <c r="H475" s="84">
        <v>0</v>
      </c>
      <c r="I475" s="109">
        <f t="shared" si="290"/>
        <v>7.6643917087700881</v>
      </c>
      <c r="J475" s="85">
        <f t="shared" ref="J475:J486" si="292">G475*F475*(E475/(DATE(YEAR(D475),12,31)-DATE(YEAR(D475),1,1)+1))</f>
        <v>24.648736875121983</v>
      </c>
      <c r="K475" s="129">
        <f t="shared" si="280"/>
        <v>32.313128583892073</v>
      </c>
      <c r="L475" s="85">
        <f t="shared" si="289"/>
        <v>142.44999999999999</v>
      </c>
      <c r="M475" s="130">
        <f t="shared" si="281"/>
        <v>174.76312858389207</v>
      </c>
      <c r="N475" s="8">
        <f t="shared" si="282"/>
        <v>1976.1358290891351</v>
      </c>
      <c r="O475" s="84">
        <f t="shared" si="283"/>
        <v>1801.3727005052428</v>
      </c>
    </row>
    <row r="476" spans="1:15" x14ac:dyDescent="0.2">
      <c r="A476" s="17" t="s">
        <v>62</v>
      </c>
      <c r="B476" s="81" t="str">
        <f t="shared" si="288"/>
        <v>Q4/2018</v>
      </c>
      <c r="C476" s="82">
        <f t="shared" si="286"/>
        <v>43374</v>
      </c>
      <c r="D476" s="82">
        <f t="shared" si="287"/>
        <v>43465</v>
      </c>
      <c r="E476" s="81">
        <f t="shared" si="284"/>
        <v>92</v>
      </c>
      <c r="F476" s="83">
        <f>VLOOKUP(D476,'FERC Interest Rate'!$A:$B,2,TRUE)</f>
        <v>5.2822580000000001E-2</v>
      </c>
      <c r="G476" s="84">
        <f t="shared" si="285"/>
        <v>1801.3727005052428</v>
      </c>
      <c r="H476" s="84">
        <v>0</v>
      </c>
      <c r="I476" s="109">
        <f t="shared" si="290"/>
        <v>7.6643917087700881</v>
      </c>
      <c r="J476" s="85">
        <f t="shared" si="292"/>
        <v>23.983808574157234</v>
      </c>
      <c r="K476" s="129">
        <f t="shared" si="280"/>
        <v>31.64820028292732</v>
      </c>
      <c r="L476" s="85">
        <f t="shared" si="289"/>
        <v>142.44999999999999</v>
      </c>
      <c r="M476" s="130">
        <f t="shared" si="281"/>
        <v>174.09820028292731</v>
      </c>
      <c r="N476" s="8">
        <f t="shared" si="282"/>
        <v>1825.3565090794</v>
      </c>
      <c r="O476" s="84">
        <f t="shared" si="283"/>
        <v>1651.2583087964726</v>
      </c>
    </row>
    <row r="477" spans="1:15" x14ac:dyDescent="0.2">
      <c r="A477" s="17" t="s">
        <v>63</v>
      </c>
      <c r="B477" s="81" t="str">
        <f t="shared" si="288"/>
        <v>Q1/2019</v>
      </c>
      <c r="C477" s="82">
        <f t="shared" si="286"/>
        <v>43466</v>
      </c>
      <c r="D477" s="82">
        <f t="shared" si="287"/>
        <v>43555</v>
      </c>
      <c r="E477" s="81">
        <f t="shared" si="284"/>
        <v>90</v>
      </c>
      <c r="F477" s="83">
        <f>VLOOKUP(D477,'FERC Interest Rate'!$A:$B,2,TRUE)</f>
        <v>5.5296770000000002E-2</v>
      </c>
      <c r="G477" s="84">
        <f t="shared" si="285"/>
        <v>1651.2583087964726</v>
      </c>
      <c r="H477" s="84">
        <v>0</v>
      </c>
      <c r="I477" s="109">
        <f t="shared" si="290"/>
        <v>7.6643917087700881</v>
      </c>
      <c r="J477" s="85">
        <f t="shared" si="292"/>
        <v>22.514609813944322</v>
      </c>
      <c r="K477" s="129">
        <f t="shared" si="280"/>
        <v>30.179001522714408</v>
      </c>
      <c r="L477" s="85">
        <f t="shared" si="289"/>
        <v>142.44999999999999</v>
      </c>
      <c r="M477" s="130">
        <f t="shared" si="281"/>
        <v>172.62900152271439</v>
      </c>
      <c r="N477" s="8">
        <f t="shared" si="282"/>
        <v>1673.772918610417</v>
      </c>
      <c r="O477" s="84">
        <f t="shared" si="283"/>
        <v>1501.1439170877024</v>
      </c>
    </row>
    <row r="478" spans="1:15" x14ac:dyDescent="0.2">
      <c r="A478" s="17" t="s">
        <v>64</v>
      </c>
      <c r="B478" s="81" t="str">
        <f t="shared" si="288"/>
        <v>Q2/2019</v>
      </c>
      <c r="C478" s="82">
        <f t="shared" si="286"/>
        <v>43556</v>
      </c>
      <c r="D478" s="82">
        <f t="shared" si="287"/>
        <v>43646</v>
      </c>
      <c r="E478" s="81">
        <f t="shared" si="284"/>
        <v>91</v>
      </c>
      <c r="F478" s="83">
        <f>VLOOKUP(D478,'FERC Interest Rate'!$A:$B,2,TRUE)</f>
        <v>5.7999999999999996E-2</v>
      </c>
      <c r="G478" s="84">
        <f t="shared" si="285"/>
        <v>1501.1439170877024</v>
      </c>
      <c r="H478" s="84">
        <v>0</v>
      </c>
      <c r="I478" s="109">
        <f t="shared" si="290"/>
        <v>7.6643917087700881</v>
      </c>
      <c r="J478" s="85">
        <f t="shared" si="292"/>
        <v>21.706952313394225</v>
      </c>
      <c r="K478" s="129">
        <f t="shared" si="280"/>
        <v>29.371344022164315</v>
      </c>
      <c r="L478" s="85">
        <f t="shared" si="289"/>
        <v>142.44999999999999</v>
      </c>
      <c r="M478" s="130">
        <f t="shared" si="281"/>
        <v>171.82134402216431</v>
      </c>
      <c r="N478" s="8">
        <f t="shared" si="282"/>
        <v>1522.8508694010966</v>
      </c>
      <c r="O478" s="84">
        <f t="shared" si="283"/>
        <v>1351.0295253789322</v>
      </c>
    </row>
    <row r="479" spans="1:15" x14ac:dyDescent="0.2">
      <c r="A479" s="17" t="s">
        <v>65</v>
      </c>
      <c r="B479" s="81" t="str">
        <f t="shared" si="288"/>
        <v>Q3/2019</v>
      </c>
      <c r="C479" s="82">
        <f t="shared" si="286"/>
        <v>43647</v>
      </c>
      <c r="D479" s="82">
        <f t="shared" si="287"/>
        <v>43738</v>
      </c>
      <c r="E479" s="81">
        <f t="shared" si="284"/>
        <v>92</v>
      </c>
      <c r="F479" s="83">
        <f>VLOOKUP(D479,'FERC Interest Rate'!$A:$B,2,TRUE)</f>
        <v>0.06</v>
      </c>
      <c r="G479" s="84">
        <f t="shared" si="285"/>
        <v>1351.0295253789322</v>
      </c>
      <c r="H479" s="84">
        <v>0</v>
      </c>
      <c r="I479" s="109">
        <f t="shared" si="290"/>
        <v>7.6643917087700881</v>
      </c>
      <c r="J479" s="85">
        <f t="shared" si="292"/>
        <v>20.432008164634812</v>
      </c>
      <c r="K479" s="129">
        <f t="shared" si="280"/>
        <v>28.096399873404899</v>
      </c>
      <c r="L479" s="85">
        <f t="shared" si="289"/>
        <v>142.44999999999999</v>
      </c>
      <c r="M479" s="130">
        <f t="shared" si="281"/>
        <v>170.54639987340488</v>
      </c>
      <c r="N479" s="8">
        <f t="shared" si="282"/>
        <v>1371.4615335435672</v>
      </c>
      <c r="O479" s="84">
        <f t="shared" si="283"/>
        <v>1200.915133670162</v>
      </c>
    </row>
    <row r="480" spans="1:15" x14ac:dyDescent="0.2">
      <c r="A480" s="17" t="s">
        <v>66</v>
      </c>
      <c r="B480" s="81" t="str">
        <f t="shared" si="288"/>
        <v>Q4/2019</v>
      </c>
      <c r="C480" s="82">
        <f t="shared" si="286"/>
        <v>43739</v>
      </c>
      <c r="D480" s="82">
        <f t="shared" si="287"/>
        <v>43830</v>
      </c>
      <c r="E480" s="81">
        <f t="shared" si="284"/>
        <v>92</v>
      </c>
      <c r="F480" s="83">
        <f>VLOOKUP(D480,'FERC Interest Rate'!$A:$B,2,TRUE)</f>
        <v>6.0349460000000001E-2</v>
      </c>
      <c r="G480" s="84">
        <f t="shared" si="285"/>
        <v>1200.915133670162</v>
      </c>
      <c r="H480" s="84">
        <v>0</v>
      </c>
      <c r="I480" s="109">
        <f t="shared" si="290"/>
        <v>7.6643917087700881</v>
      </c>
      <c r="J480" s="85">
        <f t="shared" si="292"/>
        <v>18.267565325204473</v>
      </c>
      <c r="K480" s="129">
        <f t="shared" si="280"/>
        <v>25.931957033974562</v>
      </c>
      <c r="L480" s="85">
        <f t="shared" si="289"/>
        <v>142.44999999999999</v>
      </c>
      <c r="M480" s="130">
        <f t="shared" si="281"/>
        <v>168.38195703397454</v>
      </c>
      <c r="N480" s="8">
        <f t="shared" si="282"/>
        <v>1219.1826989953665</v>
      </c>
      <c r="O480" s="84">
        <f t="shared" si="283"/>
        <v>1050.8007419613919</v>
      </c>
    </row>
    <row r="481" spans="1:15" x14ac:dyDescent="0.2">
      <c r="A481" s="17" t="s">
        <v>67</v>
      </c>
      <c r="B481" s="81" t="str">
        <f t="shared" si="288"/>
        <v>Q1/2020</v>
      </c>
      <c r="C481" s="82">
        <f t="shared" si="286"/>
        <v>43831</v>
      </c>
      <c r="D481" s="82">
        <f t="shared" si="287"/>
        <v>43921</v>
      </c>
      <c r="E481" s="81">
        <f t="shared" si="284"/>
        <v>91</v>
      </c>
      <c r="F481" s="83">
        <f>VLOOKUP(D481,'FERC Interest Rate'!$A:$B,2,TRUE)</f>
        <v>6.2501040000000008E-2</v>
      </c>
      <c r="G481" s="84">
        <f t="shared" si="285"/>
        <v>1050.8007419613919</v>
      </c>
      <c r="H481" s="84">
        <v>0</v>
      </c>
      <c r="I481" s="109">
        <f t="shared" si="290"/>
        <v>7.6643917087700881</v>
      </c>
      <c r="J481" s="85">
        <f t="shared" si="292"/>
        <v>16.329313299692995</v>
      </c>
      <c r="K481" s="129">
        <f t="shared" si="280"/>
        <v>23.993705008463081</v>
      </c>
      <c r="L481" s="85">
        <f t="shared" si="289"/>
        <v>142.44999999999999</v>
      </c>
      <c r="M481" s="130">
        <f t="shared" si="281"/>
        <v>166.44370500846307</v>
      </c>
      <c r="N481" s="8">
        <f t="shared" si="282"/>
        <v>1067.1300552610849</v>
      </c>
      <c r="O481" s="84">
        <f t="shared" si="283"/>
        <v>900.68635025262176</v>
      </c>
    </row>
    <row r="482" spans="1:15" x14ac:dyDescent="0.2">
      <c r="A482" s="17" t="s">
        <v>68</v>
      </c>
      <c r="B482" s="81" t="str">
        <f t="shared" si="288"/>
        <v>Q2/2020</v>
      </c>
      <c r="C482" s="82">
        <f t="shared" si="286"/>
        <v>43922</v>
      </c>
      <c r="D482" s="82">
        <f t="shared" si="287"/>
        <v>44012</v>
      </c>
      <c r="E482" s="81">
        <f t="shared" si="284"/>
        <v>91</v>
      </c>
      <c r="F482" s="83">
        <f>VLOOKUP(D482,'FERC Interest Rate'!$A:$B,2,TRUE)</f>
        <v>6.3055559999999997E-2</v>
      </c>
      <c r="G482" s="84">
        <f t="shared" si="285"/>
        <v>900.68635025262176</v>
      </c>
      <c r="H482" s="84">
        <v>0</v>
      </c>
      <c r="I482" s="109">
        <f t="shared" si="290"/>
        <v>7.6643917087700881</v>
      </c>
      <c r="J482" s="85">
        <f t="shared" si="292"/>
        <v>14.120734098791541</v>
      </c>
      <c r="K482" s="129">
        <f t="shared" si="280"/>
        <v>21.785125807561627</v>
      </c>
      <c r="L482" s="85">
        <f t="shared" si="289"/>
        <v>142.44999999999999</v>
      </c>
      <c r="M482" s="130">
        <f t="shared" si="281"/>
        <v>164.23512580756162</v>
      </c>
      <c r="N482" s="8">
        <f t="shared" si="282"/>
        <v>914.80708435141332</v>
      </c>
      <c r="O482" s="84">
        <f t="shared" si="283"/>
        <v>750.57195854385179</v>
      </c>
    </row>
    <row r="483" spans="1:15" x14ac:dyDescent="0.2">
      <c r="A483" s="17" t="s">
        <v>69</v>
      </c>
      <c r="B483" s="81" t="str">
        <f>+IF(MONTH(C483)&lt;4,"Q1",IF(MONTH(C483)&lt;7,"Q2",IF(MONTH(C483)&lt;10,"Q3","Q4")))&amp;"/"&amp;YEAR(C483)</f>
        <v>Q3/2020</v>
      </c>
      <c r="C483" s="82">
        <f t="shared" si="286"/>
        <v>44013</v>
      </c>
      <c r="D483" s="82">
        <f t="shared" si="287"/>
        <v>44104</v>
      </c>
      <c r="E483" s="81">
        <f t="shared" si="284"/>
        <v>92</v>
      </c>
      <c r="F483" s="83">
        <f>VLOOKUP(D483,'FERC Interest Rate'!$A:$B,2,TRUE)</f>
        <v>6.5000000000000002E-2</v>
      </c>
      <c r="G483" s="84">
        <f t="shared" si="285"/>
        <v>750.57195854385179</v>
      </c>
      <c r="H483" s="84">
        <v>0</v>
      </c>
      <c r="I483" s="109">
        <f t="shared" si="290"/>
        <v>7.6643917087700881</v>
      </c>
      <c r="J483" s="85">
        <f t="shared" si="292"/>
        <v>12.263443475661841</v>
      </c>
      <c r="K483" s="129">
        <f t="shared" si="280"/>
        <v>19.927835184431927</v>
      </c>
      <c r="L483" s="85">
        <f t="shared" si="289"/>
        <v>142.44999999999999</v>
      </c>
      <c r="M483" s="130">
        <f t="shared" si="281"/>
        <v>162.37783518443192</v>
      </c>
      <c r="N483" s="8">
        <f t="shared" si="282"/>
        <v>762.83540201951359</v>
      </c>
      <c r="O483" s="84">
        <f t="shared" si="283"/>
        <v>600.45756683508182</v>
      </c>
    </row>
    <row r="484" spans="1:15" x14ac:dyDescent="0.2">
      <c r="A484" s="17" t="s">
        <v>70</v>
      </c>
      <c r="B484" s="81" t="str">
        <f>+IF(MONTH(C484)&lt;4,"Q1",IF(MONTH(C484)&lt;7,"Q2",IF(MONTH(C484)&lt;10,"Q3","Q4")))&amp;"/"&amp;YEAR(C484)</f>
        <v>Q4/2020</v>
      </c>
      <c r="C484" s="82">
        <f t="shared" si="286"/>
        <v>44105</v>
      </c>
      <c r="D484" s="82">
        <f t="shared" si="287"/>
        <v>44196</v>
      </c>
      <c r="E484" s="81">
        <f t="shared" si="284"/>
        <v>92</v>
      </c>
      <c r="F484" s="83">
        <f>VLOOKUP(D484,'FERC Interest Rate'!$A:$B,2,TRUE)</f>
        <v>6.5000000000000002E-2</v>
      </c>
      <c r="G484" s="84">
        <f t="shared" si="285"/>
        <v>600.45756683508182</v>
      </c>
      <c r="H484" s="84">
        <v>0</v>
      </c>
      <c r="I484" s="109">
        <f t="shared" si="290"/>
        <v>7.6643917087700881</v>
      </c>
      <c r="J484" s="85">
        <f t="shared" si="292"/>
        <v>9.8107547805294786</v>
      </c>
      <c r="K484" s="129">
        <f t="shared" si="280"/>
        <v>17.475146489299568</v>
      </c>
      <c r="L484" s="85">
        <f t="shared" si="289"/>
        <v>142.44999999999999</v>
      </c>
      <c r="M484" s="130">
        <f t="shared" si="281"/>
        <v>159.92514648929955</v>
      </c>
      <c r="N484" s="8">
        <f t="shared" si="282"/>
        <v>610.26832161561128</v>
      </c>
      <c r="O484" s="84">
        <f t="shared" si="283"/>
        <v>450.34317512631173</v>
      </c>
    </row>
    <row r="485" spans="1:15" x14ac:dyDescent="0.2">
      <c r="A485" s="17" t="s">
        <v>71</v>
      </c>
      <c r="B485" s="81" t="str">
        <f>+IF(MONTH(C485)&lt;4,"Q1",IF(MONTH(C485)&lt;7,"Q2",IF(MONTH(C485)&lt;10,"Q3","Q4")))&amp;"/"&amp;YEAR(C485)</f>
        <v>Q1/2021</v>
      </c>
      <c r="C485" s="82">
        <f t="shared" si="286"/>
        <v>44197</v>
      </c>
      <c r="D485" s="82">
        <f t="shared" si="287"/>
        <v>44286</v>
      </c>
      <c r="E485" s="81">
        <f t="shared" si="284"/>
        <v>90</v>
      </c>
      <c r="F485" s="83">
        <f>VLOOKUP(D485,'FERC Interest Rate'!$A:$B,2,TRUE)</f>
        <v>6.5000000000000002E-2</v>
      </c>
      <c r="G485" s="84">
        <f t="shared" si="285"/>
        <v>450.34317512631173</v>
      </c>
      <c r="H485" s="84">
        <v>0</v>
      </c>
      <c r="I485" s="109">
        <f t="shared" si="290"/>
        <v>7.6643917087700881</v>
      </c>
      <c r="J485" s="85">
        <f t="shared" si="292"/>
        <v>7.2178289712025308</v>
      </c>
      <c r="K485" s="129">
        <f t="shared" si="280"/>
        <v>14.882220679972619</v>
      </c>
      <c r="L485" s="85">
        <f t="shared" si="289"/>
        <v>142.44999999999999</v>
      </c>
      <c r="M485" s="130">
        <f t="shared" si="281"/>
        <v>157.33222067997261</v>
      </c>
      <c r="N485" s="8">
        <f t="shared" si="282"/>
        <v>457.56100409751429</v>
      </c>
      <c r="O485" s="84">
        <f t="shared" si="283"/>
        <v>300.22878341754165</v>
      </c>
    </row>
    <row r="486" spans="1:15" x14ac:dyDescent="0.2">
      <c r="A486" s="17" t="s">
        <v>72</v>
      </c>
      <c r="B486" s="81" t="str">
        <f t="shared" ref="B486:B487" si="293">+IF(MONTH(C486)&lt;4,"Q1",IF(MONTH(C486)&lt;7,"Q2",IF(MONTH(C486)&lt;10,"Q3","Q4")))&amp;"/"&amp;YEAR(C486)</f>
        <v>Q2/2021</v>
      </c>
      <c r="C486" s="82">
        <f t="shared" si="286"/>
        <v>44287</v>
      </c>
      <c r="D486" s="82">
        <f t="shared" si="287"/>
        <v>44377</v>
      </c>
      <c r="E486" s="81">
        <f t="shared" si="284"/>
        <v>91</v>
      </c>
      <c r="F486" s="83">
        <f>VLOOKUP(D486,'FERC Interest Rate'!$A:$B,2,TRUE)</f>
        <v>6.5000000000000002E-2</v>
      </c>
      <c r="G486" s="84">
        <f t="shared" si="285"/>
        <v>300.22878341754165</v>
      </c>
      <c r="H486" s="84">
        <v>0</v>
      </c>
      <c r="I486" s="109">
        <f t="shared" si="290"/>
        <v>7.6643917087700881</v>
      </c>
      <c r="J486" s="85">
        <f t="shared" si="292"/>
        <v>4.8653513805883808</v>
      </c>
      <c r="K486" s="129">
        <f t="shared" si="280"/>
        <v>12.529743089358469</v>
      </c>
      <c r="L486" s="85">
        <f t="shared" si="289"/>
        <v>142.44999999999999</v>
      </c>
      <c r="M486" s="130">
        <f t="shared" si="281"/>
        <v>154.97974308935846</v>
      </c>
      <c r="N486" s="8">
        <f t="shared" si="282"/>
        <v>305.09413479813003</v>
      </c>
      <c r="O486" s="84">
        <f t="shared" si="283"/>
        <v>150.11439170877156</v>
      </c>
    </row>
    <row r="487" spans="1:15" x14ac:dyDescent="0.2">
      <c r="A487" s="17" t="s">
        <v>73</v>
      </c>
      <c r="B487" s="81" t="str">
        <f t="shared" si="293"/>
        <v>Q3/2021</v>
      </c>
      <c r="C487" s="82">
        <f t="shared" ref="C487" si="294">D486+1</f>
        <v>44378</v>
      </c>
      <c r="D487" s="82">
        <f t="shared" si="287"/>
        <v>44469</v>
      </c>
      <c r="E487" s="81">
        <f t="shared" ref="E487" si="295">D487-C487+1</f>
        <v>92</v>
      </c>
      <c r="F487" s="83">
        <f>VLOOKUP(D487,'FERC Interest Rate'!$A:$B,2,TRUE)</f>
        <v>6.5000000000000002E-2</v>
      </c>
      <c r="G487" s="84">
        <f t="shared" ref="G487" si="296">O486</f>
        <v>150.11439170877156</v>
      </c>
      <c r="H487" s="84">
        <v>0</v>
      </c>
      <c r="I487" s="109">
        <f t="shared" si="290"/>
        <v>7.6643917087700881</v>
      </c>
      <c r="J487" s="85">
        <f t="shared" ref="J487" si="297">G487*F487*(E487/(DATE(YEAR(D487),12,31)-DATE(YEAR(D487),1,1)+1))</f>
        <v>2.4594083901875452</v>
      </c>
      <c r="K487" s="129">
        <f t="shared" ref="K487" si="298">+SUM(I487:J487)</f>
        <v>10.123800098957634</v>
      </c>
      <c r="L487" s="85">
        <f t="shared" si="289"/>
        <v>142.44999999999999</v>
      </c>
      <c r="M487" s="130">
        <f t="shared" ref="M487" si="299">+SUM(K487:L487)</f>
        <v>152.57380009895763</v>
      </c>
      <c r="N487" s="8">
        <f t="shared" ref="N487" si="300">+G487+H487+J487</f>
        <v>152.57380009895911</v>
      </c>
      <c r="O487" s="84">
        <f t="shared" ref="O487" si="301">G487+H487-L487-I487</f>
        <v>1.4868106745780096E-12</v>
      </c>
    </row>
    <row r="488" spans="1:15" x14ac:dyDescent="0.2">
      <c r="A488" s="96"/>
      <c r="B488" s="81"/>
      <c r="C488" s="82"/>
      <c r="D488" s="82"/>
      <c r="E488" s="81"/>
      <c r="F488" s="83"/>
      <c r="G488" s="84"/>
      <c r="H488" s="84"/>
      <c r="I488" s="109"/>
      <c r="J488" s="85"/>
      <c r="K488" s="129"/>
      <c r="L488" s="85"/>
      <c r="M488" s="130"/>
      <c r="N488" s="8"/>
      <c r="O488" s="84"/>
    </row>
    <row r="489" spans="1:15" ht="13.5" thickBot="1" x14ac:dyDescent="0.25">
      <c r="A489" s="151"/>
      <c r="B489" s="152"/>
      <c r="C489" s="153"/>
      <c r="D489" s="153"/>
      <c r="E489" s="154"/>
      <c r="F489" s="152"/>
      <c r="G489" s="140">
        <f t="shared" ref="G489:O489" si="302">+SUM(G462:G488)</f>
        <v>48856.06227759608</v>
      </c>
      <c r="H489" s="140">
        <f t="shared" si="302"/>
        <v>153.28783417540177</v>
      </c>
      <c r="I489" s="141">
        <f t="shared" si="302"/>
        <v>153.28783417540177</v>
      </c>
      <c r="J489" s="140">
        <f t="shared" si="302"/>
        <v>346.20484219951442</v>
      </c>
      <c r="K489" s="140">
        <f t="shared" si="302"/>
        <v>499.49267637491607</v>
      </c>
      <c r="L489" s="140">
        <f t="shared" si="302"/>
        <v>2848.9999999999995</v>
      </c>
      <c r="M489" s="142">
        <f t="shared" si="302"/>
        <v>3348.4926763749163</v>
      </c>
      <c r="N489" s="140">
        <f t="shared" si="302"/>
        <v>49355.55495397099</v>
      </c>
      <c r="O489" s="140">
        <f t="shared" si="302"/>
        <v>46007.06227759608</v>
      </c>
    </row>
    <row r="490" spans="1:15" ht="13.5" thickTop="1" x14ac:dyDescent="0.2">
      <c r="B490" s="117"/>
      <c r="C490" s="117"/>
      <c r="D490" s="117"/>
      <c r="E490" s="117"/>
      <c r="F490" s="117"/>
      <c r="G490" s="117"/>
      <c r="H490" s="117"/>
      <c r="I490" s="116"/>
      <c r="J490" s="117"/>
      <c r="K490" s="117"/>
      <c r="L490" s="117"/>
      <c r="M490" s="131"/>
      <c r="O490" s="117"/>
    </row>
    <row r="491" spans="1:15" ht="38.25" x14ac:dyDescent="0.2">
      <c r="A491" s="90" t="s">
        <v>53</v>
      </c>
      <c r="B491" s="90" t="s">
        <v>3</v>
      </c>
      <c r="C491" s="90" t="s">
        <v>4</v>
      </c>
      <c r="D491" s="90" t="s">
        <v>5</v>
      </c>
      <c r="E491" s="90" t="s">
        <v>6</v>
      </c>
      <c r="F491" s="90" t="s">
        <v>7</v>
      </c>
      <c r="G491" s="90" t="s">
        <v>93</v>
      </c>
      <c r="H491" s="90" t="s">
        <v>94</v>
      </c>
      <c r="I491" s="105" t="s">
        <v>95</v>
      </c>
      <c r="J491" s="106" t="s">
        <v>96</v>
      </c>
      <c r="K491" s="106" t="s">
        <v>97</v>
      </c>
      <c r="L491" s="106" t="s">
        <v>98</v>
      </c>
      <c r="M491" s="107" t="s">
        <v>99</v>
      </c>
      <c r="N491" s="90" t="s">
        <v>100</v>
      </c>
      <c r="O491" s="90" t="s">
        <v>101</v>
      </c>
    </row>
    <row r="492" spans="1:15" x14ac:dyDescent="0.2">
      <c r="A492" s="309" t="s">
        <v>15</v>
      </c>
      <c r="B492" s="309"/>
      <c r="C492" s="282">
        <f>VLOOKUP(B493,A$1:F$18,2,FALSE)</f>
        <v>42180</v>
      </c>
      <c r="D492" s="282">
        <f>DATE(YEAR(C492),IF(MONTH(C492)&lt;=3,3,IF(MONTH(C492)&lt;=6,6,IF(MONTH(C492)&lt;=9,9,12))),IF(OR(MONTH(C492)&lt;=3,MONTH(C492)&gt;=10),31,30))</f>
        <v>42185</v>
      </c>
      <c r="E492" s="283">
        <f>D492-C492+1</f>
        <v>6</v>
      </c>
      <c r="F492" s="284">
        <f>VLOOKUP(D492,'FERC Interest Rate'!$A:$B,2,TRUE)</f>
        <v>3.2500000000000001E-2</v>
      </c>
      <c r="G492" s="167">
        <f>VLOOKUP(B493,$A$1:$F$22,5,FALSE)</f>
        <v>2285</v>
      </c>
      <c r="H492" s="167">
        <f t="shared" ref="H492:H498" si="303">G492*F492*(E492/(DATE(YEAR(D492),12,31)-DATE(YEAR(D492),1,1)+1))</f>
        <v>1.2207534246575342</v>
      </c>
      <c r="I492" s="291">
        <v>0</v>
      </c>
      <c r="J492" s="286">
        <v>0</v>
      </c>
      <c r="K492" s="288">
        <f t="shared" ref="K492:K515" si="304">+SUM(I492:J492)</f>
        <v>0</v>
      </c>
      <c r="L492" s="286">
        <v>0</v>
      </c>
      <c r="M492" s="289">
        <f t="shared" ref="M492:M515" si="305">+SUM(K492:L492)</f>
        <v>0</v>
      </c>
      <c r="N492" s="290">
        <f t="shared" ref="N492:N515" si="306">+G492+H492+J492</f>
        <v>2286.2207534246577</v>
      </c>
      <c r="O492" s="167">
        <f t="shared" ref="O492:O515" si="307">G492+H492-L492-I492</f>
        <v>2286.2207534246577</v>
      </c>
    </row>
    <row r="493" spans="1:15" x14ac:dyDescent="0.2">
      <c r="A493" s="275" t="s">
        <v>38</v>
      </c>
      <c r="B493" s="276" t="s">
        <v>67</v>
      </c>
      <c r="C493" s="282">
        <f>D492+1</f>
        <v>42186</v>
      </c>
      <c r="D493" s="282">
        <f>EOMONTH(D492,3)</f>
        <v>42277</v>
      </c>
      <c r="E493" s="283">
        <f t="shared" ref="E493:E515" si="308">D493-C493+1</f>
        <v>92</v>
      </c>
      <c r="F493" s="284">
        <f>VLOOKUP(D493,'FERC Interest Rate'!$A:$B,2,TRUE)</f>
        <v>3.2500000000000001E-2</v>
      </c>
      <c r="G493" s="167">
        <f t="shared" ref="G493:G515" si="309">O492</f>
        <v>2286.2207534246577</v>
      </c>
      <c r="H493" s="167">
        <f t="shared" si="303"/>
        <v>18.728219322574596</v>
      </c>
      <c r="I493" s="291">
        <v>0</v>
      </c>
      <c r="J493" s="286">
        <v>0</v>
      </c>
      <c r="K493" s="288">
        <f t="shared" si="304"/>
        <v>0</v>
      </c>
      <c r="L493" s="286">
        <v>0</v>
      </c>
      <c r="M493" s="289">
        <f t="shared" si="305"/>
        <v>0</v>
      </c>
      <c r="N493" s="290">
        <f t="shared" si="306"/>
        <v>2304.9489727472323</v>
      </c>
      <c r="O493" s="167">
        <f t="shared" si="307"/>
        <v>2304.9489727472323</v>
      </c>
    </row>
    <row r="494" spans="1:15" x14ac:dyDescent="0.2">
      <c r="B494" s="283"/>
      <c r="C494" s="282">
        <f t="shared" ref="C494:C515" si="310">D493+1</f>
        <v>42278</v>
      </c>
      <c r="D494" s="282">
        <f t="shared" ref="D494:D517" si="311">EOMONTH(D493,3)</f>
        <v>42369</v>
      </c>
      <c r="E494" s="283">
        <f t="shared" si="308"/>
        <v>92</v>
      </c>
      <c r="F494" s="284">
        <f>VLOOKUP(D494,'FERC Interest Rate'!$A:$B,2,TRUE)</f>
        <v>3.2500000000000001E-2</v>
      </c>
      <c r="G494" s="167">
        <f t="shared" si="309"/>
        <v>2304.9489727472323</v>
      </c>
      <c r="H494" s="167">
        <f t="shared" si="303"/>
        <v>18.881636790449932</v>
      </c>
      <c r="I494" s="291">
        <v>0</v>
      </c>
      <c r="J494" s="286">
        <v>0</v>
      </c>
      <c r="K494" s="288">
        <f t="shared" si="304"/>
        <v>0</v>
      </c>
      <c r="L494" s="286">
        <v>0</v>
      </c>
      <c r="M494" s="289">
        <f t="shared" si="305"/>
        <v>0</v>
      </c>
      <c r="N494" s="290">
        <f t="shared" si="306"/>
        <v>2323.8306095376824</v>
      </c>
      <c r="O494" s="167">
        <f t="shared" si="307"/>
        <v>2323.8306095376824</v>
      </c>
    </row>
    <row r="495" spans="1:15" x14ac:dyDescent="0.2">
      <c r="B495" s="283"/>
      <c r="C495" s="282">
        <f t="shared" si="310"/>
        <v>42370</v>
      </c>
      <c r="D495" s="282">
        <f t="shared" si="311"/>
        <v>42460</v>
      </c>
      <c r="E495" s="283">
        <f t="shared" si="308"/>
        <v>91</v>
      </c>
      <c r="F495" s="284">
        <f>VLOOKUP(D495,'FERC Interest Rate'!$A:$B,2,TRUE)</f>
        <v>3.2500000000000001E-2</v>
      </c>
      <c r="G495" s="167">
        <f t="shared" si="309"/>
        <v>2323.8306095376824</v>
      </c>
      <c r="H495" s="167">
        <f t="shared" si="303"/>
        <v>18.777948163135783</v>
      </c>
      <c r="I495" s="291">
        <v>0</v>
      </c>
      <c r="J495" s="286">
        <v>0</v>
      </c>
      <c r="K495" s="288">
        <f t="shared" si="304"/>
        <v>0</v>
      </c>
      <c r="L495" s="286">
        <v>0</v>
      </c>
      <c r="M495" s="289">
        <f t="shared" si="305"/>
        <v>0</v>
      </c>
      <c r="N495" s="290">
        <f t="shared" si="306"/>
        <v>2342.6085577008184</v>
      </c>
      <c r="O495" s="167">
        <f t="shared" si="307"/>
        <v>2342.6085577008184</v>
      </c>
    </row>
    <row r="496" spans="1:15" x14ac:dyDescent="0.2">
      <c r="A496" s="96"/>
      <c r="B496" s="81"/>
      <c r="C496" s="82">
        <f t="shared" si="310"/>
        <v>42461</v>
      </c>
      <c r="D496" s="82">
        <f t="shared" si="311"/>
        <v>42551</v>
      </c>
      <c r="E496" s="81">
        <f t="shared" si="308"/>
        <v>91</v>
      </c>
      <c r="F496" s="83">
        <f>VLOOKUP(D496,'FERC Interest Rate'!$A:$B,2,TRUE)</f>
        <v>3.4599999999999999E-2</v>
      </c>
      <c r="G496" s="84">
        <f t="shared" si="309"/>
        <v>2342.6085577008184</v>
      </c>
      <c r="H496" s="167">
        <f t="shared" si="303"/>
        <v>20.15283416605682</v>
      </c>
      <c r="I496" s="173">
        <v>0</v>
      </c>
      <c r="J496" s="286">
        <v>0</v>
      </c>
      <c r="K496" s="129">
        <f t="shared" si="304"/>
        <v>0</v>
      </c>
      <c r="L496" s="85">
        <v>0</v>
      </c>
      <c r="M496" s="130">
        <f t="shared" si="305"/>
        <v>0</v>
      </c>
      <c r="N496" s="8">
        <f t="shared" si="306"/>
        <v>2362.7613918668753</v>
      </c>
      <c r="O496" s="84">
        <f t="shared" si="307"/>
        <v>2362.7613918668753</v>
      </c>
    </row>
    <row r="497" spans="1:15" x14ac:dyDescent="0.2">
      <c r="A497" s="96"/>
      <c r="B497" s="81"/>
      <c r="C497" s="82">
        <f t="shared" si="310"/>
        <v>42552</v>
      </c>
      <c r="D497" s="82">
        <f t="shared" si="311"/>
        <v>42643</v>
      </c>
      <c r="E497" s="81">
        <f t="shared" si="308"/>
        <v>92</v>
      </c>
      <c r="F497" s="83">
        <f>VLOOKUP(D497,'FERC Interest Rate'!$A:$B,2,TRUE)</f>
        <v>3.5000000000000003E-2</v>
      </c>
      <c r="G497" s="84">
        <f t="shared" si="309"/>
        <v>2362.7613918668753</v>
      </c>
      <c r="H497" s="84">
        <f t="shared" si="303"/>
        <v>20.787135742653934</v>
      </c>
      <c r="I497" s="173">
        <v>0</v>
      </c>
      <c r="J497" s="85">
        <v>0</v>
      </c>
      <c r="K497" s="129">
        <f t="shared" si="304"/>
        <v>0</v>
      </c>
      <c r="L497" s="85">
        <v>0</v>
      </c>
      <c r="M497" s="130">
        <f t="shared" si="305"/>
        <v>0</v>
      </c>
      <c r="N497" s="8">
        <f t="shared" si="306"/>
        <v>2383.5485276095292</v>
      </c>
      <c r="O497" s="84">
        <f t="shared" si="307"/>
        <v>2383.5485276095292</v>
      </c>
    </row>
    <row r="498" spans="1:15" x14ac:dyDescent="0.2">
      <c r="A498" s="17" t="s">
        <v>54</v>
      </c>
      <c r="B498" s="81" t="str">
        <f t="shared" ref="B498:B512" si="312">+IF(MONTH(C498)&lt;4,"Q1",IF(MONTH(C498)&lt;7,"Q2",IF(MONTH(C498)&lt;10,"Q3","Q4")))&amp;"/"&amp;YEAR(C498)</f>
        <v>Q4/2016</v>
      </c>
      <c r="C498" s="82">
        <f t="shared" si="310"/>
        <v>42644</v>
      </c>
      <c r="D498" s="82">
        <f t="shared" si="311"/>
        <v>42735</v>
      </c>
      <c r="E498" s="81">
        <f t="shared" si="308"/>
        <v>92</v>
      </c>
      <c r="F498" s="83">
        <f>VLOOKUP(D498,'FERC Interest Rate'!$A:$B,2,TRUE)</f>
        <v>3.5000000000000003E-2</v>
      </c>
      <c r="G498" s="84">
        <f t="shared" si="309"/>
        <v>2383.5485276095292</v>
      </c>
      <c r="H498" s="84">
        <f t="shared" si="303"/>
        <v>20.970017100827008</v>
      </c>
      <c r="I498" s="173">
        <f>SUM($H$492:$H$518)/20</f>
        <v>5.9759272355177808</v>
      </c>
      <c r="J498" s="85">
        <v>0</v>
      </c>
      <c r="K498" s="129">
        <f t="shared" si="304"/>
        <v>5.9759272355177808</v>
      </c>
      <c r="L498" s="85">
        <f t="shared" ref="L498:L517" si="313">VLOOKUP($B$493,A$1:F$18,5,FALSE)/20</f>
        <v>114.25</v>
      </c>
      <c r="M498" s="130">
        <f t="shared" si="305"/>
        <v>120.22592723551779</v>
      </c>
      <c r="N498" s="8">
        <f t="shared" si="306"/>
        <v>2404.5185447103563</v>
      </c>
      <c r="O498" s="84">
        <f t="shared" si="307"/>
        <v>2284.2926174748386</v>
      </c>
    </row>
    <row r="499" spans="1:15" x14ac:dyDescent="0.2">
      <c r="A499" s="17" t="s">
        <v>55</v>
      </c>
      <c r="B499" s="81" t="str">
        <f t="shared" si="312"/>
        <v>Q1/2017</v>
      </c>
      <c r="C499" s="82">
        <f t="shared" si="310"/>
        <v>42736</v>
      </c>
      <c r="D499" s="82">
        <f t="shared" si="311"/>
        <v>42825</v>
      </c>
      <c r="E499" s="81">
        <f t="shared" si="308"/>
        <v>90</v>
      </c>
      <c r="F499" s="83">
        <f>VLOOKUP(D499,'FERC Interest Rate'!$A:$B,2,TRUE)</f>
        <v>3.5000000000000003E-2</v>
      </c>
      <c r="G499" s="84">
        <f t="shared" si="309"/>
        <v>2284.2926174748386</v>
      </c>
      <c r="H499" s="84">
        <v>0</v>
      </c>
      <c r="I499" s="173">
        <f t="shared" ref="I499:I517" si="314">SUM($H$492:$H$518)/20</f>
        <v>5.9759272355177808</v>
      </c>
      <c r="J499" s="85">
        <f t="shared" ref="J499:J502" si="315">G499*F499*(E499/(DATE(YEAR(D499),12,31)-DATE(YEAR(D499),1,1)+1))</f>
        <v>19.713758205604773</v>
      </c>
      <c r="K499" s="129">
        <f t="shared" si="304"/>
        <v>25.689685441122553</v>
      </c>
      <c r="L499" s="85">
        <f t="shared" si="313"/>
        <v>114.25</v>
      </c>
      <c r="M499" s="130">
        <f t="shared" si="305"/>
        <v>139.93968544112255</v>
      </c>
      <c r="N499" s="8">
        <f t="shared" si="306"/>
        <v>2304.0063756804434</v>
      </c>
      <c r="O499" s="84">
        <f t="shared" si="307"/>
        <v>2164.0666902393209</v>
      </c>
    </row>
    <row r="500" spans="1:15" x14ac:dyDescent="0.2">
      <c r="A500" s="17" t="s">
        <v>56</v>
      </c>
      <c r="B500" s="81" t="str">
        <f t="shared" si="312"/>
        <v>Q2/2017</v>
      </c>
      <c r="C500" s="82">
        <f t="shared" si="310"/>
        <v>42826</v>
      </c>
      <c r="D500" s="82">
        <f t="shared" si="311"/>
        <v>42916</v>
      </c>
      <c r="E500" s="81">
        <f t="shared" si="308"/>
        <v>91</v>
      </c>
      <c r="F500" s="83">
        <f>VLOOKUP(D500,'FERC Interest Rate'!$A:$B,2,TRUE)</f>
        <v>3.7100000000000001E-2</v>
      </c>
      <c r="G500" s="84">
        <f t="shared" si="309"/>
        <v>2164.0666902393209</v>
      </c>
      <c r="H500" s="84">
        <v>0</v>
      </c>
      <c r="I500" s="109">
        <f t="shared" si="314"/>
        <v>5.9759272355177808</v>
      </c>
      <c r="J500" s="85">
        <f t="shared" si="315"/>
        <v>20.016727542238279</v>
      </c>
      <c r="K500" s="129">
        <f t="shared" si="304"/>
        <v>25.992654777756059</v>
      </c>
      <c r="L500" s="85">
        <f t="shared" si="313"/>
        <v>114.25</v>
      </c>
      <c r="M500" s="130">
        <f t="shared" si="305"/>
        <v>140.24265477775606</v>
      </c>
      <c r="N500" s="8">
        <f t="shared" si="306"/>
        <v>2184.0834177815591</v>
      </c>
      <c r="O500" s="84">
        <f t="shared" si="307"/>
        <v>2043.8407630038032</v>
      </c>
    </row>
    <row r="501" spans="1:15" x14ac:dyDescent="0.2">
      <c r="A501" s="17" t="s">
        <v>57</v>
      </c>
      <c r="B501" s="81" t="str">
        <f t="shared" si="312"/>
        <v>Q3/2017</v>
      </c>
      <c r="C501" s="82">
        <f t="shared" si="310"/>
        <v>42917</v>
      </c>
      <c r="D501" s="82">
        <f t="shared" si="311"/>
        <v>43008</v>
      </c>
      <c r="E501" s="81">
        <f t="shared" si="308"/>
        <v>92</v>
      </c>
      <c r="F501" s="83">
        <f>VLOOKUP(D501,'FERC Interest Rate'!$A:$B,2,TRUE)</f>
        <v>3.9600000000000003E-2</v>
      </c>
      <c r="G501" s="84">
        <f t="shared" si="309"/>
        <v>2043.8407630038032</v>
      </c>
      <c r="H501" s="84">
        <v>0</v>
      </c>
      <c r="I501" s="109">
        <f t="shared" si="314"/>
        <v>5.9759272355177808</v>
      </c>
      <c r="J501" s="85">
        <f t="shared" si="315"/>
        <v>20.400330596645087</v>
      </c>
      <c r="K501" s="129">
        <f t="shared" si="304"/>
        <v>26.376257832162867</v>
      </c>
      <c r="L501" s="85">
        <f t="shared" si="313"/>
        <v>114.25</v>
      </c>
      <c r="M501" s="130">
        <f t="shared" si="305"/>
        <v>140.62625783216288</v>
      </c>
      <c r="N501" s="8">
        <f t="shared" si="306"/>
        <v>2064.2410936004485</v>
      </c>
      <c r="O501" s="84">
        <f t="shared" si="307"/>
        <v>1923.6148357682855</v>
      </c>
    </row>
    <row r="502" spans="1:15" x14ac:dyDescent="0.2">
      <c r="A502" s="17" t="s">
        <v>58</v>
      </c>
      <c r="B502" s="81" t="str">
        <f t="shared" si="312"/>
        <v>Q4/2017</v>
      </c>
      <c r="C502" s="82">
        <f t="shared" si="310"/>
        <v>43009</v>
      </c>
      <c r="D502" s="82">
        <f t="shared" si="311"/>
        <v>43100</v>
      </c>
      <c r="E502" s="81">
        <f t="shared" si="308"/>
        <v>92</v>
      </c>
      <c r="F502" s="83">
        <f>VLOOKUP(D502,'FERC Interest Rate'!$A:$B,2,TRUE)</f>
        <v>4.2099999999999999E-2</v>
      </c>
      <c r="G502" s="84">
        <f t="shared" si="309"/>
        <v>1923.6148357682855</v>
      </c>
      <c r="H502" s="84">
        <v>0</v>
      </c>
      <c r="I502" s="109">
        <f t="shared" si="314"/>
        <v>5.9759272355177808</v>
      </c>
      <c r="J502" s="85">
        <f t="shared" si="315"/>
        <v>20.412452005199242</v>
      </c>
      <c r="K502" s="129">
        <f t="shared" si="304"/>
        <v>26.388379240717022</v>
      </c>
      <c r="L502" s="85">
        <f t="shared" si="313"/>
        <v>114.25</v>
      </c>
      <c r="M502" s="130">
        <f t="shared" si="305"/>
        <v>140.63837924071703</v>
      </c>
      <c r="N502" s="8">
        <f t="shared" si="306"/>
        <v>1944.0272877734847</v>
      </c>
      <c r="O502" s="84">
        <f t="shared" si="307"/>
        <v>1803.3889085327678</v>
      </c>
    </row>
    <row r="503" spans="1:15" x14ac:dyDescent="0.2">
      <c r="A503" s="17" t="s">
        <v>59</v>
      </c>
      <c r="B503" s="81" t="str">
        <f t="shared" si="312"/>
        <v>Q1/2018</v>
      </c>
      <c r="C503" s="82">
        <f t="shared" si="310"/>
        <v>43101</v>
      </c>
      <c r="D503" s="82">
        <f t="shared" si="311"/>
        <v>43190</v>
      </c>
      <c r="E503" s="81">
        <f t="shared" si="308"/>
        <v>90</v>
      </c>
      <c r="F503" s="83">
        <f>VLOOKUP(D503,'FERC Interest Rate'!$A:$B,2,TRUE)</f>
        <v>4.2500000000000003E-2</v>
      </c>
      <c r="G503" s="84">
        <f t="shared" si="309"/>
        <v>1803.3889085327678</v>
      </c>
      <c r="H503" s="84">
        <v>0</v>
      </c>
      <c r="I503" s="109">
        <f t="shared" si="314"/>
        <v>5.9759272355177808</v>
      </c>
      <c r="J503" s="85">
        <f>G503*F503*(E503/(DATE(YEAR(D503),12,31)-DATE(YEAR(D503),1,1)+1))</f>
        <v>18.898527603117362</v>
      </c>
      <c r="K503" s="129">
        <f t="shared" si="304"/>
        <v>24.874454838635142</v>
      </c>
      <c r="L503" s="85">
        <f t="shared" si="313"/>
        <v>114.25</v>
      </c>
      <c r="M503" s="130">
        <f t="shared" si="305"/>
        <v>139.12445483863513</v>
      </c>
      <c r="N503" s="8">
        <f t="shared" si="306"/>
        <v>1822.2874361358852</v>
      </c>
      <c r="O503" s="84">
        <f t="shared" si="307"/>
        <v>1683.1629812972501</v>
      </c>
    </row>
    <row r="504" spans="1:15" x14ac:dyDescent="0.2">
      <c r="A504" s="17" t="s">
        <v>60</v>
      </c>
      <c r="B504" s="81" t="str">
        <f t="shared" si="312"/>
        <v>Q2/2018</v>
      </c>
      <c r="C504" s="82">
        <f t="shared" si="310"/>
        <v>43191</v>
      </c>
      <c r="D504" s="82">
        <f t="shared" si="311"/>
        <v>43281</v>
      </c>
      <c r="E504" s="81">
        <f t="shared" si="308"/>
        <v>91</v>
      </c>
      <c r="F504" s="83">
        <f>VLOOKUP(D504,'FERC Interest Rate'!$A:$B,2,TRUE)</f>
        <v>4.4699999999999997E-2</v>
      </c>
      <c r="G504" s="84">
        <f t="shared" si="309"/>
        <v>1683.1629812972501</v>
      </c>
      <c r="H504" s="84">
        <v>0</v>
      </c>
      <c r="I504" s="109">
        <f t="shared" si="314"/>
        <v>5.9759272355177808</v>
      </c>
      <c r="J504" s="85">
        <f t="shared" ref="J504:J515" si="316">G504*F504*(E504/(DATE(YEAR(D504),12,31)-DATE(YEAR(D504),1,1)+1))</f>
        <v>18.757813860336505</v>
      </c>
      <c r="K504" s="129">
        <f t="shared" si="304"/>
        <v>24.733741095854285</v>
      </c>
      <c r="L504" s="85">
        <f t="shared" si="313"/>
        <v>114.25</v>
      </c>
      <c r="M504" s="130">
        <f t="shared" si="305"/>
        <v>138.98374109585427</v>
      </c>
      <c r="N504" s="8">
        <f t="shared" si="306"/>
        <v>1701.9207951575866</v>
      </c>
      <c r="O504" s="84">
        <f t="shared" si="307"/>
        <v>1562.9370540617324</v>
      </c>
    </row>
    <row r="505" spans="1:15" x14ac:dyDescent="0.2">
      <c r="A505" s="17" t="s">
        <v>61</v>
      </c>
      <c r="B505" s="81" t="str">
        <f t="shared" si="312"/>
        <v>Q3/2018</v>
      </c>
      <c r="C505" s="82">
        <f t="shared" si="310"/>
        <v>43282</v>
      </c>
      <c r="D505" s="82">
        <f t="shared" si="311"/>
        <v>43373</v>
      </c>
      <c r="E505" s="81">
        <f t="shared" si="308"/>
        <v>92</v>
      </c>
      <c r="F505" s="83">
        <f>VLOOKUP(D505,'FERC Interest Rate'!$A:$B,2,TRUE)</f>
        <v>5.011111E-2</v>
      </c>
      <c r="G505" s="84">
        <f t="shared" si="309"/>
        <v>1562.9370540617324</v>
      </c>
      <c r="H505" s="84">
        <v>0</v>
      </c>
      <c r="I505" s="109">
        <f t="shared" si="314"/>
        <v>5.9759272355177808</v>
      </c>
      <c r="J505" s="85">
        <f t="shared" si="316"/>
        <v>19.741060215898724</v>
      </c>
      <c r="K505" s="129">
        <f t="shared" si="304"/>
        <v>25.716987451416504</v>
      </c>
      <c r="L505" s="85">
        <f t="shared" si="313"/>
        <v>114.25</v>
      </c>
      <c r="M505" s="130">
        <f t="shared" si="305"/>
        <v>139.96698745141651</v>
      </c>
      <c r="N505" s="8">
        <f t="shared" si="306"/>
        <v>1582.678114277631</v>
      </c>
      <c r="O505" s="84">
        <f t="shared" si="307"/>
        <v>1442.7111268262147</v>
      </c>
    </row>
    <row r="506" spans="1:15" x14ac:dyDescent="0.2">
      <c r="A506" s="17" t="s">
        <v>62</v>
      </c>
      <c r="B506" s="81" t="str">
        <f t="shared" si="312"/>
        <v>Q4/2018</v>
      </c>
      <c r="C506" s="82">
        <f t="shared" si="310"/>
        <v>43374</v>
      </c>
      <c r="D506" s="82">
        <f t="shared" si="311"/>
        <v>43465</v>
      </c>
      <c r="E506" s="81">
        <f t="shared" si="308"/>
        <v>92</v>
      </c>
      <c r="F506" s="83">
        <f>VLOOKUP(D506,'FERC Interest Rate'!$A:$B,2,TRUE)</f>
        <v>5.2822580000000001E-2</v>
      </c>
      <c r="G506" s="84">
        <f t="shared" si="309"/>
        <v>1442.7111268262147</v>
      </c>
      <c r="H506" s="84">
        <v>0</v>
      </c>
      <c r="I506" s="109">
        <f t="shared" si="314"/>
        <v>5.9759272355177808</v>
      </c>
      <c r="J506" s="85">
        <f t="shared" si="316"/>
        <v>19.208522191938204</v>
      </c>
      <c r="K506" s="129">
        <f t="shared" si="304"/>
        <v>25.184449427455984</v>
      </c>
      <c r="L506" s="85">
        <f t="shared" si="313"/>
        <v>114.25</v>
      </c>
      <c r="M506" s="130">
        <f t="shared" si="305"/>
        <v>139.43444942745597</v>
      </c>
      <c r="N506" s="8">
        <f t="shared" si="306"/>
        <v>1461.919649018153</v>
      </c>
      <c r="O506" s="84">
        <f t="shared" si="307"/>
        <v>1322.485199590697</v>
      </c>
    </row>
    <row r="507" spans="1:15" x14ac:dyDescent="0.2">
      <c r="A507" s="17" t="s">
        <v>63</v>
      </c>
      <c r="B507" s="81" t="str">
        <f t="shared" si="312"/>
        <v>Q1/2019</v>
      </c>
      <c r="C507" s="82">
        <f t="shared" si="310"/>
        <v>43466</v>
      </c>
      <c r="D507" s="82">
        <f t="shared" si="311"/>
        <v>43555</v>
      </c>
      <c r="E507" s="81">
        <f t="shared" si="308"/>
        <v>90</v>
      </c>
      <c r="F507" s="83">
        <f>VLOOKUP(D507,'FERC Interest Rate'!$A:$B,2,TRUE)</f>
        <v>5.5296770000000002E-2</v>
      </c>
      <c r="G507" s="84">
        <f t="shared" si="309"/>
        <v>1322.485199590697</v>
      </c>
      <c r="H507" s="84">
        <v>0</v>
      </c>
      <c r="I507" s="109">
        <f t="shared" si="314"/>
        <v>5.9759272355177808</v>
      </c>
      <c r="J507" s="85">
        <f t="shared" si="316"/>
        <v>18.031847649083229</v>
      </c>
      <c r="K507" s="129">
        <f t="shared" si="304"/>
        <v>24.007774884601009</v>
      </c>
      <c r="L507" s="85">
        <f t="shared" si="313"/>
        <v>114.25</v>
      </c>
      <c r="M507" s="130">
        <f t="shared" si="305"/>
        <v>138.25777488460102</v>
      </c>
      <c r="N507" s="8">
        <f t="shared" si="306"/>
        <v>1340.5170472397801</v>
      </c>
      <c r="O507" s="84">
        <f t="shared" si="307"/>
        <v>1202.2592723551793</v>
      </c>
    </row>
    <row r="508" spans="1:15" x14ac:dyDescent="0.2">
      <c r="A508" s="17" t="s">
        <v>64</v>
      </c>
      <c r="B508" s="81" t="str">
        <f t="shared" si="312"/>
        <v>Q2/2019</v>
      </c>
      <c r="C508" s="82">
        <f t="shared" si="310"/>
        <v>43556</v>
      </c>
      <c r="D508" s="82">
        <f t="shared" si="311"/>
        <v>43646</v>
      </c>
      <c r="E508" s="81">
        <f t="shared" si="308"/>
        <v>91</v>
      </c>
      <c r="F508" s="83">
        <f>VLOOKUP(D508,'FERC Interest Rate'!$A:$B,2,TRUE)</f>
        <v>5.7999999999999996E-2</v>
      </c>
      <c r="G508" s="84">
        <f t="shared" si="309"/>
        <v>1202.2592723551793</v>
      </c>
      <c r="H508" s="84">
        <v>0</v>
      </c>
      <c r="I508" s="109">
        <f t="shared" si="314"/>
        <v>5.9759272355177808</v>
      </c>
      <c r="J508" s="85">
        <f t="shared" si="316"/>
        <v>17.384998464357906</v>
      </c>
      <c r="K508" s="129">
        <f t="shared" si="304"/>
        <v>23.360925699875686</v>
      </c>
      <c r="L508" s="85">
        <f t="shared" si="313"/>
        <v>114.25</v>
      </c>
      <c r="M508" s="130">
        <f t="shared" si="305"/>
        <v>137.61092569987568</v>
      </c>
      <c r="N508" s="8">
        <f t="shared" si="306"/>
        <v>1219.6442708195373</v>
      </c>
      <c r="O508" s="84">
        <f t="shared" si="307"/>
        <v>1082.0333451196616</v>
      </c>
    </row>
    <row r="509" spans="1:15" x14ac:dyDescent="0.2">
      <c r="A509" s="17" t="s">
        <v>65</v>
      </c>
      <c r="B509" s="81" t="str">
        <f t="shared" si="312"/>
        <v>Q3/2019</v>
      </c>
      <c r="C509" s="82">
        <f t="shared" si="310"/>
        <v>43647</v>
      </c>
      <c r="D509" s="82">
        <f t="shared" si="311"/>
        <v>43738</v>
      </c>
      <c r="E509" s="81">
        <f t="shared" si="308"/>
        <v>92</v>
      </c>
      <c r="F509" s="83">
        <f>VLOOKUP(D509,'FERC Interest Rate'!$A:$B,2,TRUE)</f>
        <v>0.06</v>
      </c>
      <c r="G509" s="84">
        <f t="shared" si="309"/>
        <v>1082.0333451196616</v>
      </c>
      <c r="H509" s="84">
        <v>0</v>
      </c>
      <c r="I509" s="109">
        <f t="shared" si="314"/>
        <v>5.9759272355177808</v>
      </c>
      <c r="J509" s="85">
        <f t="shared" si="316"/>
        <v>16.363901548111048</v>
      </c>
      <c r="K509" s="129">
        <f t="shared" si="304"/>
        <v>22.339828783628828</v>
      </c>
      <c r="L509" s="85">
        <f t="shared" si="313"/>
        <v>114.25</v>
      </c>
      <c r="M509" s="130">
        <f t="shared" si="305"/>
        <v>136.58982878362883</v>
      </c>
      <c r="N509" s="8">
        <f t="shared" si="306"/>
        <v>1098.3972466677726</v>
      </c>
      <c r="O509" s="84">
        <f t="shared" si="307"/>
        <v>961.80741788414377</v>
      </c>
    </row>
    <row r="510" spans="1:15" x14ac:dyDescent="0.2">
      <c r="A510" s="17" t="s">
        <v>66</v>
      </c>
      <c r="B510" s="81" t="str">
        <f t="shared" si="312"/>
        <v>Q4/2019</v>
      </c>
      <c r="C510" s="82">
        <f t="shared" si="310"/>
        <v>43739</v>
      </c>
      <c r="D510" s="82">
        <f t="shared" si="311"/>
        <v>43830</v>
      </c>
      <c r="E510" s="81">
        <f t="shared" si="308"/>
        <v>92</v>
      </c>
      <c r="F510" s="83">
        <f>VLOOKUP(D510,'FERC Interest Rate'!$A:$B,2,TRUE)</f>
        <v>6.0349460000000001E-2</v>
      </c>
      <c r="G510" s="84">
        <f t="shared" si="309"/>
        <v>961.80741788414377</v>
      </c>
      <c r="H510" s="84">
        <v>0</v>
      </c>
      <c r="I510" s="109">
        <f t="shared" si="314"/>
        <v>5.9759272355177808</v>
      </c>
      <c r="J510" s="85">
        <f t="shared" si="316"/>
        <v>14.63040921365431</v>
      </c>
      <c r="K510" s="129">
        <f t="shared" si="304"/>
        <v>20.60633644917209</v>
      </c>
      <c r="L510" s="85">
        <f t="shared" si="313"/>
        <v>114.25</v>
      </c>
      <c r="M510" s="130">
        <f t="shared" si="305"/>
        <v>134.85633644917209</v>
      </c>
      <c r="N510" s="8">
        <f t="shared" si="306"/>
        <v>976.43782709779805</v>
      </c>
      <c r="O510" s="84">
        <f t="shared" si="307"/>
        <v>841.58149064862596</v>
      </c>
    </row>
    <row r="511" spans="1:15" x14ac:dyDescent="0.2">
      <c r="A511" s="17" t="s">
        <v>67</v>
      </c>
      <c r="B511" s="81" t="str">
        <f t="shared" si="312"/>
        <v>Q1/2020</v>
      </c>
      <c r="C511" s="82">
        <f t="shared" si="310"/>
        <v>43831</v>
      </c>
      <c r="D511" s="82">
        <f t="shared" si="311"/>
        <v>43921</v>
      </c>
      <c r="E511" s="81">
        <f t="shared" si="308"/>
        <v>91</v>
      </c>
      <c r="F511" s="83">
        <f>VLOOKUP(D511,'FERC Interest Rate'!$A:$B,2,TRUE)</f>
        <v>6.2501040000000008E-2</v>
      </c>
      <c r="G511" s="84">
        <f t="shared" si="309"/>
        <v>841.58149064862596</v>
      </c>
      <c r="H511" s="84">
        <v>0</v>
      </c>
      <c r="I511" s="109">
        <f t="shared" si="314"/>
        <v>5.9759272355177808</v>
      </c>
      <c r="J511" s="85">
        <f t="shared" si="316"/>
        <v>13.07807206376048</v>
      </c>
      <c r="K511" s="129">
        <f t="shared" si="304"/>
        <v>19.05399929927826</v>
      </c>
      <c r="L511" s="85">
        <f t="shared" si="313"/>
        <v>114.25</v>
      </c>
      <c r="M511" s="130">
        <f t="shared" si="305"/>
        <v>133.30399929927825</v>
      </c>
      <c r="N511" s="8">
        <f t="shared" si="306"/>
        <v>854.65956271238645</v>
      </c>
      <c r="O511" s="84">
        <f t="shared" si="307"/>
        <v>721.35556341310814</v>
      </c>
    </row>
    <row r="512" spans="1:15" x14ac:dyDescent="0.2">
      <c r="A512" s="17" t="s">
        <v>68</v>
      </c>
      <c r="B512" s="81" t="str">
        <f t="shared" si="312"/>
        <v>Q2/2020</v>
      </c>
      <c r="C512" s="82">
        <f t="shared" si="310"/>
        <v>43922</v>
      </c>
      <c r="D512" s="82">
        <f t="shared" si="311"/>
        <v>44012</v>
      </c>
      <c r="E512" s="81">
        <f t="shared" si="308"/>
        <v>91</v>
      </c>
      <c r="F512" s="83">
        <f>VLOOKUP(D512,'FERC Interest Rate'!$A:$B,2,TRUE)</f>
        <v>6.3055559999999997E-2</v>
      </c>
      <c r="G512" s="84">
        <f t="shared" si="309"/>
        <v>721.35556341310814</v>
      </c>
      <c r="H512" s="84">
        <v>0</v>
      </c>
      <c r="I512" s="109">
        <f t="shared" si="314"/>
        <v>5.9759272355177808</v>
      </c>
      <c r="J512" s="85">
        <f t="shared" si="316"/>
        <v>11.309231120004762</v>
      </c>
      <c r="K512" s="129">
        <f t="shared" si="304"/>
        <v>17.285158355522544</v>
      </c>
      <c r="L512" s="85">
        <f t="shared" si="313"/>
        <v>114.25</v>
      </c>
      <c r="M512" s="130">
        <f t="shared" si="305"/>
        <v>131.53515835552255</v>
      </c>
      <c r="N512" s="8">
        <f t="shared" si="306"/>
        <v>732.66479453311285</v>
      </c>
      <c r="O512" s="84">
        <f t="shared" si="307"/>
        <v>601.12963617759033</v>
      </c>
    </row>
    <row r="513" spans="1:15" x14ac:dyDescent="0.2">
      <c r="A513" s="17" t="s">
        <v>69</v>
      </c>
      <c r="B513" s="81" t="str">
        <f>+IF(MONTH(C513)&lt;4,"Q1",IF(MONTH(C513)&lt;7,"Q2",IF(MONTH(C513)&lt;10,"Q3","Q4")))&amp;"/"&amp;YEAR(C513)</f>
        <v>Q3/2020</v>
      </c>
      <c r="C513" s="82">
        <f t="shared" si="310"/>
        <v>44013</v>
      </c>
      <c r="D513" s="82">
        <f t="shared" si="311"/>
        <v>44104</v>
      </c>
      <c r="E513" s="81">
        <f t="shared" si="308"/>
        <v>92</v>
      </c>
      <c r="F513" s="83">
        <f>VLOOKUP(D513,'FERC Interest Rate'!$A:$B,2,TRUE)</f>
        <v>6.5000000000000002E-2</v>
      </c>
      <c r="G513" s="84">
        <f t="shared" si="309"/>
        <v>601.12963617759033</v>
      </c>
      <c r="H513" s="84">
        <v>0</v>
      </c>
      <c r="I513" s="109">
        <f t="shared" si="314"/>
        <v>5.9759272355177808</v>
      </c>
      <c r="J513" s="85">
        <f t="shared" si="316"/>
        <v>9.8217355856338546</v>
      </c>
      <c r="K513" s="129">
        <f t="shared" si="304"/>
        <v>15.797662821151636</v>
      </c>
      <c r="L513" s="85">
        <f t="shared" si="313"/>
        <v>114.25</v>
      </c>
      <c r="M513" s="130">
        <f t="shared" si="305"/>
        <v>130.04766282115165</v>
      </c>
      <c r="N513" s="8">
        <f t="shared" si="306"/>
        <v>610.95137176322419</v>
      </c>
      <c r="O513" s="84">
        <f t="shared" si="307"/>
        <v>480.90370894207257</v>
      </c>
    </row>
    <row r="514" spans="1:15" x14ac:dyDescent="0.2">
      <c r="A514" s="17" t="s">
        <v>70</v>
      </c>
      <c r="B514" s="81" t="str">
        <f>+IF(MONTH(C514)&lt;4,"Q1",IF(MONTH(C514)&lt;7,"Q2",IF(MONTH(C514)&lt;10,"Q3","Q4")))&amp;"/"&amp;YEAR(C514)</f>
        <v>Q4/2020</v>
      </c>
      <c r="C514" s="82">
        <f t="shared" si="310"/>
        <v>44105</v>
      </c>
      <c r="D514" s="82">
        <f t="shared" si="311"/>
        <v>44196</v>
      </c>
      <c r="E514" s="81">
        <f t="shared" si="308"/>
        <v>92</v>
      </c>
      <c r="F514" s="83">
        <f>VLOOKUP(D514,'FERC Interest Rate'!$A:$B,2,TRUE)</f>
        <v>6.5000000000000002E-2</v>
      </c>
      <c r="G514" s="84">
        <f t="shared" si="309"/>
        <v>480.90370894207257</v>
      </c>
      <c r="H514" s="84">
        <v>0</v>
      </c>
      <c r="I514" s="109">
        <f t="shared" si="314"/>
        <v>5.9759272355177808</v>
      </c>
      <c r="J514" s="85">
        <f t="shared" si="316"/>
        <v>7.8573884685070876</v>
      </c>
      <c r="K514" s="129">
        <f t="shared" si="304"/>
        <v>13.833315704024869</v>
      </c>
      <c r="L514" s="85">
        <f t="shared" si="313"/>
        <v>114.25</v>
      </c>
      <c r="M514" s="130">
        <f t="shared" si="305"/>
        <v>128.08331570402487</v>
      </c>
      <c r="N514" s="8">
        <f t="shared" si="306"/>
        <v>488.76109741057968</v>
      </c>
      <c r="O514" s="84">
        <f t="shared" si="307"/>
        <v>360.67778170655481</v>
      </c>
    </row>
    <row r="515" spans="1:15" x14ac:dyDescent="0.2">
      <c r="A515" s="17" t="s">
        <v>71</v>
      </c>
      <c r="B515" s="81" t="str">
        <f>+IF(MONTH(C515)&lt;4,"Q1",IF(MONTH(C515)&lt;7,"Q2",IF(MONTH(C515)&lt;10,"Q3","Q4")))&amp;"/"&amp;YEAR(C515)</f>
        <v>Q1/2021</v>
      </c>
      <c r="C515" s="82">
        <f t="shared" si="310"/>
        <v>44197</v>
      </c>
      <c r="D515" s="82">
        <f t="shared" si="311"/>
        <v>44286</v>
      </c>
      <c r="E515" s="81">
        <f t="shared" si="308"/>
        <v>90</v>
      </c>
      <c r="F515" s="83">
        <f>VLOOKUP(D515,'FERC Interest Rate'!$A:$B,2,TRUE)</f>
        <v>6.5000000000000002E-2</v>
      </c>
      <c r="G515" s="84">
        <f t="shared" si="309"/>
        <v>360.67778170655481</v>
      </c>
      <c r="H515" s="84">
        <v>0</v>
      </c>
      <c r="I515" s="109">
        <f t="shared" si="314"/>
        <v>5.9759272355177808</v>
      </c>
      <c r="J515" s="85">
        <f t="shared" si="316"/>
        <v>5.7807260903653299</v>
      </c>
      <c r="K515" s="129">
        <f t="shared" si="304"/>
        <v>11.756653325883111</v>
      </c>
      <c r="L515" s="85">
        <f t="shared" si="313"/>
        <v>114.25</v>
      </c>
      <c r="M515" s="130">
        <f t="shared" si="305"/>
        <v>126.00665332588311</v>
      </c>
      <c r="N515" s="8">
        <f t="shared" si="306"/>
        <v>366.45850779692012</v>
      </c>
      <c r="O515" s="84">
        <f t="shared" si="307"/>
        <v>240.45185447103702</v>
      </c>
    </row>
    <row r="516" spans="1:15" x14ac:dyDescent="0.2">
      <c r="A516" s="17" t="s">
        <v>72</v>
      </c>
      <c r="B516" s="81" t="str">
        <f t="shared" ref="B516:B517" si="317">+IF(MONTH(C516)&lt;4,"Q1",IF(MONTH(C516)&lt;7,"Q2",IF(MONTH(C516)&lt;10,"Q3","Q4")))&amp;"/"&amp;YEAR(C516)</f>
        <v>Q2/2021</v>
      </c>
      <c r="C516" s="82">
        <f t="shared" ref="C516:C517" si="318">D515+1</f>
        <v>44287</v>
      </c>
      <c r="D516" s="82">
        <f t="shared" si="311"/>
        <v>44377</v>
      </c>
      <c r="E516" s="81">
        <f t="shared" ref="E516:E517" si="319">D516-C516+1</f>
        <v>91</v>
      </c>
      <c r="F516" s="83">
        <f>VLOOKUP(D516,'FERC Interest Rate'!$A:$B,2,TRUE)</f>
        <v>6.5000000000000002E-2</v>
      </c>
      <c r="G516" s="84">
        <f t="shared" ref="G516:G517" si="320">O515</f>
        <v>240.45185447103702</v>
      </c>
      <c r="H516" s="84">
        <v>0</v>
      </c>
      <c r="I516" s="109">
        <f t="shared" si="314"/>
        <v>5.9759272355177808</v>
      </c>
      <c r="J516" s="85">
        <f t="shared" ref="J516:J517" si="321">G516*F516*(E516/(DATE(YEAR(D516),12,31)-DATE(YEAR(D516),1,1)+1))</f>
        <v>3.8966375868388603</v>
      </c>
      <c r="K516" s="129">
        <f t="shared" ref="K516:K517" si="322">+SUM(I516:J516)</f>
        <v>9.8725648223566402</v>
      </c>
      <c r="L516" s="85">
        <f t="shared" si="313"/>
        <v>114.25</v>
      </c>
      <c r="M516" s="130">
        <f t="shared" ref="M516:M517" si="323">+SUM(K516:L516)</f>
        <v>124.12256482235664</v>
      </c>
      <c r="N516" s="8">
        <f t="shared" ref="N516:N517" si="324">+G516+H516+J516</f>
        <v>244.34849205787589</v>
      </c>
      <c r="O516" s="84">
        <f t="shared" ref="O516:O517" si="325">G516+H516-L516-I516</f>
        <v>120.22592723551924</v>
      </c>
    </row>
    <row r="517" spans="1:15" x14ac:dyDescent="0.2">
      <c r="A517" s="17" t="s">
        <v>73</v>
      </c>
      <c r="B517" s="81" t="str">
        <f t="shared" si="317"/>
        <v>Q3/2021</v>
      </c>
      <c r="C517" s="82">
        <f t="shared" si="318"/>
        <v>44378</v>
      </c>
      <c r="D517" s="82">
        <f t="shared" si="311"/>
        <v>44469</v>
      </c>
      <c r="E517" s="81">
        <f t="shared" si="319"/>
        <v>92</v>
      </c>
      <c r="F517" s="83">
        <f>VLOOKUP(D517,'FERC Interest Rate'!$A:$B,2,TRUE)</f>
        <v>6.5000000000000002E-2</v>
      </c>
      <c r="G517" s="84">
        <f t="shared" si="320"/>
        <v>120.22592723551924</v>
      </c>
      <c r="H517" s="84">
        <v>0</v>
      </c>
      <c r="I517" s="109">
        <f t="shared" si="314"/>
        <v>5.9759272355177808</v>
      </c>
      <c r="J517" s="85">
        <f t="shared" si="321"/>
        <v>1.9697288900504248</v>
      </c>
      <c r="K517" s="129">
        <f t="shared" si="322"/>
        <v>7.9456561255682061</v>
      </c>
      <c r="L517" s="85">
        <f t="shared" si="313"/>
        <v>114.25</v>
      </c>
      <c r="M517" s="130">
        <f t="shared" si="323"/>
        <v>122.19565612556821</v>
      </c>
      <c r="N517" s="8">
        <f t="shared" si="324"/>
        <v>122.19565612556966</v>
      </c>
      <c r="O517" s="84">
        <f t="shared" si="325"/>
        <v>1.4557244298885053E-12</v>
      </c>
    </row>
    <row r="518" spans="1:15" x14ac:dyDescent="0.2">
      <c r="A518" s="96"/>
      <c r="B518" s="81"/>
      <c r="C518" s="82"/>
      <c r="D518" s="82"/>
      <c r="E518" s="81"/>
      <c r="F518" s="83"/>
      <c r="G518" s="84"/>
      <c r="H518" s="84"/>
      <c r="I518" s="109"/>
      <c r="J518" s="85"/>
      <c r="K518" s="129"/>
      <c r="L518" s="85"/>
      <c r="M518" s="130"/>
      <c r="N518" s="8"/>
      <c r="O518" s="84"/>
    </row>
    <row r="519" spans="1:15" ht="13.5" thickBot="1" x14ac:dyDescent="0.25">
      <c r="A519" s="151"/>
      <c r="B519" s="152"/>
      <c r="C519" s="153"/>
      <c r="D519" s="153"/>
      <c r="E519" s="154"/>
      <c r="F519" s="152"/>
      <c r="G519" s="140">
        <f t="shared" ref="G519:O519" si="326">+SUM(G492:G518)</f>
        <v>39131.844987635202</v>
      </c>
      <c r="H519" s="140">
        <f t="shared" si="326"/>
        <v>119.51854471035561</v>
      </c>
      <c r="I519" s="141">
        <f t="shared" si="326"/>
        <v>119.51854471035567</v>
      </c>
      <c r="J519" s="140">
        <f t="shared" si="326"/>
        <v>277.27386890134545</v>
      </c>
      <c r="K519" s="140">
        <f t="shared" si="326"/>
        <v>396.79241361170102</v>
      </c>
      <c r="L519" s="140">
        <f t="shared" si="326"/>
        <v>2285</v>
      </c>
      <c r="M519" s="142">
        <f t="shared" si="326"/>
        <v>2681.7924136117017</v>
      </c>
      <c r="N519" s="140">
        <f t="shared" si="326"/>
        <v>39528.637401246902</v>
      </c>
      <c r="O519" s="140">
        <f t="shared" si="326"/>
        <v>36846.844987635202</v>
      </c>
    </row>
    <row r="520" spans="1:15" ht="13.5" thickTop="1" x14ac:dyDescent="0.2">
      <c r="B520" s="117"/>
      <c r="C520" s="117"/>
      <c r="D520" s="117"/>
      <c r="E520" s="117"/>
      <c r="F520" s="117"/>
      <c r="G520" s="117"/>
      <c r="H520" s="117"/>
      <c r="I520" s="116"/>
      <c r="J520" s="117"/>
      <c r="K520" s="117"/>
      <c r="L520" s="117"/>
      <c r="M520" s="131"/>
      <c r="O520" s="117"/>
    </row>
    <row r="521" spans="1:15" ht="38.25" x14ac:dyDescent="0.2">
      <c r="A521" s="90" t="s">
        <v>53</v>
      </c>
      <c r="B521" s="90" t="s">
        <v>3</v>
      </c>
      <c r="C521" s="90" t="s">
        <v>4</v>
      </c>
      <c r="D521" s="90" t="s">
        <v>5</v>
      </c>
      <c r="E521" s="90" t="s">
        <v>6</v>
      </c>
      <c r="F521" s="90" t="s">
        <v>7</v>
      </c>
      <c r="G521" s="90" t="s">
        <v>93</v>
      </c>
      <c r="H521" s="90" t="s">
        <v>94</v>
      </c>
      <c r="I521" s="105" t="s">
        <v>95</v>
      </c>
      <c r="J521" s="106" t="s">
        <v>96</v>
      </c>
      <c r="K521" s="106" t="s">
        <v>97</v>
      </c>
      <c r="L521" s="106" t="s">
        <v>98</v>
      </c>
      <c r="M521" s="107" t="s">
        <v>99</v>
      </c>
      <c r="N521" s="90" t="s">
        <v>100</v>
      </c>
      <c r="O521" s="90" t="s">
        <v>101</v>
      </c>
    </row>
    <row r="522" spans="1:15" x14ac:dyDescent="0.2">
      <c r="A522" s="309" t="s">
        <v>15</v>
      </c>
      <c r="B522" s="309"/>
      <c r="C522" s="282">
        <f>VLOOKUP(B523,A$1:F$18,2,FALSE)</f>
        <v>42201</v>
      </c>
      <c r="D522" s="282">
        <f>DATE(YEAR(C522),IF(MONTH(C522)&lt;=3,3,IF(MONTH(C522)&lt;=6,6,IF(MONTH(C522)&lt;=9,9,12))),IF(OR(MONTH(C522)&lt;=3,MONTH(C522)&gt;=10),31,30))</f>
        <v>42277</v>
      </c>
      <c r="E522" s="283">
        <f>D522-C522+1</f>
        <v>77</v>
      </c>
      <c r="F522" s="284">
        <f>VLOOKUP(D522,'FERC Interest Rate'!$A:$B,2,TRUE)</f>
        <v>3.2500000000000001E-2</v>
      </c>
      <c r="G522" s="167">
        <f>VLOOKUP(B523,$A$1:$F$22,5,FALSE)</f>
        <v>1792</v>
      </c>
      <c r="H522" s="167">
        <f t="shared" ref="H522:H527" si="327">G522*F522*(E522/(DATE(YEAR(D522),12,31)-DATE(YEAR(D522),1,1)+1))</f>
        <v>12.286246575342465</v>
      </c>
      <c r="I522" s="291">
        <v>0</v>
      </c>
      <c r="J522" s="286">
        <v>0</v>
      </c>
      <c r="K522" s="288">
        <f t="shared" ref="K522:K544" si="328">+SUM(I522:J522)</f>
        <v>0</v>
      </c>
      <c r="L522" s="286">
        <v>0</v>
      </c>
      <c r="M522" s="289">
        <f t="shared" ref="M522:M544" si="329">+SUM(K522:L522)</f>
        <v>0</v>
      </c>
      <c r="N522" s="290">
        <f t="shared" ref="N522:N544" si="330">+G522+H522+J522</f>
        <v>1804.2862465753424</v>
      </c>
      <c r="O522" s="167">
        <f t="shared" ref="O522:O544" si="331">G522+H522-L522-I522</f>
        <v>1804.2862465753424</v>
      </c>
    </row>
    <row r="523" spans="1:15" x14ac:dyDescent="0.2">
      <c r="A523" s="275" t="s">
        <v>38</v>
      </c>
      <c r="B523" s="276" t="s">
        <v>68</v>
      </c>
      <c r="C523" s="282">
        <f>D522+1</f>
        <v>42278</v>
      </c>
      <c r="D523" s="282">
        <f>EOMONTH(D522,3)</f>
        <v>42369</v>
      </c>
      <c r="E523" s="283">
        <f t="shared" ref="E523:E544" si="332">D523-C523+1</f>
        <v>92</v>
      </c>
      <c r="F523" s="284">
        <f>VLOOKUP(D523,'FERC Interest Rate'!$A:$B,2,TRUE)</f>
        <v>3.2500000000000001E-2</v>
      </c>
      <c r="G523" s="167">
        <f t="shared" ref="G523:G544" si="333">O522</f>
        <v>1804.2862465753424</v>
      </c>
      <c r="H523" s="167">
        <f t="shared" si="327"/>
        <v>14.780317471945956</v>
      </c>
      <c r="I523" s="291">
        <v>0</v>
      </c>
      <c r="J523" s="286">
        <v>0</v>
      </c>
      <c r="K523" s="288">
        <f t="shared" si="328"/>
        <v>0</v>
      </c>
      <c r="L523" s="286">
        <v>0</v>
      </c>
      <c r="M523" s="289">
        <f t="shared" si="329"/>
        <v>0</v>
      </c>
      <c r="N523" s="290">
        <f t="shared" si="330"/>
        <v>1819.0665640472882</v>
      </c>
      <c r="O523" s="167">
        <f t="shared" si="331"/>
        <v>1819.0665640472882</v>
      </c>
    </row>
    <row r="524" spans="1:15" x14ac:dyDescent="0.2">
      <c r="B524" s="283"/>
      <c r="C524" s="282">
        <f t="shared" ref="C524:C544" si="334">D523+1</f>
        <v>42370</v>
      </c>
      <c r="D524" s="282">
        <f t="shared" ref="D524:D546" si="335">EOMONTH(D523,3)</f>
        <v>42460</v>
      </c>
      <c r="E524" s="283">
        <f t="shared" si="332"/>
        <v>91</v>
      </c>
      <c r="F524" s="284">
        <f>VLOOKUP(D524,'FERC Interest Rate'!$A:$B,2,TRUE)</f>
        <v>3.2500000000000001E-2</v>
      </c>
      <c r="G524" s="167">
        <f t="shared" si="333"/>
        <v>1819.0665640472882</v>
      </c>
      <c r="H524" s="167">
        <f t="shared" si="327"/>
        <v>14.699151265491407</v>
      </c>
      <c r="I524" s="291">
        <v>0</v>
      </c>
      <c r="J524" s="286">
        <v>0</v>
      </c>
      <c r="K524" s="288">
        <f t="shared" si="328"/>
        <v>0</v>
      </c>
      <c r="L524" s="286">
        <v>0</v>
      </c>
      <c r="M524" s="289">
        <f t="shared" si="329"/>
        <v>0</v>
      </c>
      <c r="N524" s="290">
        <f t="shared" si="330"/>
        <v>1833.7657153127795</v>
      </c>
      <c r="O524" s="167">
        <f t="shared" si="331"/>
        <v>1833.7657153127795</v>
      </c>
    </row>
    <row r="525" spans="1:15" x14ac:dyDescent="0.2">
      <c r="A525" s="96"/>
      <c r="B525" s="81"/>
      <c r="C525" s="82">
        <f t="shared" si="334"/>
        <v>42461</v>
      </c>
      <c r="D525" s="82">
        <f t="shared" si="335"/>
        <v>42551</v>
      </c>
      <c r="E525" s="81">
        <f t="shared" si="332"/>
        <v>91</v>
      </c>
      <c r="F525" s="83">
        <f>VLOOKUP(D525,'FERC Interest Rate'!$A:$B,2,TRUE)</f>
        <v>3.4599999999999999E-2</v>
      </c>
      <c r="G525" s="84">
        <f t="shared" si="333"/>
        <v>1833.7657153127795</v>
      </c>
      <c r="H525" s="167">
        <f t="shared" si="327"/>
        <v>15.775395440529556</v>
      </c>
      <c r="I525" s="173">
        <v>0</v>
      </c>
      <c r="J525" s="286">
        <v>0</v>
      </c>
      <c r="K525" s="129">
        <f t="shared" si="328"/>
        <v>0</v>
      </c>
      <c r="L525" s="85">
        <v>0</v>
      </c>
      <c r="M525" s="130">
        <f t="shared" si="329"/>
        <v>0</v>
      </c>
      <c r="N525" s="8">
        <f t="shared" si="330"/>
        <v>1849.5411107533091</v>
      </c>
      <c r="O525" s="84">
        <f t="shared" si="331"/>
        <v>1849.5411107533091</v>
      </c>
    </row>
    <row r="526" spans="1:15" x14ac:dyDescent="0.2">
      <c r="A526" s="96"/>
      <c r="B526" s="81"/>
      <c r="C526" s="82">
        <f t="shared" si="334"/>
        <v>42552</v>
      </c>
      <c r="D526" s="82">
        <f t="shared" si="335"/>
        <v>42643</v>
      </c>
      <c r="E526" s="81">
        <f t="shared" si="332"/>
        <v>92</v>
      </c>
      <c r="F526" s="83">
        <f>VLOOKUP(D526,'FERC Interest Rate'!$A:$B,2,TRUE)</f>
        <v>3.5000000000000003E-2</v>
      </c>
      <c r="G526" s="84">
        <f t="shared" si="333"/>
        <v>1849.5411107533091</v>
      </c>
      <c r="H526" s="84">
        <f t="shared" si="327"/>
        <v>16.271919061818732</v>
      </c>
      <c r="I526" s="173">
        <v>0</v>
      </c>
      <c r="J526" s="85">
        <v>0</v>
      </c>
      <c r="K526" s="129">
        <f t="shared" si="328"/>
        <v>0</v>
      </c>
      <c r="L526" s="85">
        <v>0</v>
      </c>
      <c r="M526" s="130">
        <f t="shared" si="329"/>
        <v>0</v>
      </c>
      <c r="N526" s="8">
        <f t="shared" si="330"/>
        <v>1865.8130298151279</v>
      </c>
      <c r="O526" s="84">
        <f t="shared" si="331"/>
        <v>1865.8130298151279</v>
      </c>
    </row>
    <row r="527" spans="1:15" x14ac:dyDescent="0.2">
      <c r="A527" s="17" t="s">
        <v>54</v>
      </c>
      <c r="B527" s="81" t="str">
        <f t="shared" ref="B527:B541" si="336">+IF(MONTH(C527)&lt;4,"Q1",IF(MONTH(C527)&lt;7,"Q2",IF(MONTH(C527)&lt;10,"Q3","Q4")))&amp;"/"&amp;YEAR(C527)</f>
        <v>Q4/2016</v>
      </c>
      <c r="C527" s="82">
        <f t="shared" si="334"/>
        <v>42644</v>
      </c>
      <c r="D527" s="82">
        <f t="shared" si="335"/>
        <v>42735</v>
      </c>
      <c r="E527" s="81">
        <f t="shared" si="332"/>
        <v>92</v>
      </c>
      <c r="F527" s="83">
        <f>VLOOKUP(D527,'FERC Interest Rate'!$A:$B,2,TRUE)</f>
        <v>3.5000000000000003E-2</v>
      </c>
      <c r="G527" s="84">
        <f t="shared" si="333"/>
        <v>1865.8130298151279</v>
      </c>
      <c r="H527" s="84">
        <f t="shared" si="327"/>
        <v>16.415076382526536</v>
      </c>
      <c r="I527" s="173">
        <f>SUM($H$522:$H$547)/20</f>
        <v>4.5114053098827327</v>
      </c>
      <c r="J527" s="85">
        <v>0</v>
      </c>
      <c r="K527" s="129">
        <f t="shared" si="328"/>
        <v>4.5114053098827327</v>
      </c>
      <c r="L527" s="85">
        <f t="shared" ref="L527:L546" si="337">VLOOKUP($B$523,A$1:F$18,5,FALSE)/20</f>
        <v>89.6</v>
      </c>
      <c r="M527" s="130">
        <f t="shared" si="329"/>
        <v>94.111405309882727</v>
      </c>
      <c r="N527" s="8">
        <f t="shared" si="330"/>
        <v>1882.2281061976546</v>
      </c>
      <c r="O527" s="84">
        <f t="shared" si="331"/>
        <v>1788.1167008877719</v>
      </c>
    </row>
    <row r="528" spans="1:15" x14ac:dyDescent="0.2">
      <c r="A528" s="17" t="s">
        <v>55</v>
      </c>
      <c r="B528" s="81" t="str">
        <f t="shared" si="336"/>
        <v>Q1/2017</v>
      </c>
      <c r="C528" s="82">
        <f t="shared" si="334"/>
        <v>42736</v>
      </c>
      <c r="D528" s="82">
        <f t="shared" si="335"/>
        <v>42825</v>
      </c>
      <c r="E528" s="81">
        <f t="shared" si="332"/>
        <v>90</v>
      </c>
      <c r="F528" s="83">
        <f>VLOOKUP(D528,'FERC Interest Rate'!$A:$B,2,TRUE)</f>
        <v>3.5000000000000003E-2</v>
      </c>
      <c r="G528" s="84">
        <f t="shared" si="333"/>
        <v>1788.1167008877719</v>
      </c>
      <c r="H528" s="84">
        <v>0</v>
      </c>
      <c r="I528" s="173">
        <f t="shared" ref="I528:I546" si="338">SUM($H$522:$H$547)/20</f>
        <v>4.5114053098827327</v>
      </c>
      <c r="J528" s="85">
        <f>G528*F528*(E528/(DATE(YEAR(D528),12,31)-DATE(YEAR(D528),1,1)+1))</f>
        <v>15.431692076154745</v>
      </c>
      <c r="K528" s="129">
        <f t="shared" si="328"/>
        <v>19.943097386037479</v>
      </c>
      <c r="L528" s="85">
        <f t="shared" si="337"/>
        <v>89.6</v>
      </c>
      <c r="M528" s="130">
        <f t="shared" si="329"/>
        <v>109.54309738603747</v>
      </c>
      <c r="N528" s="8">
        <f t="shared" si="330"/>
        <v>1803.5483929639267</v>
      </c>
      <c r="O528" s="84">
        <f t="shared" si="331"/>
        <v>1694.0052955778892</v>
      </c>
    </row>
    <row r="529" spans="1:15" x14ac:dyDescent="0.2">
      <c r="A529" s="17" t="s">
        <v>56</v>
      </c>
      <c r="B529" s="81" t="str">
        <f t="shared" si="336"/>
        <v>Q2/2017</v>
      </c>
      <c r="C529" s="82">
        <f t="shared" si="334"/>
        <v>42826</v>
      </c>
      <c r="D529" s="82">
        <f t="shared" si="335"/>
        <v>42916</v>
      </c>
      <c r="E529" s="81">
        <f t="shared" si="332"/>
        <v>91</v>
      </c>
      <c r="F529" s="83">
        <f>VLOOKUP(D529,'FERC Interest Rate'!$A:$B,2,TRUE)</f>
        <v>3.7100000000000001E-2</v>
      </c>
      <c r="G529" s="84">
        <f t="shared" si="333"/>
        <v>1694.0052955778892</v>
      </c>
      <c r="H529" s="84">
        <v>0</v>
      </c>
      <c r="I529" s="173">
        <f t="shared" si="338"/>
        <v>4.5114053098827327</v>
      </c>
      <c r="J529" s="85">
        <f>G529*F529*(E529/(DATE(YEAR(D529),12,31)-DATE(YEAR(D529),1,1)+1))</f>
        <v>15.668852817535651</v>
      </c>
      <c r="K529" s="129">
        <f t="shared" si="328"/>
        <v>20.180258127418384</v>
      </c>
      <c r="L529" s="85">
        <f t="shared" si="337"/>
        <v>89.6</v>
      </c>
      <c r="M529" s="130">
        <f t="shared" si="329"/>
        <v>109.78025812741838</v>
      </c>
      <c r="N529" s="8">
        <f t="shared" si="330"/>
        <v>1709.6741483954249</v>
      </c>
      <c r="O529" s="84">
        <f t="shared" si="331"/>
        <v>1599.8938902680065</v>
      </c>
    </row>
    <row r="530" spans="1:15" x14ac:dyDescent="0.2">
      <c r="A530" s="17" t="s">
        <v>57</v>
      </c>
      <c r="B530" s="81" t="str">
        <f t="shared" si="336"/>
        <v>Q3/2017</v>
      </c>
      <c r="C530" s="82">
        <f t="shared" si="334"/>
        <v>42917</v>
      </c>
      <c r="D530" s="82">
        <f t="shared" si="335"/>
        <v>43008</v>
      </c>
      <c r="E530" s="81">
        <f t="shared" si="332"/>
        <v>92</v>
      </c>
      <c r="F530" s="83">
        <f>VLOOKUP(D530,'FERC Interest Rate'!$A:$B,2,TRUE)</f>
        <v>3.9600000000000003E-2</v>
      </c>
      <c r="G530" s="84">
        <f t="shared" si="333"/>
        <v>1599.8938902680065</v>
      </c>
      <c r="H530" s="84">
        <v>0</v>
      </c>
      <c r="I530" s="109">
        <f t="shared" si="338"/>
        <v>4.5114053098827327</v>
      </c>
      <c r="J530" s="85">
        <f>G530*F530*(E530/(DATE(YEAR(D530),12,31)-DATE(YEAR(D530),1,1)+1))</f>
        <v>15.969132660340827</v>
      </c>
      <c r="K530" s="129">
        <f t="shared" si="328"/>
        <v>20.480537970223558</v>
      </c>
      <c r="L530" s="85">
        <f t="shared" si="337"/>
        <v>89.6</v>
      </c>
      <c r="M530" s="130">
        <f t="shared" si="329"/>
        <v>110.08053797022356</v>
      </c>
      <c r="N530" s="8">
        <f t="shared" si="330"/>
        <v>1615.8630229283474</v>
      </c>
      <c r="O530" s="84">
        <f t="shared" si="331"/>
        <v>1505.7824849581239</v>
      </c>
    </row>
    <row r="531" spans="1:15" x14ac:dyDescent="0.2">
      <c r="A531" s="17" t="s">
        <v>58</v>
      </c>
      <c r="B531" s="81" t="str">
        <f t="shared" si="336"/>
        <v>Q4/2017</v>
      </c>
      <c r="C531" s="82">
        <f t="shared" si="334"/>
        <v>43009</v>
      </c>
      <c r="D531" s="82">
        <f t="shared" si="335"/>
        <v>43100</v>
      </c>
      <c r="E531" s="81">
        <f t="shared" si="332"/>
        <v>92</v>
      </c>
      <c r="F531" s="83">
        <f>VLOOKUP(D531,'FERC Interest Rate'!$A:$B,2,TRUE)</f>
        <v>4.2099999999999999E-2</v>
      </c>
      <c r="G531" s="84">
        <f t="shared" si="333"/>
        <v>1505.7824849581239</v>
      </c>
      <c r="H531" s="84">
        <v>0</v>
      </c>
      <c r="I531" s="109">
        <f t="shared" si="338"/>
        <v>4.5114053098827327</v>
      </c>
      <c r="J531" s="85">
        <f t="shared" ref="J531:J544" si="339">G531*F531*(E531/(DATE(YEAR(D531),12,31)-DATE(YEAR(D531),1,1)+1))</f>
        <v>15.978621152711796</v>
      </c>
      <c r="K531" s="129">
        <f t="shared" si="328"/>
        <v>20.490026462594528</v>
      </c>
      <c r="L531" s="85">
        <f t="shared" si="337"/>
        <v>89.6</v>
      </c>
      <c r="M531" s="130">
        <f t="shared" si="329"/>
        <v>110.09002646259452</v>
      </c>
      <c r="N531" s="8">
        <f t="shared" si="330"/>
        <v>1521.7611061108357</v>
      </c>
      <c r="O531" s="84">
        <f t="shared" si="331"/>
        <v>1411.6710796482412</v>
      </c>
    </row>
    <row r="532" spans="1:15" x14ac:dyDescent="0.2">
      <c r="A532" s="17" t="s">
        <v>59</v>
      </c>
      <c r="B532" s="81" t="str">
        <f t="shared" si="336"/>
        <v>Q1/2018</v>
      </c>
      <c r="C532" s="82">
        <f t="shared" si="334"/>
        <v>43101</v>
      </c>
      <c r="D532" s="82">
        <f t="shared" si="335"/>
        <v>43190</v>
      </c>
      <c r="E532" s="81">
        <f t="shared" si="332"/>
        <v>90</v>
      </c>
      <c r="F532" s="83">
        <f>VLOOKUP(D532,'FERC Interest Rate'!$A:$B,2,TRUE)</f>
        <v>4.2500000000000003E-2</v>
      </c>
      <c r="G532" s="84">
        <f t="shared" si="333"/>
        <v>1411.6710796482412</v>
      </c>
      <c r="H532" s="84">
        <v>0</v>
      </c>
      <c r="I532" s="109">
        <f t="shared" si="338"/>
        <v>4.5114053098827327</v>
      </c>
      <c r="J532" s="85">
        <f t="shared" si="339"/>
        <v>14.793539396313761</v>
      </c>
      <c r="K532" s="129">
        <f t="shared" si="328"/>
        <v>19.304944706196494</v>
      </c>
      <c r="L532" s="85">
        <f t="shared" si="337"/>
        <v>89.6</v>
      </c>
      <c r="M532" s="130">
        <f t="shared" si="329"/>
        <v>108.90494470619649</v>
      </c>
      <c r="N532" s="8">
        <f t="shared" si="330"/>
        <v>1426.4646190445549</v>
      </c>
      <c r="O532" s="84">
        <f t="shared" si="331"/>
        <v>1317.5596743383585</v>
      </c>
    </row>
    <row r="533" spans="1:15" x14ac:dyDescent="0.2">
      <c r="A533" s="17" t="s">
        <v>60</v>
      </c>
      <c r="B533" s="81" t="str">
        <f t="shared" si="336"/>
        <v>Q2/2018</v>
      </c>
      <c r="C533" s="82">
        <f t="shared" si="334"/>
        <v>43191</v>
      </c>
      <c r="D533" s="82">
        <f t="shared" si="335"/>
        <v>43281</v>
      </c>
      <c r="E533" s="81">
        <f t="shared" si="332"/>
        <v>91</v>
      </c>
      <c r="F533" s="83">
        <f>VLOOKUP(D533,'FERC Interest Rate'!$A:$B,2,TRUE)</f>
        <v>4.4699999999999997E-2</v>
      </c>
      <c r="G533" s="84">
        <f t="shared" si="333"/>
        <v>1317.5596743383585</v>
      </c>
      <c r="H533" s="84">
        <v>0</v>
      </c>
      <c r="I533" s="109">
        <f t="shared" si="338"/>
        <v>4.5114053098827327</v>
      </c>
      <c r="J533" s="85">
        <f t="shared" si="339"/>
        <v>14.683390376181208</v>
      </c>
      <c r="K533" s="129">
        <f t="shared" si="328"/>
        <v>19.194795686063941</v>
      </c>
      <c r="L533" s="85">
        <f t="shared" si="337"/>
        <v>89.6</v>
      </c>
      <c r="M533" s="130">
        <f t="shared" si="329"/>
        <v>108.79479568606394</v>
      </c>
      <c r="N533" s="8">
        <f t="shared" si="330"/>
        <v>1332.2430647145397</v>
      </c>
      <c r="O533" s="84">
        <f t="shared" si="331"/>
        <v>1223.4482690284758</v>
      </c>
    </row>
    <row r="534" spans="1:15" x14ac:dyDescent="0.2">
      <c r="A534" s="17" t="s">
        <v>61</v>
      </c>
      <c r="B534" s="81" t="str">
        <f t="shared" si="336"/>
        <v>Q3/2018</v>
      </c>
      <c r="C534" s="82">
        <f t="shared" si="334"/>
        <v>43282</v>
      </c>
      <c r="D534" s="82">
        <f t="shared" si="335"/>
        <v>43373</v>
      </c>
      <c r="E534" s="81">
        <f t="shared" si="332"/>
        <v>92</v>
      </c>
      <c r="F534" s="83">
        <f>VLOOKUP(D534,'FERC Interest Rate'!$A:$B,2,TRUE)</f>
        <v>5.011111E-2</v>
      </c>
      <c r="G534" s="84">
        <f t="shared" si="333"/>
        <v>1223.4482690284758</v>
      </c>
      <c r="H534" s="84">
        <v>0</v>
      </c>
      <c r="I534" s="109">
        <f t="shared" si="338"/>
        <v>4.5114053098827327</v>
      </c>
      <c r="J534" s="85">
        <f t="shared" si="339"/>
        <v>15.453063760413125</v>
      </c>
      <c r="K534" s="129">
        <f t="shared" si="328"/>
        <v>19.964469070295856</v>
      </c>
      <c r="L534" s="85">
        <f t="shared" si="337"/>
        <v>89.6</v>
      </c>
      <c r="M534" s="130">
        <f t="shared" si="329"/>
        <v>109.56446907029584</v>
      </c>
      <c r="N534" s="8">
        <f t="shared" si="330"/>
        <v>1238.901332788889</v>
      </c>
      <c r="O534" s="84">
        <f t="shared" si="331"/>
        <v>1129.3368637185931</v>
      </c>
    </row>
    <row r="535" spans="1:15" x14ac:dyDescent="0.2">
      <c r="A535" s="17" t="s">
        <v>62</v>
      </c>
      <c r="B535" s="81" t="str">
        <f t="shared" si="336"/>
        <v>Q4/2018</v>
      </c>
      <c r="C535" s="82">
        <f t="shared" si="334"/>
        <v>43374</v>
      </c>
      <c r="D535" s="82">
        <f t="shared" si="335"/>
        <v>43465</v>
      </c>
      <c r="E535" s="81">
        <f t="shared" si="332"/>
        <v>92</v>
      </c>
      <c r="F535" s="83">
        <f>VLOOKUP(D535,'FERC Interest Rate'!$A:$B,2,TRUE)</f>
        <v>5.2822580000000001E-2</v>
      </c>
      <c r="G535" s="84">
        <f t="shared" si="333"/>
        <v>1129.3368637185931</v>
      </c>
      <c r="H535" s="84">
        <v>0</v>
      </c>
      <c r="I535" s="109">
        <f t="shared" si="338"/>
        <v>4.5114053098827327</v>
      </c>
      <c r="J535" s="85">
        <f t="shared" si="339"/>
        <v>15.036199420346994</v>
      </c>
      <c r="K535" s="129">
        <f t="shared" si="328"/>
        <v>19.547604730229729</v>
      </c>
      <c r="L535" s="85">
        <f t="shared" si="337"/>
        <v>89.6</v>
      </c>
      <c r="M535" s="130">
        <f t="shared" si="329"/>
        <v>109.14760473022972</v>
      </c>
      <c r="N535" s="8">
        <f t="shared" si="330"/>
        <v>1144.3730631389401</v>
      </c>
      <c r="O535" s="84">
        <f t="shared" si="331"/>
        <v>1035.2254584087104</v>
      </c>
    </row>
    <row r="536" spans="1:15" x14ac:dyDescent="0.2">
      <c r="A536" s="17" t="s">
        <v>63</v>
      </c>
      <c r="B536" s="81" t="str">
        <f t="shared" si="336"/>
        <v>Q1/2019</v>
      </c>
      <c r="C536" s="82">
        <f t="shared" si="334"/>
        <v>43466</v>
      </c>
      <c r="D536" s="82">
        <f t="shared" si="335"/>
        <v>43555</v>
      </c>
      <c r="E536" s="81">
        <f t="shared" si="332"/>
        <v>90</v>
      </c>
      <c r="F536" s="83">
        <f>VLOOKUP(D536,'FERC Interest Rate'!$A:$B,2,TRUE)</f>
        <v>5.5296770000000002E-2</v>
      </c>
      <c r="G536" s="84">
        <f t="shared" si="333"/>
        <v>1035.2254584087104</v>
      </c>
      <c r="H536" s="84">
        <v>0</v>
      </c>
      <c r="I536" s="109">
        <f t="shared" si="338"/>
        <v>4.5114053098827327</v>
      </c>
      <c r="J536" s="85">
        <f t="shared" si="339"/>
        <v>14.115112784820253</v>
      </c>
      <c r="K536" s="129">
        <f t="shared" si="328"/>
        <v>18.626518094702988</v>
      </c>
      <c r="L536" s="85">
        <f t="shared" si="337"/>
        <v>89.6</v>
      </c>
      <c r="M536" s="130">
        <f t="shared" si="329"/>
        <v>108.22651809470298</v>
      </c>
      <c r="N536" s="8">
        <f t="shared" si="330"/>
        <v>1049.3405711935306</v>
      </c>
      <c r="O536" s="84">
        <f t="shared" si="331"/>
        <v>941.11405309882764</v>
      </c>
    </row>
    <row r="537" spans="1:15" x14ac:dyDescent="0.2">
      <c r="A537" s="17" t="s">
        <v>64</v>
      </c>
      <c r="B537" s="81" t="str">
        <f t="shared" si="336"/>
        <v>Q2/2019</v>
      </c>
      <c r="C537" s="82">
        <f t="shared" si="334"/>
        <v>43556</v>
      </c>
      <c r="D537" s="82">
        <f t="shared" si="335"/>
        <v>43646</v>
      </c>
      <c r="E537" s="81">
        <f t="shared" si="332"/>
        <v>91</v>
      </c>
      <c r="F537" s="83">
        <f>VLOOKUP(D537,'FERC Interest Rate'!$A:$B,2,TRUE)</f>
        <v>5.7999999999999996E-2</v>
      </c>
      <c r="G537" s="84">
        <f t="shared" si="333"/>
        <v>941.11405309882764</v>
      </c>
      <c r="H537" s="84">
        <v>0</v>
      </c>
      <c r="I537" s="109">
        <f t="shared" si="338"/>
        <v>4.5114053098827327</v>
      </c>
      <c r="J537" s="85">
        <f t="shared" si="339"/>
        <v>13.608767047275649</v>
      </c>
      <c r="K537" s="129">
        <f t="shared" si="328"/>
        <v>18.120172357158381</v>
      </c>
      <c r="L537" s="85">
        <f t="shared" si="337"/>
        <v>89.6</v>
      </c>
      <c r="M537" s="130">
        <f t="shared" si="329"/>
        <v>107.72017235715838</v>
      </c>
      <c r="N537" s="8">
        <f t="shared" si="330"/>
        <v>954.72282014610323</v>
      </c>
      <c r="O537" s="84">
        <f t="shared" si="331"/>
        <v>847.00264778894484</v>
      </c>
    </row>
    <row r="538" spans="1:15" x14ac:dyDescent="0.2">
      <c r="A538" s="17" t="s">
        <v>65</v>
      </c>
      <c r="B538" s="81" t="str">
        <f t="shared" si="336"/>
        <v>Q3/2019</v>
      </c>
      <c r="C538" s="82">
        <f t="shared" si="334"/>
        <v>43647</v>
      </c>
      <c r="D538" s="82">
        <f t="shared" si="335"/>
        <v>43738</v>
      </c>
      <c r="E538" s="81">
        <f t="shared" si="332"/>
        <v>92</v>
      </c>
      <c r="F538" s="83">
        <f>VLOOKUP(D538,'FERC Interest Rate'!$A:$B,2,TRUE)</f>
        <v>0.06</v>
      </c>
      <c r="G538" s="84">
        <f t="shared" si="333"/>
        <v>847.00264778894484</v>
      </c>
      <c r="H538" s="84">
        <v>0</v>
      </c>
      <c r="I538" s="109">
        <f t="shared" si="338"/>
        <v>4.5114053098827327</v>
      </c>
      <c r="J538" s="85">
        <f t="shared" si="339"/>
        <v>12.809464700808153</v>
      </c>
      <c r="K538" s="129">
        <f t="shared" si="328"/>
        <v>17.320870010690886</v>
      </c>
      <c r="L538" s="85">
        <f t="shared" si="337"/>
        <v>89.6</v>
      </c>
      <c r="M538" s="130">
        <f t="shared" si="329"/>
        <v>106.92087001069088</v>
      </c>
      <c r="N538" s="8">
        <f t="shared" si="330"/>
        <v>859.81211248975296</v>
      </c>
      <c r="O538" s="84">
        <f t="shared" si="331"/>
        <v>752.89124247906204</v>
      </c>
    </row>
    <row r="539" spans="1:15" x14ac:dyDescent="0.2">
      <c r="A539" s="17" t="s">
        <v>66</v>
      </c>
      <c r="B539" s="81" t="str">
        <f t="shared" si="336"/>
        <v>Q4/2019</v>
      </c>
      <c r="C539" s="82">
        <f t="shared" si="334"/>
        <v>43739</v>
      </c>
      <c r="D539" s="82">
        <f t="shared" si="335"/>
        <v>43830</v>
      </c>
      <c r="E539" s="81">
        <f t="shared" si="332"/>
        <v>92</v>
      </c>
      <c r="F539" s="83">
        <f>VLOOKUP(D539,'FERC Interest Rate'!$A:$B,2,TRUE)</f>
        <v>6.0349460000000001E-2</v>
      </c>
      <c r="G539" s="84">
        <f t="shared" si="333"/>
        <v>752.89124247906204</v>
      </c>
      <c r="H539" s="84">
        <v>0</v>
      </c>
      <c r="I539" s="109">
        <f t="shared" si="338"/>
        <v>4.5114053098827327</v>
      </c>
      <c r="J539" s="85">
        <f t="shared" si="339"/>
        <v>11.45250781604198</v>
      </c>
      <c r="K539" s="129">
        <f t="shared" si="328"/>
        <v>15.963913125924712</v>
      </c>
      <c r="L539" s="85">
        <f t="shared" si="337"/>
        <v>89.6</v>
      </c>
      <c r="M539" s="130">
        <f t="shared" si="329"/>
        <v>105.5639131259247</v>
      </c>
      <c r="N539" s="8">
        <f t="shared" si="330"/>
        <v>764.34375029510397</v>
      </c>
      <c r="O539" s="84">
        <f t="shared" si="331"/>
        <v>658.77983716917925</v>
      </c>
    </row>
    <row r="540" spans="1:15" x14ac:dyDescent="0.2">
      <c r="A540" s="17" t="s">
        <v>67</v>
      </c>
      <c r="B540" s="81" t="str">
        <f t="shared" si="336"/>
        <v>Q1/2020</v>
      </c>
      <c r="C540" s="82">
        <f t="shared" si="334"/>
        <v>43831</v>
      </c>
      <c r="D540" s="82">
        <f t="shared" si="335"/>
        <v>43921</v>
      </c>
      <c r="E540" s="81">
        <f t="shared" si="332"/>
        <v>91</v>
      </c>
      <c r="F540" s="83">
        <f>VLOOKUP(D540,'FERC Interest Rate'!$A:$B,2,TRUE)</f>
        <v>6.2501040000000008E-2</v>
      </c>
      <c r="G540" s="84">
        <f t="shared" si="333"/>
        <v>658.77983716917925</v>
      </c>
      <c r="H540" s="84">
        <v>0</v>
      </c>
      <c r="I540" s="109">
        <f t="shared" si="338"/>
        <v>4.5114053098827327</v>
      </c>
      <c r="J540" s="85">
        <f t="shared" si="339"/>
        <v>10.237357024107917</v>
      </c>
      <c r="K540" s="129">
        <f t="shared" si="328"/>
        <v>14.74876233399065</v>
      </c>
      <c r="L540" s="85">
        <f t="shared" si="337"/>
        <v>89.6</v>
      </c>
      <c r="M540" s="130">
        <f t="shared" si="329"/>
        <v>104.34876233399065</v>
      </c>
      <c r="N540" s="8">
        <f t="shared" si="330"/>
        <v>669.0171941932872</v>
      </c>
      <c r="O540" s="84">
        <f t="shared" si="331"/>
        <v>564.66843185929645</v>
      </c>
    </row>
    <row r="541" spans="1:15" x14ac:dyDescent="0.2">
      <c r="A541" s="17" t="s">
        <v>68</v>
      </c>
      <c r="B541" s="81" t="str">
        <f t="shared" si="336"/>
        <v>Q2/2020</v>
      </c>
      <c r="C541" s="82">
        <f t="shared" si="334"/>
        <v>43922</v>
      </c>
      <c r="D541" s="82">
        <f t="shared" si="335"/>
        <v>44012</v>
      </c>
      <c r="E541" s="81">
        <f t="shared" si="332"/>
        <v>91</v>
      </c>
      <c r="F541" s="83">
        <f>VLOOKUP(D541,'FERC Interest Rate'!$A:$B,2,TRUE)</f>
        <v>6.3055559999999997E-2</v>
      </c>
      <c r="G541" s="84">
        <f t="shared" si="333"/>
        <v>564.66843185929645</v>
      </c>
      <c r="H541" s="84">
        <v>0</v>
      </c>
      <c r="I541" s="109">
        <f t="shared" si="338"/>
        <v>4.5114053098827327</v>
      </c>
      <c r="J541" s="85">
        <f t="shared" si="339"/>
        <v>8.8527296744647259</v>
      </c>
      <c r="K541" s="129">
        <f t="shared" si="328"/>
        <v>13.364134984347459</v>
      </c>
      <c r="L541" s="85">
        <f t="shared" si="337"/>
        <v>89.6</v>
      </c>
      <c r="M541" s="130">
        <f t="shared" si="329"/>
        <v>102.96413498434745</v>
      </c>
      <c r="N541" s="8">
        <f t="shared" si="330"/>
        <v>573.52116153376119</v>
      </c>
      <c r="O541" s="84">
        <f t="shared" si="331"/>
        <v>470.55702654941371</v>
      </c>
    </row>
    <row r="542" spans="1:15" x14ac:dyDescent="0.2">
      <c r="A542" s="17" t="s">
        <v>69</v>
      </c>
      <c r="B542" s="81" t="str">
        <f>+IF(MONTH(C542)&lt;4,"Q1",IF(MONTH(C542)&lt;7,"Q2",IF(MONTH(C542)&lt;10,"Q3","Q4")))&amp;"/"&amp;YEAR(C542)</f>
        <v>Q3/2020</v>
      </c>
      <c r="C542" s="82">
        <f t="shared" si="334"/>
        <v>44013</v>
      </c>
      <c r="D542" s="82">
        <f t="shared" si="335"/>
        <v>44104</v>
      </c>
      <c r="E542" s="81">
        <f t="shared" si="332"/>
        <v>92</v>
      </c>
      <c r="F542" s="83">
        <f>VLOOKUP(D542,'FERC Interest Rate'!$A:$B,2,TRUE)</f>
        <v>6.5000000000000002E-2</v>
      </c>
      <c r="G542" s="84">
        <f t="shared" si="333"/>
        <v>470.55702654941371</v>
      </c>
      <c r="H542" s="84">
        <v>0</v>
      </c>
      <c r="I542" s="109">
        <f t="shared" si="338"/>
        <v>4.5114053098827327</v>
      </c>
      <c r="J542" s="85">
        <f t="shared" si="339"/>
        <v>7.6883361168456128</v>
      </c>
      <c r="K542" s="129">
        <f t="shared" si="328"/>
        <v>12.199741426728345</v>
      </c>
      <c r="L542" s="85">
        <f t="shared" si="337"/>
        <v>89.6</v>
      </c>
      <c r="M542" s="130">
        <f t="shared" si="329"/>
        <v>101.79974142672833</v>
      </c>
      <c r="N542" s="8">
        <f t="shared" si="330"/>
        <v>478.24536266625933</v>
      </c>
      <c r="O542" s="84">
        <f t="shared" si="331"/>
        <v>376.44562123953102</v>
      </c>
    </row>
    <row r="543" spans="1:15" x14ac:dyDescent="0.2">
      <c r="A543" s="17" t="s">
        <v>70</v>
      </c>
      <c r="B543" s="81" t="str">
        <f>+IF(MONTH(C543)&lt;4,"Q1",IF(MONTH(C543)&lt;7,"Q2",IF(MONTH(C543)&lt;10,"Q3","Q4")))&amp;"/"&amp;YEAR(C543)</f>
        <v>Q4/2020</v>
      </c>
      <c r="C543" s="82">
        <f t="shared" si="334"/>
        <v>44105</v>
      </c>
      <c r="D543" s="82">
        <f t="shared" si="335"/>
        <v>44196</v>
      </c>
      <c r="E543" s="81">
        <f t="shared" si="332"/>
        <v>92</v>
      </c>
      <c r="F543" s="83">
        <f>VLOOKUP(D543,'FERC Interest Rate'!$A:$B,2,TRUE)</f>
        <v>6.5000000000000002E-2</v>
      </c>
      <c r="G543" s="84">
        <f t="shared" si="333"/>
        <v>376.44562123953102</v>
      </c>
      <c r="H543" s="84">
        <v>0</v>
      </c>
      <c r="I543" s="109">
        <f t="shared" si="338"/>
        <v>4.5114053098827327</v>
      </c>
      <c r="J543" s="85">
        <f t="shared" si="339"/>
        <v>6.1506688934764906</v>
      </c>
      <c r="K543" s="129">
        <f t="shared" si="328"/>
        <v>10.662074203359223</v>
      </c>
      <c r="L543" s="85">
        <f t="shared" si="337"/>
        <v>89.6</v>
      </c>
      <c r="M543" s="130">
        <f t="shared" si="329"/>
        <v>100.26207420335922</v>
      </c>
      <c r="N543" s="8">
        <f t="shared" si="330"/>
        <v>382.59629013300753</v>
      </c>
      <c r="O543" s="84">
        <f t="shared" si="331"/>
        <v>282.33421592964834</v>
      </c>
    </row>
    <row r="544" spans="1:15" x14ac:dyDescent="0.2">
      <c r="A544" s="17" t="s">
        <v>71</v>
      </c>
      <c r="B544" s="81" t="str">
        <f>+IF(MONTH(C544)&lt;4,"Q1",IF(MONTH(C544)&lt;7,"Q2",IF(MONTH(C544)&lt;10,"Q3","Q4")))&amp;"/"&amp;YEAR(C544)</f>
        <v>Q1/2021</v>
      </c>
      <c r="C544" s="82">
        <f t="shared" si="334"/>
        <v>44197</v>
      </c>
      <c r="D544" s="82">
        <f t="shared" si="335"/>
        <v>44286</v>
      </c>
      <c r="E544" s="81">
        <f t="shared" si="332"/>
        <v>90</v>
      </c>
      <c r="F544" s="83">
        <f>VLOOKUP(D544,'FERC Interest Rate'!$A:$B,2,TRUE)</f>
        <v>6.5000000000000002E-2</v>
      </c>
      <c r="G544" s="84">
        <f t="shared" si="333"/>
        <v>282.33421592964834</v>
      </c>
      <c r="H544" s="84">
        <v>0</v>
      </c>
      <c r="I544" s="109">
        <f t="shared" si="338"/>
        <v>4.5114053098827327</v>
      </c>
      <c r="J544" s="85">
        <f t="shared" si="339"/>
        <v>4.5250826388724459</v>
      </c>
      <c r="K544" s="129">
        <f t="shared" si="328"/>
        <v>9.0364879487551786</v>
      </c>
      <c r="L544" s="85">
        <f t="shared" si="337"/>
        <v>89.6</v>
      </c>
      <c r="M544" s="130">
        <f t="shared" si="329"/>
        <v>98.636487948755175</v>
      </c>
      <c r="N544" s="8">
        <f t="shared" si="330"/>
        <v>286.85929856852079</v>
      </c>
      <c r="O544" s="84">
        <f t="shared" si="331"/>
        <v>188.2228106197656</v>
      </c>
    </row>
    <row r="545" spans="1:15" x14ac:dyDescent="0.2">
      <c r="A545" s="17" t="s">
        <v>72</v>
      </c>
      <c r="B545" s="81" t="str">
        <f t="shared" ref="B545:B546" si="340">+IF(MONTH(C545)&lt;4,"Q1",IF(MONTH(C545)&lt;7,"Q2",IF(MONTH(C545)&lt;10,"Q3","Q4")))&amp;"/"&amp;YEAR(C545)</f>
        <v>Q2/2021</v>
      </c>
      <c r="C545" s="82">
        <f t="shared" ref="C545:C546" si="341">D544+1</f>
        <v>44287</v>
      </c>
      <c r="D545" s="82">
        <f t="shared" si="335"/>
        <v>44377</v>
      </c>
      <c r="E545" s="81">
        <f t="shared" ref="E545:E546" si="342">D545-C545+1</f>
        <v>91</v>
      </c>
      <c r="F545" s="83">
        <f>VLOOKUP(D545,'FERC Interest Rate'!$A:$B,2,TRUE)</f>
        <v>6.5000000000000002E-2</v>
      </c>
      <c r="G545" s="84">
        <f t="shared" ref="G545:G546" si="343">O544</f>
        <v>188.2228106197656</v>
      </c>
      <c r="H545" s="84">
        <v>0</v>
      </c>
      <c r="I545" s="109">
        <f t="shared" si="338"/>
        <v>4.5114053098827327</v>
      </c>
      <c r="J545" s="85">
        <f t="shared" ref="J545:J546" si="344">G545*F545*(E545/(DATE(YEAR(D545),12,31)-DATE(YEAR(D545),1,1)+1))</f>
        <v>3.0502408899066125</v>
      </c>
      <c r="K545" s="129">
        <f t="shared" ref="K545:K546" si="345">+SUM(I545:J545)</f>
        <v>7.5616461997893456</v>
      </c>
      <c r="L545" s="85">
        <f t="shared" si="337"/>
        <v>89.6</v>
      </c>
      <c r="M545" s="130">
        <f t="shared" ref="M545:M546" si="346">+SUM(K545:L545)</f>
        <v>97.161646199789345</v>
      </c>
      <c r="N545" s="8">
        <f t="shared" ref="N545:N546" si="347">+G545+H545+J545</f>
        <v>191.2730515096722</v>
      </c>
      <c r="O545" s="84">
        <f t="shared" ref="O545:O546" si="348">G545+H545-L545-I545</f>
        <v>94.111405309882869</v>
      </c>
    </row>
    <row r="546" spans="1:15" x14ac:dyDescent="0.2">
      <c r="A546" s="17" t="s">
        <v>73</v>
      </c>
      <c r="B546" s="81" t="str">
        <f t="shared" si="340"/>
        <v>Q3/2021</v>
      </c>
      <c r="C546" s="82">
        <f t="shared" si="341"/>
        <v>44378</v>
      </c>
      <c r="D546" s="82">
        <f t="shared" si="335"/>
        <v>44469</v>
      </c>
      <c r="E546" s="81">
        <f t="shared" si="342"/>
        <v>92</v>
      </c>
      <c r="F546" s="83">
        <f>VLOOKUP(D546,'FERC Interest Rate'!$A:$B,2,TRUE)</f>
        <v>6.5000000000000002E-2</v>
      </c>
      <c r="G546" s="84">
        <f t="shared" si="343"/>
        <v>94.111405309882869</v>
      </c>
      <c r="H546" s="84">
        <v>0</v>
      </c>
      <c r="I546" s="109">
        <f t="shared" si="338"/>
        <v>4.5114053098827327</v>
      </c>
      <c r="J546" s="85">
        <f t="shared" si="344"/>
        <v>1.5418800102824646</v>
      </c>
      <c r="K546" s="129">
        <f t="shared" si="345"/>
        <v>6.0532853201651973</v>
      </c>
      <c r="L546" s="85">
        <f t="shared" si="337"/>
        <v>89.6</v>
      </c>
      <c r="M546" s="130">
        <f t="shared" si="346"/>
        <v>95.653285320165196</v>
      </c>
      <c r="N546" s="8">
        <f t="shared" si="347"/>
        <v>95.653285320165338</v>
      </c>
      <c r="O546" s="84">
        <f t="shared" si="348"/>
        <v>1.4210854715202004E-13</v>
      </c>
    </row>
    <row r="547" spans="1:15" x14ac:dyDescent="0.2">
      <c r="A547" s="96"/>
      <c r="B547" s="81"/>
      <c r="C547" s="82"/>
      <c r="D547" s="82"/>
      <c r="E547" s="81"/>
      <c r="F547" s="83"/>
      <c r="G547" s="84"/>
      <c r="H547" s="84"/>
      <c r="I547" s="109"/>
      <c r="J547" s="85"/>
      <c r="K547" s="129"/>
      <c r="L547" s="85"/>
      <c r="M547" s="130"/>
      <c r="N547" s="8"/>
      <c r="O547" s="84"/>
    </row>
    <row r="548" spans="1:15" ht="13.5" thickBot="1" x14ac:dyDescent="0.25">
      <c r="A548" s="151"/>
      <c r="B548" s="152"/>
      <c r="C548" s="153"/>
      <c r="D548" s="153"/>
      <c r="E548" s="154"/>
      <c r="F548" s="152"/>
      <c r="G548" s="140">
        <f t="shared" ref="G548:O548" si="349">+SUM(G522:G547)</f>
        <v>28845.639675381557</v>
      </c>
      <c r="H548" s="140">
        <f t="shared" si="349"/>
        <v>90.228106197654654</v>
      </c>
      <c r="I548" s="141">
        <f t="shared" si="349"/>
        <v>90.228106197654654</v>
      </c>
      <c r="J548" s="140">
        <f t="shared" si="349"/>
        <v>217.04663925690036</v>
      </c>
      <c r="K548" s="140">
        <f t="shared" si="349"/>
        <v>307.27474545455499</v>
      </c>
      <c r="L548" s="140">
        <f t="shared" si="349"/>
        <v>1791.9999999999993</v>
      </c>
      <c r="M548" s="142">
        <f t="shared" si="349"/>
        <v>2099.2747454545547</v>
      </c>
      <c r="N548" s="140">
        <f t="shared" si="349"/>
        <v>29152.914420836129</v>
      </c>
      <c r="O548" s="140">
        <f t="shared" si="349"/>
        <v>27053.639675381557</v>
      </c>
    </row>
    <row r="549" spans="1:15" ht="13.5" thickTop="1" x14ac:dyDescent="0.2">
      <c r="B549" s="117"/>
      <c r="C549" s="117"/>
      <c r="D549" s="117"/>
      <c r="E549" s="117"/>
      <c r="F549" s="117"/>
      <c r="G549" s="117"/>
      <c r="H549" s="117"/>
      <c r="I549" s="116"/>
      <c r="J549" s="117"/>
      <c r="K549" s="117"/>
      <c r="L549" s="117"/>
      <c r="M549" s="131"/>
      <c r="O549" s="117"/>
    </row>
    <row r="550" spans="1:15" ht="38.25" x14ac:dyDescent="0.2">
      <c r="A550" s="90" t="s">
        <v>53</v>
      </c>
      <c r="B550" s="90" t="s">
        <v>3</v>
      </c>
      <c r="C550" s="90" t="s">
        <v>4</v>
      </c>
      <c r="D550" s="90" t="s">
        <v>5</v>
      </c>
      <c r="E550" s="90" t="s">
        <v>6</v>
      </c>
      <c r="F550" s="90" t="s">
        <v>7</v>
      </c>
      <c r="G550" s="90" t="s">
        <v>93</v>
      </c>
      <c r="H550" s="90" t="s">
        <v>94</v>
      </c>
      <c r="I550" s="105" t="s">
        <v>95</v>
      </c>
      <c r="J550" s="106" t="s">
        <v>96</v>
      </c>
      <c r="K550" s="106" t="s">
        <v>97</v>
      </c>
      <c r="L550" s="106" t="s">
        <v>98</v>
      </c>
      <c r="M550" s="107" t="s">
        <v>99</v>
      </c>
      <c r="N550" s="90" t="s">
        <v>100</v>
      </c>
      <c r="O550" s="90" t="s">
        <v>101</v>
      </c>
    </row>
    <row r="551" spans="1:15" x14ac:dyDescent="0.2">
      <c r="A551" s="309" t="s">
        <v>15</v>
      </c>
      <c r="B551" s="309"/>
      <c r="C551" s="282">
        <f>VLOOKUP(B552,A$1:F$22,2,FALSE)</f>
        <v>42256</v>
      </c>
      <c r="D551" s="282">
        <f>DATE(YEAR(C551),IF(MONTH(C551)&lt;=3,3,IF(MONTH(C551)&lt;=6,6,IF(MONTH(C551)&lt;=9,9,12))),IF(OR(MONTH(C551)&lt;=3,MONTH(C551)&gt;=10),31,30))</f>
        <v>42277</v>
      </c>
      <c r="E551" s="283">
        <f>D551-C551+1</f>
        <v>22</v>
      </c>
      <c r="F551" s="284">
        <f>VLOOKUP(D551,'FERC Interest Rate'!$A:$B,2,TRUE)</f>
        <v>3.2500000000000001E-2</v>
      </c>
      <c r="G551" s="167">
        <f>VLOOKUP(B552,$A$1:$F$22,5,FALSE)</f>
        <v>1380</v>
      </c>
      <c r="H551" s="167">
        <f t="shared" ref="H551:H556" si="350">G551*F551*(E551/(DATE(YEAR(D551),12,31)-DATE(YEAR(D551),1,1)+1))</f>
        <v>2.7032876712328768</v>
      </c>
      <c r="I551" s="291">
        <v>0</v>
      </c>
      <c r="J551" s="286">
        <v>0</v>
      </c>
      <c r="K551" s="288">
        <f t="shared" ref="K551:K572" si="351">+SUM(I551:J551)</f>
        <v>0</v>
      </c>
      <c r="L551" s="286">
        <v>0</v>
      </c>
      <c r="M551" s="289">
        <f t="shared" ref="M551:M572" si="352">+SUM(K551:L551)</f>
        <v>0</v>
      </c>
      <c r="N551" s="290">
        <f t="shared" ref="N551:N572" si="353">+G551+H551+J551</f>
        <v>1382.7032876712328</v>
      </c>
      <c r="O551" s="167">
        <f t="shared" ref="O551:O572" si="354">G551+H551-L551-I551</f>
        <v>1382.7032876712328</v>
      </c>
    </row>
    <row r="552" spans="1:15" x14ac:dyDescent="0.2">
      <c r="A552" s="275" t="s">
        <v>38</v>
      </c>
      <c r="B552" s="276" t="s">
        <v>69</v>
      </c>
      <c r="C552" s="282">
        <f>D551+1</f>
        <v>42278</v>
      </c>
      <c r="D552" s="282">
        <f>EOMONTH(D551,3)</f>
        <v>42369</v>
      </c>
      <c r="E552" s="283">
        <f t="shared" ref="E552:E572" si="355">D552-C552+1</f>
        <v>92</v>
      </c>
      <c r="F552" s="284">
        <f>VLOOKUP(D552,'FERC Interest Rate'!$A:$B,2,TRUE)</f>
        <v>3.2500000000000001E-2</v>
      </c>
      <c r="G552" s="167">
        <f t="shared" ref="G552:G572" si="356">O551</f>
        <v>1382.7032876712328</v>
      </c>
      <c r="H552" s="167">
        <f t="shared" si="350"/>
        <v>11.326802274347909</v>
      </c>
      <c r="I552" s="291">
        <v>0</v>
      </c>
      <c r="J552" s="286">
        <v>0</v>
      </c>
      <c r="K552" s="288">
        <f t="shared" si="351"/>
        <v>0</v>
      </c>
      <c r="L552" s="286">
        <v>0</v>
      </c>
      <c r="M552" s="289">
        <f t="shared" si="352"/>
        <v>0</v>
      </c>
      <c r="N552" s="290">
        <f t="shared" si="353"/>
        <v>1394.0300899455808</v>
      </c>
      <c r="O552" s="167">
        <f t="shared" si="354"/>
        <v>1394.0300899455808</v>
      </c>
    </row>
    <row r="553" spans="1:15" x14ac:dyDescent="0.2">
      <c r="A553" s="96"/>
      <c r="B553" s="81"/>
      <c r="C553" s="82">
        <f t="shared" ref="C553:C572" si="357">D552+1</f>
        <v>42370</v>
      </c>
      <c r="D553" s="82">
        <f t="shared" ref="D553:D575" si="358">EOMONTH(D552,3)</f>
        <v>42460</v>
      </c>
      <c r="E553" s="81">
        <f t="shared" si="355"/>
        <v>91</v>
      </c>
      <c r="F553" s="83">
        <f>VLOOKUP(D553,'FERC Interest Rate'!$A:$B,2,TRUE)</f>
        <v>3.2500000000000001E-2</v>
      </c>
      <c r="G553" s="84">
        <f t="shared" si="356"/>
        <v>1394.0300899455808</v>
      </c>
      <c r="H553" s="167">
        <f t="shared" si="350"/>
        <v>11.264601068344414</v>
      </c>
      <c r="I553" s="173">
        <v>0</v>
      </c>
      <c r="J553" s="286">
        <v>0</v>
      </c>
      <c r="K553" s="129">
        <f t="shared" si="351"/>
        <v>0</v>
      </c>
      <c r="L553" s="85">
        <v>0</v>
      </c>
      <c r="M553" s="130">
        <f t="shared" si="352"/>
        <v>0</v>
      </c>
      <c r="N553" s="8">
        <f t="shared" si="353"/>
        <v>1405.2946910139253</v>
      </c>
      <c r="O553" s="84">
        <f t="shared" si="354"/>
        <v>1405.2946910139253</v>
      </c>
    </row>
    <row r="554" spans="1:15" x14ac:dyDescent="0.2">
      <c r="A554" s="96"/>
      <c r="B554" s="81"/>
      <c r="C554" s="82">
        <f t="shared" si="357"/>
        <v>42461</v>
      </c>
      <c r="D554" s="82">
        <f t="shared" si="358"/>
        <v>42551</v>
      </c>
      <c r="E554" s="81">
        <f t="shared" si="355"/>
        <v>91</v>
      </c>
      <c r="F554" s="83">
        <f>VLOOKUP(D554,'FERC Interest Rate'!$A:$B,2,TRUE)</f>
        <v>3.4599999999999999E-2</v>
      </c>
      <c r="G554" s="84">
        <f t="shared" si="356"/>
        <v>1405.2946910139253</v>
      </c>
      <c r="H554" s="84">
        <f t="shared" si="350"/>
        <v>12.08937394570067</v>
      </c>
      <c r="I554" s="173">
        <v>0</v>
      </c>
      <c r="J554" s="85">
        <v>0</v>
      </c>
      <c r="K554" s="129">
        <f t="shared" si="351"/>
        <v>0</v>
      </c>
      <c r="L554" s="85">
        <v>0</v>
      </c>
      <c r="M554" s="130">
        <f t="shared" si="352"/>
        <v>0</v>
      </c>
      <c r="N554" s="8">
        <f t="shared" si="353"/>
        <v>1417.3840649596259</v>
      </c>
      <c r="O554" s="84">
        <f t="shared" si="354"/>
        <v>1417.3840649596259</v>
      </c>
    </row>
    <row r="555" spans="1:15" x14ac:dyDescent="0.2">
      <c r="A555" s="96"/>
      <c r="B555" s="81"/>
      <c r="C555" s="82">
        <f t="shared" si="357"/>
        <v>42552</v>
      </c>
      <c r="D555" s="82">
        <f t="shared" si="358"/>
        <v>42643</v>
      </c>
      <c r="E555" s="81">
        <f t="shared" si="355"/>
        <v>92</v>
      </c>
      <c r="F555" s="83">
        <f>VLOOKUP(D555,'FERC Interest Rate'!$A:$B,2,TRUE)</f>
        <v>3.5000000000000003E-2</v>
      </c>
      <c r="G555" s="84">
        <f t="shared" si="356"/>
        <v>1417.3840649596259</v>
      </c>
      <c r="H555" s="84">
        <f t="shared" si="350"/>
        <v>12.469881664398896</v>
      </c>
      <c r="I555" s="173">
        <v>0</v>
      </c>
      <c r="J555" s="85">
        <v>0</v>
      </c>
      <c r="K555" s="129">
        <f t="shared" si="351"/>
        <v>0</v>
      </c>
      <c r="L555" s="85">
        <v>0</v>
      </c>
      <c r="M555" s="130">
        <f t="shared" si="352"/>
        <v>0</v>
      </c>
      <c r="N555" s="8">
        <f t="shared" si="353"/>
        <v>1429.8539466240247</v>
      </c>
      <c r="O555" s="84">
        <f t="shared" si="354"/>
        <v>1429.8539466240247</v>
      </c>
    </row>
    <row r="556" spans="1:15" x14ac:dyDescent="0.2">
      <c r="A556" s="17" t="s">
        <v>54</v>
      </c>
      <c r="B556" s="81" t="str">
        <f t="shared" ref="B556:B570" si="359">+IF(MONTH(C556)&lt;4,"Q1",IF(MONTH(C556)&lt;7,"Q2",IF(MONTH(C556)&lt;10,"Q3","Q4")))&amp;"/"&amp;YEAR(C556)</f>
        <v>Q4/2016</v>
      </c>
      <c r="C556" s="82">
        <f t="shared" si="357"/>
        <v>42644</v>
      </c>
      <c r="D556" s="82">
        <f t="shared" si="358"/>
        <v>42735</v>
      </c>
      <c r="E556" s="81">
        <f t="shared" si="355"/>
        <v>92</v>
      </c>
      <c r="F556" s="83">
        <f>VLOOKUP(D556,'FERC Interest Rate'!$A:$B,2,TRUE)</f>
        <v>3.5000000000000003E-2</v>
      </c>
      <c r="G556" s="84">
        <f t="shared" si="356"/>
        <v>1429.8539466240247</v>
      </c>
      <c r="H556" s="84">
        <f t="shared" si="350"/>
        <v>12.579589366473662</v>
      </c>
      <c r="I556" s="173">
        <f t="shared" ref="I556:I575" si="360">SUM($H$551:$H$576)/20</f>
        <v>3.1216767995249213</v>
      </c>
      <c r="J556" s="85">
        <v>0</v>
      </c>
      <c r="K556" s="129">
        <f t="shared" si="351"/>
        <v>3.1216767995249213</v>
      </c>
      <c r="L556" s="85">
        <f t="shared" ref="L556:L575" si="361">VLOOKUP($B$552,A$1:F$18,5,FALSE)/20</f>
        <v>69</v>
      </c>
      <c r="M556" s="130">
        <f t="shared" si="352"/>
        <v>72.12167679952492</v>
      </c>
      <c r="N556" s="8">
        <f t="shared" si="353"/>
        <v>1442.4335359904983</v>
      </c>
      <c r="O556" s="84">
        <f t="shared" si="354"/>
        <v>1370.3118591909733</v>
      </c>
    </row>
    <row r="557" spans="1:15" x14ac:dyDescent="0.2">
      <c r="A557" s="17" t="s">
        <v>55</v>
      </c>
      <c r="B557" s="81" t="str">
        <f t="shared" si="359"/>
        <v>Q1/2017</v>
      </c>
      <c r="C557" s="82">
        <f t="shared" si="357"/>
        <v>42736</v>
      </c>
      <c r="D557" s="82">
        <f t="shared" si="358"/>
        <v>42825</v>
      </c>
      <c r="E557" s="81">
        <f t="shared" si="355"/>
        <v>90</v>
      </c>
      <c r="F557" s="83">
        <f>VLOOKUP(D557,'FERC Interest Rate'!$A:$B,2,TRUE)</f>
        <v>3.5000000000000003E-2</v>
      </c>
      <c r="G557" s="84">
        <f t="shared" si="356"/>
        <v>1370.3118591909733</v>
      </c>
      <c r="H557" s="84">
        <v>0</v>
      </c>
      <c r="I557" s="173">
        <f t="shared" si="360"/>
        <v>3.1216767995249213</v>
      </c>
      <c r="J557" s="85">
        <f t="shared" ref="J557:J560" si="362">G557*F557*(E557/(DATE(YEAR(D557),12,31)-DATE(YEAR(D557),1,1)+1))</f>
        <v>11.825979058771415</v>
      </c>
      <c r="K557" s="129">
        <f t="shared" si="351"/>
        <v>14.947655858296336</v>
      </c>
      <c r="L557" s="85">
        <f t="shared" si="361"/>
        <v>69</v>
      </c>
      <c r="M557" s="130">
        <f t="shared" si="352"/>
        <v>83.947655858296343</v>
      </c>
      <c r="N557" s="8">
        <f t="shared" si="353"/>
        <v>1382.1378382497448</v>
      </c>
      <c r="O557" s="84">
        <f t="shared" si="354"/>
        <v>1298.1901823914484</v>
      </c>
    </row>
    <row r="558" spans="1:15" x14ac:dyDescent="0.2">
      <c r="A558" s="17" t="s">
        <v>56</v>
      </c>
      <c r="B558" s="81" t="str">
        <f t="shared" si="359"/>
        <v>Q2/2017</v>
      </c>
      <c r="C558" s="82">
        <f t="shared" si="357"/>
        <v>42826</v>
      </c>
      <c r="D558" s="82">
        <f t="shared" si="358"/>
        <v>42916</v>
      </c>
      <c r="E558" s="81">
        <f t="shared" si="355"/>
        <v>91</v>
      </c>
      <c r="F558" s="83">
        <f>VLOOKUP(D558,'FERC Interest Rate'!$A:$B,2,TRUE)</f>
        <v>3.7100000000000001E-2</v>
      </c>
      <c r="G558" s="84">
        <f t="shared" si="356"/>
        <v>1298.1901823914484</v>
      </c>
      <c r="H558" s="84">
        <v>0</v>
      </c>
      <c r="I558" s="173">
        <f t="shared" si="360"/>
        <v>3.1216767995249213</v>
      </c>
      <c r="J558" s="85">
        <f t="shared" si="362"/>
        <v>12.007725684306216</v>
      </c>
      <c r="K558" s="129">
        <f t="shared" si="351"/>
        <v>15.129402483831138</v>
      </c>
      <c r="L558" s="85">
        <f t="shared" si="361"/>
        <v>69</v>
      </c>
      <c r="M558" s="130">
        <f t="shared" si="352"/>
        <v>84.129402483831143</v>
      </c>
      <c r="N558" s="8">
        <f t="shared" si="353"/>
        <v>1310.1979080757546</v>
      </c>
      <c r="O558" s="84">
        <f t="shared" si="354"/>
        <v>1226.0685055919234</v>
      </c>
    </row>
    <row r="559" spans="1:15" x14ac:dyDescent="0.2">
      <c r="A559" s="17" t="s">
        <v>57</v>
      </c>
      <c r="B559" s="81" t="str">
        <f t="shared" si="359"/>
        <v>Q3/2017</v>
      </c>
      <c r="C559" s="82">
        <f t="shared" si="357"/>
        <v>42917</v>
      </c>
      <c r="D559" s="82">
        <f t="shared" si="358"/>
        <v>43008</v>
      </c>
      <c r="E559" s="81">
        <f t="shared" si="355"/>
        <v>92</v>
      </c>
      <c r="F559" s="83">
        <f>VLOOKUP(D559,'FERC Interest Rate'!$A:$B,2,TRUE)</f>
        <v>3.9600000000000003E-2</v>
      </c>
      <c r="G559" s="84">
        <f t="shared" si="356"/>
        <v>1226.0685055919234</v>
      </c>
      <c r="H559" s="84">
        <v>0</v>
      </c>
      <c r="I559" s="109">
        <f t="shared" si="360"/>
        <v>3.1216767995249213</v>
      </c>
      <c r="J559" s="85">
        <f t="shared" si="362"/>
        <v>12.237843231705471</v>
      </c>
      <c r="K559" s="129">
        <f t="shared" si="351"/>
        <v>15.359520031230392</v>
      </c>
      <c r="L559" s="85">
        <f t="shared" si="361"/>
        <v>69</v>
      </c>
      <c r="M559" s="130">
        <f t="shared" si="352"/>
        <v>84.359520031230389</v>
      </c>
      <c r="N559" s="8">
        <f t="shared" si="353"/>
        <v>1238.3063488236289</v>
      </c>
      <c r="O559" s="84">
        <f t="shared" si="354"/>
        <v>1153.9468287923985</v>
      </c>
    </row>
    <row r="560" spans="1:15" x14ac:dyDescent="0.2">
      <c r="A560" s="17" t="s">
        <v>58</v>
      </c>
      <c r="B560" s="81" t="str">
        <f t="shared" si="359"/>
        <v>Q4/2017</v>
      </c>
      <c r="C560" s="82">
        <f t="shared" si="357"/>
        <v>43009</v>
      </c>
      <c r="D560" s="82">
        <f t="shared" si="358"/>
        <v>43100</v>
      </c>
      <c r="E560" s="81">
        <f t="shared" si="355"/>
        <v>92</v>
      </c>
      <c r="F560" s="83">
        <f>VLOOKUP(D560,'FERC Interest Rate'!$A:$B,2,TRUE)</f>
        <v>4.2099999999999999E-2</v>
      </c>
      <c r="G560" s="84">
        <f t="shared" si="356"/>
        <v>1153.9468287923985</v>
      </c>
      <c r="H560" s="84">
        <v>0</v>
      </c>
      <c r="I560" s="109">
        <f t="shared" si="360"/>
        <v>3.1216767995249213</v>
      </c>
      <c r="J560" s="85">
        <f t="shared" si="362"/>
        <v>12.245114677475939</v>
      </c>
      <c r="K560" s="129">
        <f t="shared" si="351"/>
        <v>15.366791477000861</v>
      </c>
      <c r="L560" s="85">
        <f t="shared" si="361"/>
        <v>69</v>
      </c>
      <c r="M560" s="130">
        <f t="shared" si="352"/>
        <v>84.366791477000859</v>
      </c>
      <c r="N560" s="8">
        <f t="shared" si="353"/>
        <v>1166.1919434698743</v>
      </c>
      <c r="O560" s="84">
        <f t="shared" si="354"/>
        <v>1081.8251519928735</v>
      </c>
    </row>
    <row r="561" spans="1:15" x14ac:dyDescent="0.2">
      <c r="A561" s="17" t="s">
        <v>59</v>
      </c>
      <c r="B561" s="81" t="str">
        <f t="shared" si="359"/>
        <v>Q1/2018</v>
      </c>
      <c r="C561" s="82">
        <f t="shared" si="357"/>
        <v>43101</v>
      </c>
      <c r="D561" s="82">
        <f t="shared" si="358"/>
        <v>43190</v>
      </c>
      <c r="E561" s="81">
        <f t="shared" si="355"/>
        <v>90</v>
      </c>
      <c r="F561" s="83">
        <f>VLOOKUP(D561,'FERC Interest Rate'!$A:$B,2,TRUE)</f>
        <v>4.2500000000000003E-2</v>
      </c>
      <c r="G561" s="84">
        <f t="shared" si="356"/>
        <v>1081.8251519928735</v>
      </c>
      <c r="H561" s="84">
        <v>0</v>
      </c>
      <c r="I561" s="109">
        <f t="shared" si="360"/>
        <v>3.1216767995249213</v>
      </c>
      <c r="J561" s="85">
        <f>G561*F561*(E561/(DATE(YEAR(D561),12,31)-DATE(YEAR(D561),1,1)+1))</f>
        <v>11.336934811980115</v>
      </c>
      <c r="K561" s="129">
        <f t="shared" si="351"/>
        <v>14.458611611505036</v>
      </c>
      <c r="L561" s="85">
        <f t="shared" si="361"/>
        <v>69</v>
      </c>
      <c r="M561" s="130">
        <f t="shared" si="352"/>
        <v>83.458611611505034</v>
      </c>
      <c r="N561" s="8">
        <f t="shared" si="353"/>
        <v>1093.1620868048537</v>
      </c>
      <c r="O561" s="84">
        <f t="shared" si="354"/>
        <v>1009.7034751933486</v>
      </c>
    </row>
    <row r="562" spans="1:15" x14ac:dyDescent="0.2">
      <c r="A562" s="17" t="s">
        <v>60</v>
      </c>
      <c r="B562" s="81" t="str">
        <f t="shared" si="359"/>
        <v>Q2/2018</v>
      </c>
      <c r="C562" s="82">
        <f t="shared" si="357"/>
        <v>43191</v>
      </c>
      <c r="D562" s="82">
        <f t="shared" si="358"/>
        <v>43281</v>
      </c>
      <c r="E562" s="81">
        <f t="shared" si="355"/>
        <v>91</v>
      </c>
      <c r="F562" s="83">
        <f>VLOOKUP(D562,'FERC Interest Rate'!$A:$B,2,TRUE)</f>
        <v>4.4699999999999997E-2</v>
      </c>
      <c r="G562" s="84">
        <f t="shared" si="356"/>
        <v>1009.7034751933486</v>
      </c>
      <c r="H562" s="84">
        <v>0</v>
      </c>
      <c r="I562" s="109">
        <f t="shared" si="360"/>
        <v>3.1216767995249213</v>
      </c>
      <c r="J562" s="85">
        <f t="shared" ref="J562:J572" si="363">G562*F562*(E562/(DATE(YEAR(D562),12,31)-DATE(YEAR(D562),1,1)+1))</f>
        <v>11.252522811079407</v>
      </c>
      <c r="K562" s="129">
        <f t="shared" si="351"/>
        <v>14.374199610604329</v>
      </c>
      <c r="L562" s="85">
        <f t="shared" si="361"/>
        <v>69</v>
      </c>
      <c r="M562" s="130">
        <f t="shared" si="352"/>
        <v>83.374199610604336</v>
      </c>
      <c r="N562" s="8">
        <f t="shared" si="353"/>
        <v>1020.955998004428</v>
      </c>
      <c r="O562" s="84">
        <f t="shared" si="354"/>
        <v>937.58179839382365</v>
      </c>
    </row>
    <row r="563" spans="1:15" x14ac:dyDescent="0.2">
      <c r="A563" s="17" t="s">
        <v>61</v>
      </c>
      <c r="B563" s="81" t="str">
        <f t="shared" si="359"/>
        <v>Q3/2018</v>
      </c>
      <c r="C563" s="82">
        <f t="shared" si="357"/>
        <v>43282</v>
      </c>
      <c r="D563" s="82">
        <f t="shared" si="358"/>
        <v>43373</v>
      </c>
      <c r="E563" s="81">
        <f t="shared" si="355"/>
        <v>92</v>
      </c>
      <c r="F563" s="83">
        <f>VLOOKUP(D563,'FERC Interest Rate'!$A:$B,2,TRUE)</f>
        <v>5.011111E-2</v>
      </c>
      <c r="G563" s="84">
        <f t="shared" si="356"/>
        <v>937.58179839382365</v>
      </c>
      <c r="H563" s="84">
        <v>0</v>
      </c>
      <c r="I563" s="109">
        <f t="shared" si="360"/>
        <v>3.1216767995249213</v>
      </c>
      <c r="J563" s="85">
        <f t="shared" si="363"/>
        <v>11.84235711305366</v>
      </c>
      <c r="K563" s="129">
        <f t="shared" si="351"/>
        <v>14.964033912578582</v>
      </c>
      <c r="L563" s="85">
        <f t="shared" si="361"/>
        <v>69</v>
      </c>
      <c r="M563" s="130">
        <f t="shared" si="352"/>
        <v>83.964033912578586</v>
      </c>
      <c r="N563" s="8">
        <f t="shared" si="353"/>
        <v>949.42415550687736</v>
      </c>
      <c r="O563" s="84">
        <f t="shared" si="354"/>
        <v>865.4601215942987</v>
      </c>
    </row>
    <row r="564" spans="1:15" x14ac:dyDescent="0.2">
      <c r="A564" s="17" t="s">
        <v>62</v>
      </c>
      <c r="B564" s="81" t="str">
        <f t="shared" si="359"/>
        <v>Q4/2018</v>
      </c>
      <c r="C564" s="82">
        <f t="shared" si="357"/>
        <v>43374</v>
      </c>
      <c r="D564" s="82">
        <f t="shared" si="358"/>
        <v>43465</v>
      </c>
      <c r="E564" s="81">
        <f t="shared" si="355"/>
        <v>92</v>
      </c>
      <c r="F564" s="83">
        <f>VLOOKUP(D564,'FERC Interest Rate'!$A:$B,2,TRUE)</f>
        <v>5.2822580000000001E-2</v>
      </c>
      <c r="G564" s="84">
        <f t="shared" si="356"/>
        <v>865.4601215942987</v>
      </c>
      <c r="H564" s="84">
        <v>0</v>
      </c>
      <c r="I564" s="109">
        <f t="shared" si="360"/>
        <v>3.1216767995249213</v>
      </c>
      <c r="J564" s="85">
        <f t="shared" si="363"/>
        <v>11.522895777793591</v>
      </c>
      <c r="K564" s="129">
        <f t="shared" si="351"/>
        <v>14.644572577318513</v>
      </c>
      <c r="L564" s="85">
        <f t="shared" si="361"/>
        <v>69</v>
      </c>
      <c r="M564" s="130">
        <f t="shared" si="352"/>
        <v>83.644572577318513</v>
      </c>
      <c r="N564" s="8">
        <f t="shared" si="353"/>
        <v>876.98301737209226</v>
      </c>
      <c r="O564" s="84">
        <f t="shared" si="354"/>
        <v>793.33844479477375</v>
      </c>
    </row>
    <row r="565" spans="1:15" x14ac:dyDescent="0.2">
      <c r="A565" s="17" t="s">
        <v>63</v>
      </c>
      <c r="B565" s="81" t="str">
        <f t="shared" si="359"/>
        <v>Q1/2019</v>
      </c>
      <c r="C565" s="82">
        <f t="shared" si="357"/>
        <v>43466</v>
      </c>
      <c r="D565" s="82">
        <f t="shared" si="358"/>
        <v>43555</v>
      </c>
      <c r="E565" s="81">
        <f t="shared" si="355"/>
        <v>90</v>
      </c>
      <c r="F565" s="83">
        <f>VLOOKUP(D565,'FERC Interest Rate'!$A:$B,2,TRUE)</f>
        <v>5.5296770000000002E-2</v>
      </c>
      <c r="G565" s="84">
        <f t="shared" si="356"/>
        <v>793.33844479477375</v>
      </c>
      <c r="H565" s="84">
        <v>0</v>
      </c>
      <c r="I565" s="109">
        <f t="shared" si="360"/>
        <v>3.1216767995249213</v>
      </c>
      <c r="J565" s="85">
        <f t="shared" si="363"/>
        <v>10.817026893856676</v>
      </c>
      <c r="K565" s="129">
        <f t="shared" si="351"/>
        <v>13.938703693381598</v>
      </c>
      <c r="L565" s="85">
        <f t="shared" si="361"/>
        <v>69</v>
      </c>
      <c r="M565" s="130">
        <f t="shared" si="352"/>
        <v>82.938703693381598</v>
      </c>
      <c r="N565" s="8">
        <f t="shared" si="353"/>
        <v>804.15547168863043</v>
      </c>
      <c r="O565" s="84">
        <f t="shared" si="354"/>
        <v>721.2167679952488</v>
      </c>
    </row>
    <row r="566" spans="1:15" x14ac:dyDescent="0.2">
      <c r="A566" s="17" t="s">
        <v>64</v>
      </c>
      <c r="B566" s="81" t="str">
        <f t="shared" si="359"/>
        <v>Q2/2019</v>
      </c>
      <c r="C566" s="82">
        <f t="shared" si="357"/>
        <v>43556</v>
      </c>
      <c r="D566" s="82">
        <f t="shared" si="358"/>
        <v>43646</v>
      </c>
      <c r="E566" s="81">
        <f t="shared" si="355"/>
        <v>91</v>
      </c>
      <c r="F566" s="83">
        <f>VLOOKUP(D566,'FERC Interest Rate'!$A:$B,2,TRUE)</f>
        <v>5.7999999999999996E-2</v>
      </c>
      <c r="G566" s="84">
        <f t="shared" si="356"/>
        <v>721.2167679952488</v>
      </c>
      <c r="H566" s="84">
        <v>0</v>
      </c>
      <c r="I566" s="109">
        <f t="shared" si="360"/>
        <v>3.1216767995249213</v>
      </c>
      <c r="J566" s="85">
        <f t="shared" si="363"/>
        <v>10.428992058846365</v>
      </c>
      <c r="K566" s="129">
        <f t="shared" si="351"/>
        <v>13.550668858371287</v>
      </c>
      <c r="L566" s="85">
        <f t="shared" si="361"/>
        <v>69</v>
      </c>
      <c r="M566" s="130">
        <f t="shared" si="352"/>
        <v>82.550668858371282</v>
      </c>
      <c r="N566" s="8">
        <f t="shared" si="353"/>
        <v>731.64576005409515</v>
      </c>
      <c r="O566" s="84">
        <f t="shared" si="354"/>
        <v>649.09509119572385</v>
      </c>
    </row>
    <row r="567" spans="1:15" x14ac:dyDescent="0.2">
      <c r="A567" s="17" t="s">
        <v>65</v>
      </c>
      <c r="B567" s="81" t="str">
        <f t="shared" si="359"/>
        <v>Q3/2019</v>
      </c>
      <c r="C567" s="82">
        <f t="shared" si="357"/>
        <v>43647</v>
      </c>
      <c r="D567" s="82">
        <f t="shared" si="358"/>
        <v>43738</v>
      </c>
      <c r="E567" s="81">
        <f t="shared" si="355"/>
        <v>92</v>
      </c>
      <c r="F567" s="83">
        <f>VLOOKUP(D567,'FERC Interest Rate'!$A:$B,2,TRUE)</f>
        <v>0.06</v>
      </c>
      <c r="G567" s="84">
        <f t="shared" si="356"/>
        <v>649.09509119572385</v>
      </c>
      <c r="H567" s="84">
        <v>0</v>
      </c>
      <c r="I567" s="109">
        <f t="shared" si="360"/>
        <v>3.1216767995249213</v>
      </c>
      <c r="J567" s="85">
        <f t="shared" si="363"/>
        <v>9.8164517901380712</v>
      </c>
      <c r="K567" s="129">
        <f t="shared" si="351"/>
        <v>12.938128589662993</v>
      </c>
      <c r="L567" s="85">
        <f t="shared" si="361"/>
        <v>69</v>
      </c>
      <c r="M567" s="130">
        <f t="shared" si="352"/>
        <v>81.938128589662995</v>
      </c>
      <c r="N567" s="8">
        <f t="shared" si="353"/>
        <v>658.91154298586196</v>
      </c>
      <c r="O567" s="84">
        <f t="shared" si="354"/>
        <v>576.9734143961989</v>
      </c>
    </row>
    <row r="568" spans="1:15" x14ac:dyDescent="0.2">
      <c r="A568" s="17" t="s">
        <v>66</v>
      </c>
      <c r="B568" s="81" t="str">
        <f t="shared" si="359"/>
        <v>Q4/2019</v>
      </c>
      <c r="C568" s="82">
        <f t="shared" si="357"/>
        <v>43739</v>
      </c>
      <c r="D568" s="82">
        <f t="shared" si="358"/>
        <v>43830</v>
      </c>
      <c r="E568" s="81">
        <f t="shared" si="355"/>
        <v>92</v>
      </c>
      <c r="F568" s="83">
        <f>VLOOKUP(D568,'FERC Interest Rate'!$A:$B,2,TRUE)</f>
        <v>6.0349460000000001E-2</v>
      </c>
      <c r="G568" s="84">
        <f t="shared" si="356"/>
        <v>576.9734143961989</v>
      </c>
      <c r="H568" s="84">
        <v>0</v>
      </c>
      <c r="I568" s="109">
        <f t="shared" si="360"/>
        <v>3.1216767995249213</v>
      </c>
      <c r="J568" s="85">
        <f t="shared" si="363"/>
        <v>8.7765565133461614</v>
      </c>
      <c r="K568" s="129">
        <f t="shared" si="351"/>
        <v>11.898233312871083</v>
      </c>
      <c r="L568" s="85">
        <f t="shared" si="361"/>
        <v>69</v>
      </c>
      <c r="M568" s="130">
        <f t="shared" si="352"/>
        <v>80.898233312871085</v>
      </c>
      <c r="N568" s="8">
        <f t="shared" si="353"/>
        <v>585.74997090954503</v>
      </c>
      <c r="O568" s="84">
        <f t="shared" si="354"/>
        <v>504.85173759667396</v>
      </c>
    </row>
    <row r="569" spans="1:15" x14ac:dyDescent="0.2">
      <c r="A569" s="17" t="s">
        <v>67</v>
      </c>
      <c r="B569" s="81" t="str">
        <f t="shared" si="359"/>
        <v>Q1/2020</v>
      </c>
      <c r="C569" s="82">
        <f t="shared" si="357"/>
        <v>43831</v>
      </c>
      <c r="D569" s="82">
        <f t="shared" si="358"/>
        <v>43921</v>
      </c>
      <c r="E569" s="81">
        <f t="shared" si="355"/>
        <v>91</v>
      </c>
      <c r="F569" s="83">
        <f>VLOOKUP(D569,'FERC Interest Rate'!$A:$B,2,TRUE)</f>
        <v>6.2501040000000008E-2</v>
      </c>
      <c r="G569" s="84">
        <f t="shared" si="356"/>
        <v>504.85173759667396</v>
      </c>
      <c r="H569" s="84">
        <v>0</v>
      </c>
      <c r="I569" s="109">
        <f t="shared" si="360"/>
        <v>3.1216767995249213</v>
      </c>
      <c r="J569" s="85">
        <f t="shared" si="363"/>
        <v>7.8453334337418843</v>
      </c>
      <c r="K569" s="129">
        <f t="shared" si="351"/>
        <v>10.967010233266805</v>
      </c>
      <c r="L569" s="85">
        <f t="shared" si="361"/>
        <v>69</v>
      </c>
      <c r="M569" s="130">
        <f t="shared" si="352"/>
        <v>79.967010233266805</v>
      </c>
      <c r="N569" s="8">
        <f t="shared" si="353"/>
        <v>512.69707103041583</v>
      </c>
      <c r="O569" s="84">
        <f t="shared" si="354"/>
        <v>432.73006079714901</v>
      </c>
    </row>
    <row r="570" spans="1:15" x14ac:dyDescent="0.2">
      <c r="A570" s="17" t="s">
        <v>68</v>
      </c>
      <c r="B570" s="81" t="str">
        <f t="shared" si="359"/>
        <v>Q2/2020</v>
      </c>
      <c r="C570" s="82">
        <f t="shared" si="357"/>
        <v>43922</v>
      </c>
      <c r="D570" s="82">
        <f t="shared" si="358"/>
        <v>44012</v>
      </c>
      <c r="E570" s="81">
        <f t="shared" si="355"/>
        <v>91</v>
      </c>
      <c r="F570" s="83">
        <f>VLOOKUP(D570,'FERC Interest Rate'!$A:$B,2,TRUE)</f>
        <v>6.3055559999999997E-2</v>
      </c>
      <c r="G570" s="84">
        <f t="shared" si="356"/>
        <v>432.73006079714901</v>
      </c>
      <c r="H570" s="84">
        <v>0</v>
      </c>
      <c r="I570" s="109">
        <f t="shared" si="360"/>
        <v>3.1216767995249213</v>
      </c>
      <c r="J570" s="85">
        <f t="shared" si="363"/>
        <v>6.7842330722083144</v>
      </c>
      <c r="K570" s="129">
        <f t="shared" si="351"/>
        <v>9.9059098717332361</v>
      </c>
      <c r="L570" s="85">
        <f t="shared" si="361"/>
        <v>69</v>
      </c>
      <c r="M570" s="130">
        <f t="shared" si="352"/>
        <v>78.905909871733229</v>
      </c>
      <c r="N570" s="8">
        <f t="shared" si="353"/>
        <v>439.51429386935735</v>
      </c>
      <c r="O570" s="84">
        <f t="shared" si="354"/>
        <v>360.60838399762406</v>
      </c>
    </row>
    <row r="571" spans="1:15" x14ac:dyDescent="0.2">
      <c r="A571" s="17" t="s">
        <v>69</v>
      </c>
      <c r="B571" s="81" t="str">
        <f>+IF(MONTH(C571)&lt;4,"Q1",IF(MONTH(C571)&lt;7,"Q2",IF(MONTH(C571)&lt;10,"Q3","Q4")))&amp;"/"&amp;YEAR(C571)</f>
        <v>Q3/2020</v>
      </c>
      <c r="C571" s="82">
        <f t="shared" si="357"/>
        <v>44013</v>
      </c>
      <c r="D571" s="82">
        <f t="shared" si="358"/>
        <v>44104</v>
      </c>
      <c r="E571" s="81">
        <f t="shared" si="355"/>
        <v>92</v>
      </c>
      <c r="F571" s="83">
        <f>VLOOKUP(D571,'FERC Interest Rate'!$A:$B,2,TRUE)</f>
        <v>6.5000000000000002E-2</v>
      </c>
      <c r="G571" s="84">
        <f t="shared" si="356"/>
        <v>360.60838399762406</v>
      </c>
      <c r="H571" s="84">
        <v>0</v>
      </c>
      <c r="I571" s="109">
        <f t="shared" si="360"/>
        <v>3.1216767995249213</v>
      </c>
      <c r="J571" s="85">
        <f t="shared" si="363"/>
        <v>5.8919074762453336</v>
      </c>
      <c r="K571" s="129">
        <f t="shared" si="351"/>
        <v>9.0135842757702545</v>
      </c>
      <c r="L571" s="85">
        <f t="shared" si="361"/>
        <v>69</v>
      </c>
      <c r="M571" s="130">
        <f t="shared" si="352"/>
        <v>78.013584275770256</v>
      </c>
      <c r="N571" s="8">
        <f t="shared" si="353"/>
        <v>366.50029147386937</v>
      </c>
      <c r="O571" s="84">
        <f t="shared" si="354"/>
        <v>288.48670719809911</v>
      </c>
    </row>
    <row r="572" spans="1:15" x14ac:dyDescent="0.2">
      <c r="A572" s="17" t="s">
        <v>70</v>
      </c>
      <c r="B572" s="81" t="str">
        <f>+IF(MONTH(C572)&lt;4,"Q1",IF(MONTH(C572)&lt;7,"Q2",IF(MONTH(C572)&lt;10,"Q3","Q4")))&amp;"/"&amp;YEAR(C572)</f>
        <v>Q4/2020</v>
      </c>
      <c r="C572" s="82">
        <f t="shared" si="357"/>
        <v>44105</v>
      </c>
      <c r="D572" s="82">
        <f t="shared" si="358"/>
        <v>44196</v>
      </c>
      <c r="E572" s="81">
        <f t="shared" si="355"/>
        <v>92</v>
      </c>
      <c r="F572" s="83">
        <f>VLOOKUP(D572,'FERC Interest Rate'!$A:$B,2,TRUE)</f>
        <v>6.5000000000000002E-2</v>
      </c>
      <c r="G572" s="84">
        <f t="shared" si="356"/>
        <v>288.48670719809911</v>
      </c>
      <c r="H572" s="84">
        <v>0</v>
      </c>
      <c r="I572" s="109">
        <f t="shared" si="360"/>
        <v>3.1216767995249213</v>
      </c>
      <c r="J572" s="85">
        <f t="shared" si="363"/>
        <v>4.7135259809962644</v>
      </c>
      <c r="K572" s="129">
        <f t="shared" si="351"/>
        <v>7.8352027805211861</v>
      </c>
      <c r="L572" s="85">
        <f t="shared" si="361"/>
        <v>69</v>
      </c>
      <c r="M572" s="130">
        <f t="shared" si="352"/>
        <v>76.835202780521186</v>
      </c>
      <c r="N572" s="8">
        <f t="shared" si="353"/>
        <v>293.20023317909539</v>
      </c>
      <c r="O572" s="84">
        <f t="shared" si="354"/>
        <v>216.36503039857419</v>
      </c>
    </row>
    <row r="573" spans="1:15" x14ac:dyDescent="0.2">
      <c r="A573" s="17" t="s">
        <v>71</v>
      </c>
      <c r="B573" s="81" t="str">
        <f>+IF(MONTH(C573)&lt;4,"Q1",IF(MONTH(C573)&lt;7,"Q2",IF(MONTH(C573)&lt;10,"Q3","Q4")))&amp;"/"&amp;YEAR(C573)</f>
        <v>Q1/2021</v>
      </c>
      <c r="C573" s="82">
        <f t="shared" ref="C573:C575" si="364">D572+1</f>
        <v>44197</v>
      </c>
      <c r="D573" s="82">
        <f t="shared" si="358"/>
        <v>44286</v>
      </c>
      <c r="E573" s="81">
        <f t="shared" ref="E573:E575" si="365">D573-C573+1</f>
        <v>90</v>
      </c>
      <c r="F573" s="83">
        <f>VLOOKUP(D573,'FERC Interest Rate'!$A:$B,2,TRUE)</f>
        <v>6.5000000000000002E-2</v>
      </c>
      <c r="G573" s="84">
        <f t="shared" ref="G573:G575" si="366">O572</f>
        <v>216.36503039857419</v>
      </c>
      <c r="H573" s="84">
        <v>0</v>
      </c>
      <c r="I573" s="109">
        <f t="shared" si="360"/>
        <v>3.1216767995249213</v>
      </c>
      <c r="J573" s="85">
        <f t="shared" ref="J573:J575" si="367">G573*F573*(E573/(DATE(YEAR(D573),12,31)-DATE(YEAR(D573),1,1)+1))</f>
        <v>3.4677682954292028</v>
      </c>
      <c r="K573" s="129">
        <f t="shared" ref="K573:K575" si="368">+SUM(I573:J573)</f>
        <v>6.5894450949541241</v>
      </c>
      <c r="L573" s="85">
        <f t="shared" si="361"/>
        <v>69</v>
      </c>
      <c r="M573" s="130">
        <f t="shared" ref="M573:M575" si="369">+SUM(K573:L573)</f>
        <v>75.589445094954129</v>
      </c>
      <c r="N573" s="8">
        <f t="shared" ref="N573:N575" si="370">+G573+H573+J573</f>
        <v>219.8327986940034</v>
      </c>
      <c r="O573" s="84">
        <f t="shared" ref="O573:O575" si="371">G573+H573-L573-I573</f>
        <v>144.24335359904927</v>
      </c>
    </row>
    <row r="574" spans="1:15" x14ac:dyDescent="0.2">
      <c r="A574" s="17" t="s">
        <v>72</v>
      </c>
      <c r="B574" s="81" t="str">
        <f t="shared" ref="B574:B575" si="372">+IF(MONTH(C574)&lt;4,"Q1",IF(MONTH(C574)&lt;7,"Q2",IF(MONTH(C574)&lt;10,"Q3","Q4")))&amp;"/"&amp;YEAR(C574)</f>
        <v>Q2/2021</v>
      </c>
      <c r="C574" s="82">
        <f t="shared" si="364"/>
        <v>44287</v>
      </c>
      <c r="D574" s="82">
        <f t="shared" si="358"/>
        <v>44377</v>
      </c>
      <c r="E574" s="81">
        <f t="shared" si="365"/>
        <v>91</v>
      </c>
      <c r="F574" s="83">
        <f>VLOOKUP(D574,'FERC Interest Rate'!$A:$B,2,TRUE)</f>
        <v>6.5000000000000002E-2</v>
      </c>
      <c r="G574" s="84">
        <f t="shared" si="366"/>
        <v>144.24335359904927</v>
      </c>
      <c r="H574" s="84">
        <v>0</v>
      </c>
      <c r="I574" s="109">
        <f t="shared" si="360"/>
        <v>3.1216767995249213</v>
      </c>
      <c r="J574" s="85">
        <f t="shared" si="367"/>
        <v>2.3375327028448671</v>
      </c>
      <c r="K574" s="129">
        <f t="shared" si="368"/>
        <v>5.459209502369788</v>
      </c>
      <c r="L574" s="85">
        <f t="shared" si="361"/>
        <v>69</v>
      </c>
      <c r="M574" s="130">
        <f t="shared" si="369"/>
        <v>74.459209502369788</v>
      </c>
      <c r="N574" s="8">
        <f t="shared" si="370"/>
        <v>146.58088630189414</v>
      </c>
      <c r="O574" s="84">
        <f t="shared" si="371"/>
        <v>72.121676799524352</v>
      </c>
    </row>
    <row r="575" spans="1:15" x14ac:dyDescent="0.2">
      <c r="A575" s="17" t="s">
        <v>73</v>
      </c>
      <c r="B575" s="81" t="str">
        <f t="shared" si="372"/>
        <v>Q3/2021</v>
      </c>
      <c r="C575" s="82">
        <f t="shared" si="364"/>
        <v>44378</v>
      </c>
      <c r="D575" s="82">
        <f t="shared" si="358"/>
        <v>44469</v>
      </c>
      <c r="E575" s="81">
        <f t="shared" si="365"/>
        <v>92</v>
      </c>
      <c r="F575" s="83">
        <f>VLOOKUP(D575,'FERC Interest Rate'!$A:$B,2,TRUE)</f>
        <v>6.5000000000000002E-2</v>
      </c>
      <c r="G575" s="84">
        <f t="shared" si="366"/>
        <v>72.121676799524352</v>
      </c>
      <c r="H575" s="84">
        <v>0</v>
      </c>
      <c r="I575" s="109">
        <f t="shared" si="360"/>
        <v>3.1216767995249213</v>
      </c>
      <c r="J575" s="85">
        <f t="shared" si="367"/>
        <v>1.1816099377017963</v>
      </c>
      <c r="K575" s="129">
        <f t="shared" si="368"/>
        <v>4.3032867372267178</v>
      </c>
      <c r="L575" s="85">
        <f t="shared" si="361"/>
        <v>69</v>
      </c>
      <c r="M575" s="130">
        <f t="shared" si="369"/>
        <v>73.303286737226713</v>
      </c>
      <c r="N575" s="8">
        <f t="shared" si="370"/>
        <v>73.303286737226145</v>
      </c>
      <c r="O575" s="84">
        <f t="shared" si="371"/>
        <v>-5.6976645623763034E-13</v>
      </c>
    </row>
    <row r="576" spans="1:15" x14ac:dyDescent="0.2">
      <c r="A576" s="96"/>
      <c r="B576" s="81"/>
      <c r="C576" s="82"/>
      <c r="D576" s="82"/>
      <c r="E576" s="81"/>
      <c r="F576" s="83"/>
      <c r="G576" s="84"/>
      <c r="H576" s="84"/>
      <c r="I576" s="109"/>
      <c r="J576" s="85"/>
      <c r="K576" s="129"/>
      <c r="L576" s="85"/>
      <c r="M576" s="130"/>
      <c r="N576" s="8"/>
      <c r="O576" s="84"/>
    </row>
    <row r="577" spans="1:15" ht="13.5" thickBot="1" x14ac:dyDescent="0.25">
      <c r="A577" s="151"/>
      <c r="B577" s="152"/>
      <c r="C577" s="153"/>
      <c r="D577" s="153"/>
      <c r="E577" s="154"/>
      <c r="F577" s="152"/>
      <c r="G577" s="140">
        <f t="shared" ref="G577:O577" si="373">+SUM(G551:G576)</f>
        <v>22112.38467212411</v>
      </c>
      <c r="H577" s="140">
        <f t="shared" si="373"/>
        <v>62.433535990498427</v>
      </c>
      <c r="I577" s="141">
        <f t="shared" si="373"/>
        <v>62.433535990498406</v>
      </c>
      <c r="J577" s="140">
        <f t="shared" si="373"/>
        <v>166.33231132152073</v>
      </c>
      <c r="K577" s="140">
        <f t="shared" si="373"/>
        <v>228.76584731201916</v>
      </c>
      <c r="L577" s="140">
        <f t="shared" si="373"/>
        <v>1380</v>
      </c>
      <c r="M577" s="142">
        <f t="shared" si="373"/>
        <v>1608.7658473120191</v>
      </c>
      <c r="N577" s="140">
        <f t="shared" si="373"/>
        <v>22341.150519436134</v>
      </c>
      <c r="O577" s="140">
        <f t="shared" si="373"/>
        <v>20732.38467212411</v>
      </c>
    </row>
    <row r="578" spans="1:15" ht="13.5" thickTop="1" x14ac:dyDescent="0.2"/>
    <row r="579" spans="1:15" ht="38.25" x14ac:dyDescent="0.2">
      <c r="A579" s="90" t="s">
        <v>53</v>
      </c>
      <c r="B579" s="90" t="s">
        <v>3</v>
      </c>
      <c r="C579" s="90" t="s">
        <v>4</v>
      </c>
      <c r="D579" s="90" t="s">
        <v>5</v>
      </c>
      <c r="E579" s="90" t="s">
        <v>6</v>
      </c>
      <c r="F579" s="90" t="s">
        <v>7</v>
      </c>
      <c r="G579" s="90" t="s">
        <v>93</v>
      </c>
      <c r="H579" s="90" t="s">
        <v>94</v>
      </c>
      <c r="I579" s="105" t="s">
        <v>95</v>
      </c>
      <c r="J579" s="106" t="s">
        <v>96</v>
      </c>
      <c r="K579" s="106" t="s">
        <v>97</v>
      </c>
      <c r="L579" s="106" t="s">
        <v>98</v>
      </c>
      <c r="M579" s="107" t="s">
        <v>99</v>
      </c>
      <c r="N579" s="90" t="s">
        <v>100</v>
      </c>
      <c r="O579" s="90" t="s">
        <v>101</v>
      </c>
    </row>
    <row r="580" spans="1:15" x14ac:dyDescent="0.2">
      <c r="A580" s="309" t="s">
        <v>15</v>
      </c>
      <c r="B580" s="309"/>
      <c r="C580" s="282">
        <f>VLOOKUP(B581,A$1:F$22,2,FALSE)</f>
        <v>42430</v>
      </c>
      <c r="D580" s="282">
        <f>DATE(YEAR(C580),IF(MONTH(C580)&lt;=3,3,IF(MONTH(C580)&lt;=6,6,IF(MONTH(C580)&lt;=9,9,12))),IF(OR(MONTH(C580)&lt;=3,MONTH(C580)&gt;=10),31,30))</f>
        <v>42460</v>
      </c>
      <c r="E580" s="283">
        <f>D580-C580+1</f>
        <v>31</v>
      </c>
      <c r="F580" s="284">
        <f>VLOOKUP(D580,'FERC Interest Rate'!$A:$B,2,TRUE)</f>
        <v>3.2500000000000001E-2</v>
      </c>
      <c r="G580" s="167">
        <f>VLOOKUP(B581,$A$1:$F$22,5,FALSE)</f>
        <v>2422</v>
      </c>
      <c r="H580" s="167">
        <f t="shared" ref="H580:H583" si="374">G580*F580*(E580/(DATE(YEAR(D580),12,31)-DATE(YEAR(D580),1,1)+1))</f>
        <v>6.6671174863387979</v>
      </c>
      <c r="I580" s="291">
        <v>0</v>
      </c>
      <c r="J580" s="286">
        <v>0</v>
      </c>
      <c r="K580" s="288">
        <f t="shared" ref="K580:K601" si="375">+SUM(I580:J580)</f>
        <v>0</v>
      </c>
      <c r="L580" s="286">
        <v>0</v>
      </c>
      <c r="M580" s="289">
        <f t="shared" ref="M580:M601" si="376">+SUM(K580:L580)</f>
        <v>0</v>
      </c>
      <c r="N580" s="290">
        <f t="shared" ref="N580:N601" si="377">+G580+H580+J580</f>
        <v>2428.6671174863386</v>
      </c>
      <c r="O580" s="167">
        <f t="shared" ref="O580:O601" si="378">G580+H580-L580-I580</f>
        <v>2428.6671174863386</v>
      </c>
    </row>
    <row r="581" spans="1:15" x14ac:dyDescent="0.2">
      <c r="A581" s="275" t="s">
        <v>38</v>
      </c>
      <c r="B581" s="276" t="s">
        <v>70</v>
      </c>
      <c r="C581" s="282">
        <f>D580+1</f>
        <v>42461</v>
      </c>
      <c r="D581" s="282">
        <f>EOMONTH(D580,3)</f>
        <v>42551</v>
      </c>
      <c r="E581" s="283">
        <f t="shared" ref="E581:E601" si="379">D581-C581+1</f>
        <v>91</v>
      </c>
      <c r="F581" s="284">
        <f>VLOOKUP(D581,'FERC Interest Rate'!$A:$B,2,TRUE)</f>
        <v>3.4599999999999999E-2</v>
      </c>
      <c r="G581" s="167">
        <f t="shared" ref="G581:G601" si="380">O580</f>
        <v>2428.6671174863386</v>
      </c>
      <c r="H581" s="167">
        <f t="shared" si="374"/>
        <v>20.893172912889302</v>
      </c>
      <c r="I581" s="291">
        <v>0</v>
      </c>
      <c r="J581" s="286">
        <v>0</v>
      </c>
      <c r="K581" s="288">
        <f t="shared" si="375"/>
        <v>0</v>
      </c>
      <c r="L581" s="286">
        <v>0</v>
      </c>
      <c r="M581" s="289">
        <f t="shared" si="376"/>
        <v>0</v>
      </c>
      <c r="N581" s="290">
        <f t="shared" si="377"/>
        <v>2449.5602903992281</v>
      </c>
      <c r="O581" s="167">
        <f t="shared" si="378"/>
        <v>2449.5602903992281</v>
      </c>
    </row>
    <row r="582" spans="1:15" x14ac:dyDescent="0.2">
      <c r="A582" s="96"/>
      <c r="B582" s="81"/>
      <c r="C582" s="82">
        <f t="shared" ref="C582:C601" si="381">D581+1</f>
        <v>42552</v>
      </c>
      <c r="D582" s="82">
        <f t="shared" ref="D582:D602" si="382">EOMONTH(D581,3)</f>
        <v>42643</v>
      </c>
      <c r="E582" s="81">
        <f t="shared" si="379"/>
        <v>92</v>
      </c>
      <c r="F582" s="83">
        <f>VLOOKUP(D582,'FERC Interest Rate'!$A:$B,2,TRUE)</f>
        <v>3.5000000000000003E-2</v>
      </c>
      <c r="G582" s="84">
        <f t="shared" si="380"/>
        <v>2449.5602903992281</v>
      </c>
      <c r="H582" s="167">
        <f t="shared" si="374"/>
        <v>21.550776325370258</v>
      </c>
      <c r="I582" s="173">
        <v>0</v>
      </c>
      <c r="J582" s="286">
        <v>0</v>
      </c>
      <c r="K582" s="129">
        <f t="shared" si="375"/>
        <v>0</v>
      </c>
      <c r="L582" s="85">
        <v>0</v>
      </c>
      <c r="M582" s="130">
        <f t="shared" si="376"/>
        <v>0</v>
      </c>
      <c r="N582" s="8">
        <f t="shared" si="377"/>
        <v>2471.1110667245985</v>
      </c>
      <c r="O582" s="84">
        <f t="shared" si="378"/>
        <v>2471.1110667245985</v>
      </c>
    </row>
    <row r="583" spans="1:15" x14ac:dyDescent="0.2">
      <c r="A583" s="17" t="s">
        <v>54</v>
      </c>
      <c r="B583" s="81" t="str">
        <f t="shared" ref="B583:B597" si="383">+IF(MONTH(C583)&lt;4,"Q1",IF(MONTH(C583)&lt;7,"Q2",IF(MONTH(C583)&lt;10,"Q3","Q4")))&amp;"/"&amp;YEAR(C583)</f>
        <v>Q4/2016</v>
      </c>
      <c r="C583" s="82">
        <f t="shared" si="381"/>
        <v>42644</v>
      </c>
      <c r="D583" s="82">
        <f t="shared" si="382"/>
        <v>42735</v>
      </c>
      <c r="E583" s="81">
        <f t="shared" si="379"/>
        <v>92</v>
      </c>
      <c r="F583" s="83">
        <f>VLOOKUP(D583,'FERC Interest Rate'!$A:$B,2,TRUE)</f>
        <v>3.5000000000000003E-2</v>
      </c>
      <c r="G583" s="84">
        <f t="shared" si="380"/>
        <v>2471.1110667245985</v>
      </c>
      <c r="H583" s="84">
        <f t="shared" si="374"/>
        <v>21.740376051511497</v>
      </c>
      <c r="I583" s="173">
        <f>SUM($H$580:$H$603)/20</f>
        <v>3.5425721388054923</v>
      </c>
      <c r="J583" s="85">
        <v>0</v>
      </c>
      <c r="K583" s="129">
        <f t="shared" si="375"/>
        <v>3.5425721388054923</v>
      </c>
      <c r="L583" s="85">
        <f t="shared" ref="L583:L602" si="384">VLOOKUP($B$581,A$1:F$18,5,FALSE)/20</f>
        <v>121.1</v>
      </c>
      <c r="M583" s="130">
        <f t="shared" si="376"/>
        <v>124.64257213880549</v>
      </c>
      <c r="N583" s="8">
        <f t="shared" si="377"/>
        <v>2492.8514427761102</v>
      </c>
      <c r="O583" s="84">
        <f t="shared" si="378"/>
        <v>2368.2088706373047</v>
      </c>
    </row>
    <row r="584" spans="1:15" x14ac:dyDescent="0.2">
      <c r="A584" s="17" t="s">
        <v>55</v>
      </c>
      <c r="B584" s="81" t="str">
        <f t="shared" si="383"/>
        <v>Q1/2017</v>
      </c>
      <c r="C584" s="82">
        <f t="shared" si="381"/>
        <v>42736</v>
      </c>
      <c r="D584" s="82">
        <f t="shared" si="382"/>
        <v>42825</v>
      </c>
      <c r="E584" s="81">
        <f t="shared" si="379"/>
        <v>90</v>
      </c>
      <c r="F584" s="83">
        <f>VLOOKUP(D584,'FERC Interest Rate'!$A:$B,2,TRUE)</f>
        <v>3.5000000000000003E-2</v>
      </c>
      <c r="G584" s="84">
        <f t="shared" si="380"/>
        <v>2368.2088706373047</v>
      </c>
      <c r="H584" s="84">
        <v>0</v>
      </c>
      <c r="I584" s="173">
        <f t="shared" ref="I584:I602" si="385">SUM($H$580:$H$603)/20</f>
        <v>3.5425721388054923</v>
      </c>
      <c r="J584" s="85">
        <f t="shared" ref="J584:J589" si="386">G584*F584*(E584/(DATE(YEAR(D584),12,31)-DATE(YEAR(D584),1,1)+1))</f>
        <v>20.437966965773999</v>
      </c>
      <c r="K584" s="129">
        <f t="shared" si="375"/>
        <v>23.980539104579492</v>
      </c>
      <c r="L584" s="85">
        <f t="shared" si="384"/>
        <v>121.1</v>
      </c>
      <c r="M584" s="130">
        <f t="shared" si="376"/>
        <v>145.08053910457949</v>
      </c>
      <c r="N584" s="8">
        <f t="shared" si="377"/>
        <v>2388.6468376030789</v>
      </c>
      <c r="O584" s="84">
        <f t="shared" si="378"/>
        <v>2243.5662984984992</v>
      </c>
    </row>
    <row r="585" spans="1:15" x14ac:dyDescent="0.2">
      <c r="A585" s="17" t="s">
        <v>56</v>
      </c>
      <c r="B585" s="81" t="str">
        <f t="shared" si="383"/>
        <v>Q2/2017</v>
      </c>
      <c r="C585" s="82">
        <f t="shared" si="381"/>
        <v>42826</v>
      </c>
      <c r="D585" s="82">
        <f t="shared" si="382"/>
        <v>42916</v>
      </c>
      <c r="E585" s="81">
        <f t="shared" si="379"/>
        <v>91</v>
      </c>
      <c r="F585" s="83">
        <f>VLOOKUP(D585,'FERC Interest Rate'!$A:$B,2,TRUE)</f>
        <v>3.7100000000000001E-2</v>
      </c>
      <c r="G585" s="84">
        <f t="shared" si="380"/>
        <v>2243.5662984984992</v>
      </c>
      <c r="H585" s="84">
        <v>0</v>
      </c>
      <c r="I585" s="173">
        <f t="shared" si="385"/>
        <v>3.5425721388054923</v>
      </c>
      <c r="J585" s="85">
        <f t="shared" si="386"/>
        <v>20.752066247563789</v>
      </c>
      <c r="K585" s="129">
        <f t="shared" si="375"/>
        <v>24.294638386369282</v>
      </c>
      <c r="L585" s="85">
        <f t="shared" si="384"/>
        <v>121.1</v>
      </c>
      <c r="M585" s="130">
        <f t="shared" si="376"/>
        <v>145.39463838636928</v>
      </c>
      <c r="N585" s="8">
        <f t="shared" si="377"/>
        <v>2264.3183647460628</v>
      </c>
      <c r="O585" s="84">
        <f t="shared" si="378"/>
        <v>2118.9237263596938</v>
      </c>
    </row>
    <row r="586" spans="1:15" x14ac:dyDescent="0.2">
      <c r="A586" s="17" t="s">
        <v>57</v>
      </c>
      <c r="B586" s="81" t="str">
        <f t="shared" si="383"/>
        <v>Q3/2017</v>
      </c>
      <c r="C586" s="82">
        <f t="shared" si="381"/>
        <v>42917</v>
      </c>
      <c r="D586" s="82">
        <f t="shared" si="382"/>
        <v>43008</v>
      </c>
      <c r="E586" s="81">
        <f t="shared" si="379"/>
        <v>92</v>
      </c>
      <c r="F586" s="83">
        <f>VLOOKUP(D586,'FERC Interest Rate'!$A:$B,2,TRUE)</f>
        <v>3.9600000000000003E-2</v>
      </c>
      <c r="G586" s="84">
        <f t="shared" si="380"/>
        <v>2118.9237263596938</v>
      </c>
      <c r="H586" s="84">
        <v>0</v>
      </c>
      <c r="I586" s="173">
        <f t="shared" si="385"/>
        <v>3.5425721388054923</v>
      </c>
      <c r="J586" s="85">
        <f t="shared" si="386"/>
        <v>21.149761424311336</v>
      </c>
      <c r="K586" s="129">
        <f t="shared" si="375"/>
        <v>24.692333563116829</v>
      </c>
      <c r="L586" s="85">
        <f t="shared" si="384"/>
        <v>121.1</v>
      </c>
      <c r="M586" s="130">
        <f t="shared" si="376"/>
        <v>145.79233356311681</v>
      </c>
      <c r="N586" s="8">
        <f t="shared" si="377"/>
        <v>2140.073487784005</v>
      </c>
      <c r="O586" s="84">
        <f t="shared" si="378"/>
        <v>1994.2811542208883</v>
      </c>
    </row>
    <row r="587" spans="1:15" x14ac:dyDescent="0.2">
      <c r="A587" s="17" t="s">
        <v>58</v>
      </c>
      <c r="B587" s="81" t="str">
        <f t="shared" si="383"/>
        <v>Q4/2017</v>
      </c>
      <c r="C587" s="82">
        <f t="shared" si="381"/>
        <v>43009</v>
      </c>
      <c r="D587" s="82">
        <f t="shared" si="382"/>
        <v>43100</v>
      </c>
      <c r="E587" s="81">
        <f t="shared" si="379"/>
        <v>92</v>
      </c>
      <c r="F587" s="83">
        <f>VLOOKUP(D587,'FERC Interest Rate'!$A:$B,2,TRUE)</f>
        <v>4.2099999999999999E-2</v>
      </c>
      <c r="G587" s="84">
        <f t="shared" si="380"/>
        <v>1994.2811542208883</v>
      </c>
      <c r="H587" s="84">
        <v>0</v>
      </c>
      <c r="I587" s="173">
        <f t="shared" si="385"/>
        <v>3.5425721388054923</v>
      </c>
      <c r="J587" s="85">
        <f t="shared" si="386"/>
        <v>21.162328127474918</v>
      </c>
      <c r="K587" s="129">
        <f t="shared" si="375"/>
        <v>24.704900266280411</v>
      </c>
      <c r="L587" s="85">
        <f t="shared" si="384"/>
        <v>121.1</v>
      </c>
      <c r="M587" s="130">
        <f t="shared" si="376"/>
        <v>145.80490026628041</v>
      </c>
      <c r="N587" s="8">
        <f t="shared" si="377"/>
        <v>2015.4434823483632</v>
      </c>
      <c r="O587" s="84">
        <f t="shared" si="378"/>
        <v>1869.6385820820828</v>
      </c>
    </row>
    <row r="588" spans="1:15" x14ac:dyDescent="0.2">
      <c r="A588" s="17" t="s">
        <v>59</v>
      </c>
      <c r="B588" s="81" t="str">
        <f t="shared" si="383"/>
        <v>Q1/2018</v>
      </c>
      <c r="C588" s="82">
        <f t="shared" si="381"/>
        <v>43101</v>
      </c>
      <c r="D588" s="82">
        <f t="shared" si="382"/>
        <v>43190</v>
      </c>
      <c r="E588" s="81">
        <f t="shared" si="379"/>
        <v>90</v>
      </c>
      <c r="F588" s="83">
        <f>VLOOKUP(D588,'FERC Interest Rate'!$A:$B,2,TRUE)</f>
        <v>4.2500000000000003E-2</v>
      </c>
      <c r="G588" s="84">
        <f t="shared" si="380"/>
        <v>1869.6385820820828</v>
      </c>
      <c r="H588" s="84">
        <v>0</v>
      </c>
      <c r="I588" s="109">
        <f t="shared" si="385"/>
        <v>3.5425721388054923</v>
      </c>
      <c r="J588" s="85">
        <f t="shared" si="386"/>
        <v>19.592787880723201</v>
      </c>
      <c r="K588" s="129">
        <f t="shared" si="375"/>
        <v>23.135360019528694</v>
      </c>
      <c r="L588" s="85">
        <f t="shared" si="384"/>
        <v>121.1</v>
      </c>
      <c r="M588" s="130">
        <f t="shared" si="376"/>
        <v>144.23536001952868</v>
      </c>
      <c r="N588" s="8">
        <f t="shared" si="377"/>
        <v>1889.231369962806</v>
      </c>
      <c r="O588" s="84">
        <f t="shared" si="378"/>
        <v>1744.9960099432774</v>
      </c>
    </row>
    <row r="589" spans="1:15" x14ac:dyDescent="0.2">
      <c r="A589" s="17" t="s">
        <v>60</v>
      </c>
      <c r="B589" s="81" t="str">
        <f t="shared" si="383"/>
        <v>Q2/2018</v>
      </c>
      <c r="C589" s="82">
        <f t="shared" si="381"/>
        <v>43191</v>
      </c>
      <c r="D589" s="82">
        <f t="shared" si="382"/>
        <v>43281</v>
      </c>
      <c r="E589" s="81">
        <f t="shared" si="379"/>
        <v>91</v>
      </c>
      <c r="F589" s="83">
        <f>VLOOKUP(D589,'FERC Interest Rate'!$A:$B,2,TRUE)</f>
        <v>4.4699999999999997E-2</v>
      </c>
      <c r="G589" s="84">
        <f t="shared" si="380"/>
        <v>1744.9960099432774</v>
      </c>
      <c r="H589" s="84">
        <v>0</v>
      </c>
      <c r="I589" s="109">
        <f t="shared" si="385"/>
        <v>3.5425721388054923</v>
      </c>
      <c r="J589" s="85">
        <f t="shared" si="386"/>
        <v>19.446904848345945</v>
      </c>
      <c r="K589" s="129">
        <f t="shared" si="375"/>
        <v>22.989476987151438</v>
      </c>
      <c r="L589" s="85">
        <f t="shared" si="384"/>
        <v>121.1</v>
      </c>
      <c r="M589" s="130">
        <f t="shared" si="376"/>
        <v>144.08947698715144</v>
      </c>
      <c r="N589" s="8">
        <f t="shared" si="377"/>
        <v>1764.4429147916233</v>
      </c>
      <c r="O589" s="84">
        <f t="shared" si="378"/>
        <v>1620.3534378044719</v>
      </c>
    </row>
    <row r="590" spans="1:15" x14ac:dyDescent="0.2">
      <c r="A590" s="17" t="s">
        <v>61</v>
      </c>
      <c r="B590" s="81" t="str">
        <f t="shared" si="383"/>
        <v>Q3/2018</v>
      </c>
      <c r="C590" s="82">
        <f t="shared" si="381"/>
        <v>43282</v>
      </c>
      <c r="D590" s="82">
        <f t="shared" si="382"/>
        <v>43373</v>
      </c>
      <c r="E590" s="81">
        <f t="shared" si="379"/>
        <v>92</v>
      </c>
      <c r="F590" s="83">
        <f>VLOOKUP(D590,'FERC Interest Rate'!$A:$B,2,TRUE)</f>
        <v>5.011111E-2</v>
      </c>
      <c r="G590" s="84">
        <f t="shared" si="380"/>
        <v>1620.3534378044719</v>
      </c>
      <c r="H590" s="84">
        <v>0</v>
      </c>
      <c r="I590" s="109">
        <f t="shared" si="385"/>
        <v>3.5425721388054923</v>
      </c>
      <c r="J590" s="85">
        <f>G590*F590*(E590/(DATE(YEAR(D590),12,31)-DATE(YEAR(D590),1,1)+1))</f>
        <v>20.466271948449922</v>
      </c>
      <c r="K590" s="129">
        <f t="shared" si="375"/>
        <v>24.008844087255415</v>
      </c>
      <c r="L590" s="85">
        <f t="shared" si="384"/>
        <v>121.1</v>
      </c>
      <c r="M590" s="130">
        <f t="shared" si="376"/>
        <v>145.10884408725542</v>
      </c>
      <c r="N590" s="8">
        <f t="shared" si="377"/>
        <v>1640.8197097529219</v>
      </c>
      <c r="O590" s="84">
        <f t="shared" si="378"/>
        <v>1495.7108656656665</v>
      </c>
    </row>
    <row r="591" spans="1:15" x14ac:dyDescent="0.2">
      <c r="A591" s="17" t="s">
        <v>62</v>
      </c>
      <c r="B591" s="81" t="str">
        <f t="shared" si="383"/>
        <v>Q4/2018</v>
      </c>
      <c r="C591" s="82">
        <f t="shared" si="381"/>
        <v>43374</v>
      </c>
      <c r="D591" s="82">
        <f t="shared" si="382"/>
        <v>43465</v>
      </c>
      <c r="E591" s="81">
        <f t="shared" si="379"/>
        <v>92</v>
      </c>
      <c r="F591" s="83">
        <f>VLOOKUP(D591,'FERC Interest Rate'!$A:$B,2,TRUE)</f>
        <v>5.2822580000000001E-2</v>
      </c>
      <c r="G591" s="84">
        <f t="shared" si="380"/>
        <v>1495.7108656656665</v>
      </c>
      <c r="H591" s="84">
        <v>0</v>
      </c>
      <c r="I591" s="109">
        <f t="shared" si="385"/>
        <v>3.5425721388054923</v>
      </c>
      <c r="J591" s="85">
        <f t="shared" ref="J591:J601" si="387">G591*F591*(E591/(DATE(YEAR(D591),12,31)-DATE(YEAR(D591),1,1)+1))</f>
        <v>19.914170495839564</v>
      </c>
      <c r="K591" s="129">
        <f t="shared" si="375"/>
        <v>23.456742634645057</v>
      </c>
      <c r="L591" s="85">
        <f t="shared" si="384"/>
        <v>121.1</v>
      </c>
      <c r="M591" s="130">
        <f t="shared" si="376"/>
        <v>144.55674263464505</v>
      </c>
      <c r="N591" s="8">
        <f t="shared" si="377"/>
        <v>1515.6250361615059</v>
      </c>
      <c r="O591" s="84">
        <f t="shared" si="378"/>
        <v>1371.068293526861</v>
      </c>
    </row>
    <row r="592" spans="1:15" x14ac:dyDescent="0.2">
      <c r="A592" s="17" t="s">
        <v>63</v>
      </c>
      <c r="B592" s="81" t="str">
        <f t="shared" si="383"/>
        <v>Q1/2019</v>
      </c>
      <c r="C592" s="82">
        <f t="shared" si="381"/>
        <v>43466</v>
      </c>
      <c r="D592" s="82">
        <f t="shared" si="382"/>
        <v>43555</v>
      </c>
      <c r="E592" s="81">
        <f t="shared" si="379"/>
        <v>90</v>
      </c>
      <c r="F592" s="83">
        <f>VLOOKUP(D592,'FERC Interest Rate'!$A:$B,2,TRUE)</f>
        <v>5.5296770000000002E-2</v>
      </c>
      <c r="G592" s="84">
        <f t="shared" si="380"/>
        <v>1371.068293526861</v>
      </c>
      <c r="H592" s="84">
        <v>0</v>
      </c>
      <c r="I592" s="109">
        <f t="shared" si="385"/>
        <v>3.5425721388054923</v>
      </c>
      <c r="J592" s="85">
        <f t="shared" si="387"/>
        <v>18.694269389945912</v>
      </c>
      <c r="K592" s="129">
        <f t="shared" si="375"/>
        <v>22.236841528751405</v>
      </c>
      <c r="L592" s="85">
        <f t="shared" si="384"/>
        <v>121.1</v>
      </c>
      <c r="M592" s="130">
        <f t="shared" si="376"/>
        <v>143.33684152875139</v>
      </c>
      <c r="N592" s="8">
        <f t="shared" si="377"/>
        <v>1389.7625629168069</v>
      </c>
      <c r="O592" s="84">
        <f t="shared" si="378"/>
        <v>1246.4257213880555</v>
      </c>
    </row>
    <row r="593" spans="1:15" x14ac:dyDescent="0.2">
      <c r="A593" s="17" t="s">
        <v>64</v>
      </c>
      <c r="B593" s="81" t="str">
        <f t="shared" si="383"/>
        <v>Q2/2019</v>
      </c>
      <c r="C593" s="82">
        <f t="shared" si="381"/>
        <v>43556</v>
      </c>
      <c r="D593" s="82">
        <f t="shared" si="382"/>
        <v>43646</v>
      </c>
      <c r="E593" s="81">
        <f t="shared" si="379"/>
        <v>91</v>
      </c>
      <c r="F593" s="83">
        <f>VLOOKUP(D593,'FERC Interest Rate'!$A:$B,2,TRUE)</f>
        <v>5.7999999999999996E-2</v>
      </c>
      <c r="G593" s="84">
        <f t="shared" si="380"/>
        <v>1246.4257213880555</v>
      </c>
      <c r="H593" s="84">
        <v>0</v>
      </c>
      <c r="I593" s="109">
        <f t="shared" si="385"/>
        <v>3.5425721388054923</v>
      </c>
      <c r="J593" s="85">
        <f t="shared" si="387"/>
        <v>18.023657417770291</v>
      </c>
      <c r="K593" s="129">
        <f t="shared" si="375"/>
        <v>21.566229556575784</v>
      </c>
      <c r="L593" s="85">
        <f t="shared" si="384"/>
        <v>121.1</v>
      </c>
      <c r="M593" s="130">
        <f t="shared" si="376"/>
        <v>142.66622955657579</v>
      </c>
      <c r="N593" s="8">
        <f t="shared" si="377"/>
        <v>1264.4493788058257</v>
      </c>
      <c r="O593" s="84">
        <f t="shared" si="378"/>
        <v>1121.7831492492501</v>
      </c>
    </row>
    <row r="594" spans="1:15" x14ac:dyDescent="0.2">
      <c r="A594" s="17" t="s">
        <v>65</v>
      </c>
      <c r="B594" s="81" t="str">
        <f t="shared" si="383"/>
        <v>Q3/2019</v>
      </c>
      <c r="C594" s="82">
        <f t="shared" si="381"/>
        <v>43647</v>
      </c>
      <c r="D594" s="82">
        <f t="shared" si="382"/>
        <v>43738</v>
      </c>
      <c r="E594" s="81">
        <f t="shared" si="379"/>
        <v>92</v>
      </c>
      <c r="F594" s="83">
        <f>VLOOKUP(D594,'FERC Interest Rate'!$A:$B,2,TRUE)</f>
        <v>0.06</v>
      </c>
      <c r="G594" s="84">
        <f t="shared" si="380"/>
        <v>1121.7831492492501</v>
      </c>
      <c r="H594" s="84">
        <v>0</v>
      </c>
      <c r="I594" s="109">
        <f t="shared" si="385"/>
        <v>3.5425721388054923</v>
      </c>
      <c r="J594" s="85">
        <f t="shared" si="387"/>
        <v>16.965049270837973</v>
      </c>
      <c r="K594" s="129">
        <f t="shared" si="375"/>
        <v>20.507621409643466</v>
      </c>
      <c r="L594" s="85">
        <f t="shared" si="384"/>
        <v>121.1</v>
      </c>
      <c r="M594" s="130">
        <f t="shared" si="376"/>
        <v>141.60762140964346</v>
      </c>
      <c r="N594" s="8">
        <f t="shared" si="377"/>
        <v>1138.748198520088</v>
      </c>
      <c r="O594" s="84">
        <f t="shared" si="378"/>
        <v>997.14057711044461</v>
      </c>
    </row>
    <row r="595" spans="1:15" x14ac:dyDescent="0.2">
      <c r="A595" s="17" t="s">
        <v>66</v>
      </c>
      <c r="B595" s="81" t="str">
        <f t="shared" si="383"/>
        <v>Q4/2019</v>
      </c>
      <c r="C595" s="82">
        <f t="shared" si="381"/>
        <v>43739</v>
      </c>
      <c r="D595" s="82">
        <f t="shared" si="382"/>
        <v>43830</v>
      </c>
      <c r="E595" s="81">
        <f t="shared" si="379"/>
        <v>92</v>
      </c>
      <c r="F595" s="83">
        <f>VLOOKUP(D595,'FERC Interest Rate'!$A:$B,2,TRUE)</f>
        <v>6.0349460000000001E-2</v>
      </c>
      <c r="G595" s="84">
        <f t="shared" si="380"/>
        <v>997.14057711044461</v>
      </c>
      <c r="H595" s="84">
        <v>0</v>
      </c>
      <c r="I595" s="109">
        <f t="shared" si="385"/>
        <v>3.5425721388054923</v>
      </c>
      <c r="J595" s="85">
        <f t="shared" si="387"/>
        <v>15.167874998051342</v>
      </c>
      <c r="K595" s="129">
        <f t="shared" si="375"/>
        <v>18.710447136856835</v>
      </c>
      <c r="L595" s="85">
        <f t="shared" si="384"/>
        <v>121.1</v>
      </c>
      <c r="M595" s="130">
        <f t="shared" si="376"/>
        <v>139.81044713685682</v>
      </c>
      <c r="N595" s="8">
        <f t="shared" si="377"/>
        <v>1012.308452108496</v>
      </c>
      <c r="O595" s="84">
        <f t="shared" si="378"/>
        <v>872.49800497163915</v>
      </c>
    </row>
    <row r="596" spans="1:15" x14ac:dyDescent="0.2">
      <c r="A596" s="17" t="s">
        <v>67</v>
      </c>
      <c r="B596" s="81" t="str">
        <f t="shared" si="383"/>
        <v>Q1/2020</v>
      </c>
      <c r="C596" s="82">
        <f t="shared" si="381"/>
        <v>43831</v>
      </c>
      <c r="D596" s="82">
        <f t="shared" si="382"/>
        <v>43921</v>
      </c>
      <c r="E596" s="81">
        <f t="shared" si="379"/>
        <v>91</v>
      </c>
      <c r="F596" s="83">
        <f>VLOOKUP(D596,'FERC Interest Rate'!$A:$B,2,TRUE)</f>
        <v>6.2501040000000008E-2</v>
      </c>
      <c r="G596" s="84">
        <f t="shared" si="380"/>
        <v>872.49800497163915</v>
      </c>
      <c r="H596" s="84">
        <v>0</v>
      </c>
      <c r="I596" s="109">
        <f t="shared" si="385"/>
        <v>3.5425721388054923</v>
      </c>
      <c r="J596" s="85">
        <f t="shared" si="387"/>
        <v>13.558510864719642</v>
      </c>
      <c r="K596" s="129">
        <f t="shared" si="375"/>
        <v>17.101083003525133</v>
      </c>
      <c r="L596" s="85">
        <f t="shared" si="384"/>
        <v>121.1</v>
      </c>
      <c r="M596" s="130">
        <f t="shared" si="376"/>
        <v>138.20108300352513</v>
      </c>
      <c r="N596" s="8">
        <f t="shared" si="377"/>
        <v>886.05651583635881</v>
      </c>
      <c r="O596" s="84">
        <f t="shared" si="378"/>
        <v>747.85543283283369</v>
      </c>
    </row>
    <row r="597" spans="1:15" x14ac:dyDescent="0.2">
      <c r="A597" s="17" t="s">
        <v>68</v>
      </c>
      <c r="B597" s="81" t="str">
        <f t="shared" si="383"/>
        <v>Q2/2020</v>
      </c>
      <c r="C597" s="82">
        <f t="shared" si="381"/>
        <v>43922</v>
      </c>
      <c r="D597" s="82">
        <f t="shared" si="382"/>
        <v>44012</v>
      </c>
      <c r="E597" s="81">
        <f t="shared" si="379"/>
        <v>91</v>
      </c>
      <c r="F597" s="83">
        <f>VLOOKUP(D597,'FERC Interest Rate'!$A:$B,2,TRUE)</f>
        <v>6.3055559999999997E-2</v>
      </c>
      <c r="G597" s="84">
        <f t="shared" si="380"/>
        <v>747.85543283283369</v>
      </c>
      <c r="H597" s="84">
        <v>0</v>
      </c>
      <c r="I597" s="109">
        <f t="shared" si="385"/>
        <v>3.5425721388054923</v>
      </c>
      <c r="J597" s="85">
        <f t="shared" si="387"/>
        <v>11.724689408701694</v>
      </c>
      <c r="K597" s="129">
        <f t="shared" si="375"/>
        <v>15.267261547507186</v>
      </c>
      <c r="L597" s="85">
        <f t="shared" si="384"/>
        <v>121.1</v>
      </c>
      <c r="M597" s="130">
        <f t="shared" si="376"/>
        <v>136.36726154750718</v>
      </c>
      <c r="N597" s="8">
        <f t="shared" si="377"/>
        <v>759.58012224153538</v>
      </c>
      <c r="O597" s="84">
        <f t="shared" si="378"/>
        <v>623.21286069402822</v>
      </c>
    </row>
    <row r="598" spans="1:15" x14ac:dyDescent="0.2">
      <c r="A598" s="17" t="s">
        <v>69</v>
      </c>
      <c r="B598" s="81" t="str">
        <f>+IF(MONTH(C598)&lt;4,"Q1",IF(MONTH(C598)&lt;7,"Q2",IF(MONTH(C598)&lt;10,"Q3","Q4")))&amp;"/"&amp;YEAR(C598)</f>
        <v>Q3/2020</v>
      </c>
      <c r="C598" s="82">
        <f t="shared" si="381"/>
        <v>44013</v>
      </c>
      <c r="D598" s="82">
        <f t="shared" si="382"/>
        <v>44104</v>
      </c>
      <c r="E598" s="81">
        <f t="shared" si="379"/>
        <v>92</v>
      </c>
      <c r="F598" s="83">
        <f>VLOOKUP(D598,'FERC Interest Rate'!$A:$B,2,TRUE)</f>
        <v>6.5000000000000002E-2</v>
      </c>
      <c r="G598" s="84">
        <f t="shared" si="380"/>
        <v>623.21286069402822</v>
      </c>
      <c r="H598" s="84">
        <v>0</v>
      </c>
      <c r="I598" s="109">
        <f t="shared" si="385"/>
        <v>3.5425721388054923</v>
      </c>
      <c r="J598" s="85">
        <f t="shared" si="387"/>
        <v>10.182548926093686</v>
      </c>
      <c r="K598" s="129">
        <f t="shared" si="375"/>
        <v>13.725121064899177</v>
      </c>
      <c r="L598" s="85">
        <f t="shared" si="384"/>
        <v>121.1</v>
      </c>
      <c r="M598" s="130">
        <f t="shared" si="376"/>
        <v>134.82512106489918</v>
      </c>
      <c r="N598" s="8">
        <f t="shared" si="377"/>
        <v>633.39540962012188</v>
      </c>
      <c r="O598" s="84">
        <f t="shared" si="378"/>
        <v>498.5702885552227</v>
      </c>
    </row>
    <row r="599" spans="1:15" x14ac:dyDescent="0.2">
      <c r="A599" s="17" t="s">
        <v>70</v>
      </c>
      <c r="B599" s="81" t="str">
        <f>+IF(MONTH(C599)&lt;4,"Q1",IF(MONTH(C599)&lt;7,"Q2",IF(MONTH(C599)&lt;10,"Q3","Q4")))&amp;"/"&amp;YEAR(C599)</f>
        <v>Q4/2020</v>
      </c>
      <c r="C599" s="82">
        <f t="shared" si="381"/>
        <v>44105</v>
      </c>
      <c r="D599" s="82">
        <f t="shared" si="382"/>
        <v>44196</v>
      </c>
      <c r="E599" s="81">
        <f t="shared" si="379"/>
        <v>92</v>
      </c>
      <c r="F599" s="83">
        <f>VLOOKUP(D599,'FERC Interest Rate'!$A:$B,2,TRUE)</f>
        <v>6.5000000000000002E-2</v>
      </c>
      <c r="G599" s="84">
        <f t="shared" si="380"/>
        <v>498.5702885552227</v>
      </c>
      <c r="H599" s="84">
        <v>0</v>
      </c>
      <c r="I599" s="109">
        <f t="shared" si="385"/>
        <v>3.5425721388054923</v>
      </c>
      <c r="J599" s="85">
        <f t="shared" si="387"/>
        <v>8.1460391408749508</v>
      </c>
      <c r="K599" s="129">
        <f t="shared" si="375"/>
        <v>11.688611279680444</v>
      </c>
      <c r="L599" s="85">
        <f t="shared" si="384"/>
        <v>121.1</v>
      </c>
      <c r="M599" s="130">
        <f t="shared" si="376"/>
        <v>132.78861127968042</v>
      </c>
      <c r="N599" s="8">
        <f t="shared" si="377"/>
        <v>506.71632769609766</v>
      </c>
      <c r="O599" s="84">
        <f t="shared" si="378"/>
        <v>373.92771641641724</v>
      </c>
    </row>
    <row r="600" spans="1:15" x14ac:dyDescent="0.2">
      <c r="A600" s="17" t="s">
        <v>71</v>
      </c>
      <c r="B600" s="81" t="str">
        <f>+IF(MONTH(C600)&lt;4,"Q1",IF(MONTH(C600)&lt;7,"Q2",IF(MONTH(C600)&lt;10,"Q3","Q4")))&amp;"/"&amp;YEAR(C600)</f>
        <v>Q1/2021</v>
      </c>
      <c r="C600" s="82">
        <f t="shared" si="381"/>
        <v>44197</v>
      </c>
      <c r="D600" s="82">
        <f t="shared" si="382"/>
        <v>44286</v>
      </c>
      <c r="E600" s="81">
        <f t="shared" si="379"/>
        <v>90</v>
      </c>
      <c r="F600" s="83">
        <f>VLOOKUP(D600,'FERC Interest Rate'!$A:$B,2,TRUE)</f>
        <v>6.5000000000000002E-2</v>
      </c>
      <c r="G600" s="84">
        <f t="shared" si="380"/>
        <v>373.92771641641724</v>
      </c>
      <c r="H600" s="84">
        <v>0</v>
      </c>
      <c r="I600" s="109">
        <f t="shared" si="385"/>
        <v>3.5425721388054923</v>
      </c>
      <c r="J600" s="85">
        <f t="shared" si="387"/>
        <v>5.9930880576329884</v>
      </c>
      <c r="K600" s="129">
        <f t="shared" si="375"/>
        <v>9.5356601964384815</v>
      </c>
      <c r="L600" s="85">
        <f t="shared" si="384"/>
        <v>121.1</v>
      </c>
      <c r="M600" s="130">
        <f t="shared" si="376"/>
        <v>130.63566019643847</v>
      </c>
      <c r="N600" s="8">
        <f t="shared" si="377"/>
        <v>379.92080447405021</v>
      </c>
      <c r="O600" s="84">
        <f t="shared" si="378"/>
        <v>249.28514427761175</v>
      </c>
    </row>
    <row r="601" spans="1:15" x14ac:dyDescent="0.2">
      <c r="A601" s="17" t="s">
        <v>72</v>
      </c>
      <c r="B601" s="81" t="str">
        <f t="shared" ref="B601:B602" si="388">+IF(MONTH(C601)&lt;4,"Q1",IF(MONTH(C601)&lt;7,"Q2",IF(MONTH(C601)&lt;10,"Q3","Q4")))&amp;"/"&amp;YEAR(C601)</f>
        <v>Q2/2021</v>
      </c>
      <c r="C601" s="82">
        <f t="shared" si="381"/>
        <v>44287</v>
      </c>
      <c r="D601" s="82">
        <f t="shared" si="382"/>
        <v>44377</v>
      </c>
      <c r="E601" s="81">
        <f t="shared" si="379"/>
        <v>91</v>
      </c>
      <c r="F601" s="83">
        <f>VLOOKUP(D601,'FERC Interest Rate'!$A:$B,2,TRUE)</f>
        <v>6.5000000000000002E-2</v>
      </c>
      <c r="G601" s="84">
        <f t="shared" si="380"/>
        <v>249.28514427761175</v>
      </c>
      <c r="H601" s="84">
        <v>0</v>
      </c>
      <c r="I601" s="109">
        <f t="shared" si="385"/>
        <v>3.5425721388054923</v>
      </c>
      <c r="J601" s="85">
        <f t="shared" si="387"/>
        <v>4.0397852832933525</v>
      </c>
      <c r="K601" s="129">
        <f t="shared" si="375"/>
        <v>7.5823574220988448</v>
      </c>
      <c r="L601" s="85">
        <f t="shared" si="384"/>
        <v>121.1</v>
      </c>
      <c r="M601" s="130">
        <f t="shared" si="376"/>
        <v>128.68235742209885</v>
      </c>
      <c r="N601" s="8">
        <f t="shared" si="377"/>
        <v>253.3249295609051</v>
      </c>
      <c r="O601" s="84">
        <f t="shared" si="378"/>
        <v>124.64257213880626</v>
      </c>
    </row>
    <row r="602" spans="1:15" x14ac:dyDescent="0.2">
      <c r="A602" s="17" t="s">
        <v>73</v>
      </c>
      <c r="B602" s="81" t="str">
        <f t="shared" si="388"/>
        <v>Q3/2021</v>
      </c>
      <c r="C602" s="82">
        <f t="shared" ref="C602" si="389">D601+1</f>
        <v>44378</v>
      </c>
      <c r="D602" s="82">
        <f t="shared" si="382"/>
        <v>44469</v>
      </c>
      <c r="E602" s="81">
        <f t="shared" ref="E602" si="390">D602-C602+1</f>
        <v>92</v>
      </c>
      <c r="F602" s="83">
        <f>VLOOKUP(D602,'FERC Interest Rate'!$A:$B,2,TRUE)</f>
        <v>6.5000000000000002E-2</v>
      </c>
      <c r="G602" s="84">
        <f t="shared" ref="G602" si="391">O601</f>
        <v>124.64257213880626</v>
      </c>
      <c r="H602" s="84">
        <v>0</v>
      </c>
      <c r="I602" s="109">
        <f t="shared" si="385"/>
        <v>3.5425721388054923</v>
      </c>
      <c r="J602" s="85">
        <f t="shared" ref="J602" si="392">G602*F602*(E602/(DATE(YEAR(D602),12,31)-DATE(YEAR(D602),1,1)+1))</f>
        <v>2.0420892640823602</v>
      </c>
      <c r="K602" s="129">
        <f t="shared" ref="K602" si="393">+SUM(I602:J602)</f>
        <v>5.5846614028878525</v>
      </c>
      <c r="L602" s="85">
        <f t="shared" si="384"/>
        <v>121.1</v>
      </c>
      <c r="M602" s="130">
        <f t="shared" ref="M602" si="394">+SUM(K602:L602)</f>
        <v>126.68466140288784</v>
      </c>
      <c r="N602" s="8">
        <f t="shared" ref="N602" si="395">+G602+H602+J602</f>
        <v>126.68466140288862</v>
      </c>
      <c r="O602" s="84">
        <f t="shared" ref="O602" si="396">G602+H602-L602-I602</f>
        <v>7.7182704671940883E-13</v>
      </c>
    </row>
    <row r="603" spans="1:15" x14ac:dyDescent="0.2">
      <c r="A603" s="96"/>
      <c r="B603" s="81"/>
      <c r="C603" s="82"/>
      <c r="D603" s="82"/>
      <c r="E603" s="81"/>
      <c r="F603" s="83"/>
      <c r="G603" s="84"/>
      <c r="H603" s="84"/>
      <c r="I603" s="109"/>
      <c r="J603" s="85"/>
      <c r="K603" s="129"/>
      <c r="L603" s="85"/>
      <c r="M603" s="130"/>
      <c r="N603" s="8"/>
      <c r="O603" s="84"/>
    </row>
    <row r="604" spans="1:15" ht="13.5" thickBot="1" x14ac:dyDescent="0.25">
      <c r="A604" s="151"/>
      <c r="B604" s="152"/>
      <c r="C604" s="153"/>
      <c r="D604" s="153"/>
      <c r="E604" s="154"/>
      <c r="F604" s="152"/>
      <c r="G604" s="140">
        <f t="shared" ref="G604:O604" si="397">+SUM(G580:G603)</f>
        <v>33453.427180983221</v>
      </c>
      <c r="H604" s="140">
        <f t="shared" si="397"/>
        <v>70.851442776109849</v>
      </c>
      <c r="I604" s="141">
        <f t="shared" si="397"/>
        <v>70.851442776109835</v>
      </c>
      <c r="J604" s="140">
        <f t="shared" si="397"/>
        <v>287.45985996048677</v>
      </c>
      <c r="K604" s="140">
        <f t="shared" si="397"/>
        <v>358.3113027365967</v>
      </c>
      <c r="L604" s="140">
        <f t="shared" si="397"/>
        <v>2421.9999999999991</v>
      </c>
      <c r="M604" s="142">
        <f t="shared" si="397"/>
        <v>2780.3113027365962</v>
      </c>
      <c r="N604" s="140">
        <f t="shared" si="397"/>
        <v>33811.738483719826</v>
      </c>
      <c r="O604" s="140">
        <f t="shared" si="397"/>
        <v>31031.427180983221</v>
      </c>
    </row>
    <row r="605" spans="1:15" ht="14.25" thickTop="1" thickBot="1" x14ac:dyDescent="0.25">
      <c r="I605" s="231"/>
      <c r="J605" s="232"/>
      <c r="K605" s="232"/>
      <c r="L605" s="232"/>
      <c r="M605" s="233"/>
    </row>
  </sheetData>
  <mergeCells count="18">
    <mergeCell ref="A51:F51"/>
    <mergeCell ref="A462:B462"/>
    <mergeCell ref="A492:B492"/>
    <mergeCell ref="A522:B522"/>
    <mergeCell ref="A551:B551"/>
    <mergeCell ref="A77:B77"/>
    <mergeCell ref="A111:B111"/>
    <mergeCell ref="A144:B144"/>
    <mergeCell ref="A177:B177"/>
    <mergeCell ref="A210:B210"/>
    <mergeCell ref="A242:B242"/>
    <mergeCell ref="A580:B580"/>
    <mergeCell ref="A274:B274"/>
    <mergeCell ref="A306:B306"/>
    <mergeCell ref="A338:B338"/>
    <mergeCell ref="A370:B370"/>
    <mergeCell ref="A401:B401"/>
    <mergeCell ref="A432:B432"/>
  </mergeCells>
  <pageMargins left="0.7" right="0.7" top="0.75" bottom="0.75" header="0.3" footer="0.3"/>
  <pageSetup scale="54" fitToHeight="0" orientation="landscape" r:id="rId1"/>
  <headerFooter alignWithMargins="0">
    <oddHeader>&amp;RTO2019 Annual Update
Attachment 4
WP Schedule 22
Page &amp;P of &amp;N</oddHeader>
    <oddFooter>&amp;R&amp;A</oddFooter>
  </headerFooter>
  <rowBreaks count="9" manualBreakCount="9">
    <brk id="50" max="14" man="1"/>
    <brk id="108" max="14" man="1"/>
    <brk id="175" max="14" man="1"/>
    <brk id="240" max="14" man="1"/>
    <brk id="304" max="14" man="1"/>
    <brk id="368" max="14" man="1"/>
    <brk id="430" max="14" man="1"/>
    <brk id="490" max="14" man="1"/>
    <brk id="549"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9"/>
  <sheetViews>
    <sheetView zoomScaleNormal="100" zoomScaleSheetLayoutView="99" workbookViewId="0">
      <selection sqref="A1:F1"/>
    </sheetView>
  </sheetViews>
  <sheetFormatPr defaultColWidth="9.140625" defaultRowHeight="11.25" x14ac:dyDescent="0.2"/>
  <cols>
    <col min="1" max="1" width="24.42578125" style="240" customWidth="1"/>
    <col min="2" max="3" width="12" style="26" customWidth="1"/>
    <col min="4" max="4" width="11.85546875" style="26" customWidth="1"/>
    <col min="5" max="5" width="12.42578125" style="26" customWidth="1"/>
    <col min="6" max="6" width="14.7109375" style="26" customWidth="1"/>
    <col min="7" max="7" width="14.140625" style="26" customWidth="1"/>
    <col min="8" max="8" width="13" style="26" customWidth="1"/>
    <col min="9" max="9" width="14.5703125" style="26" customWidth="1"/>
    <col min="10" max="16384" width="9.140625" style="240"/>
  </cols>
  <sheetData>
    <row r="1" spans="1:9" s="238" customFormat="1" ht="12.75" x14ac:dyDescent="0.2">
      <c r="A1" s="299" t="s">
        <v>127</v>
      </c>
      <c r="B1" s="299"/>
      <c r="C1" s="299"/>
      <c r="D1" s="299"/>
      <c r="E1" s="299"/>
      <c r="F1" s="299"/>
      <c r="G1" s="237"/>
      <c r="H1" s="237"/>
      <c r="I1" s="237"/>
    </row>
    <row r="2" spans="1:9" ht="12.75" x14ac:dyDescent="0.2">
      <c r="A2" s="305">
        <v>2016</v>
      </c>
      <c r="B2" s="305"/>
      <c r="C2" s="305"/>
      <c r="D2" s="305"/>
      <c r="E2" s="305"/>
      <c r="F2" s="305"/>
      <c r="G2" s="239"/>
      <c r="H2" s="239"/>
      <c r="I2" s="239"/>
    </row>
    <row r="3" spans="1:9" x14ac:dyDescent="0.2">
      <c r="A3" s="241"/>
      <c r="B3" s="24"/>
      <c r="C3" s="24"/>
      <c r="D3" s="24"/>
      <c r="E3" s="24"/>
      <c r="F3" s="24"/>
      <c r="G3" s="24"/>
      <c r="H3" s="24"/>
      <c r="I3" s="24"/>
    </row>
    <row r="4" spans="1:9" x14ac:dyDescent="0.2">
      <c r="A4" s="241"/>
      <c r="B4" s="301" t="s">
        <v>29</v>
      </c>
      <c r="C4" s="301"/>
      <c r="D4" s="301"/>
      <c r="E4" s="301"/>
      <c r="F4" s="40"/>
      <c r="G4" s="24"/>
      <c r="H4" s="24"/>
      <c r="I4" s="24"/>
    </row>
    <row r="5" spans="1:9" s="242" customFormat="1" ht="32.25" x14ac:dyDescent="0.2">
      <c r="A5" s="281"/>
      <c r="B5" s="278">
        <f>DATE($A$2,3,31)</f>
        <v>42460</v>
      </c>
      <c r="C5" s="278">
        <f>DATE($A$2,6,30)</f>
        <v>42551</v>
      </c>
      <c r="D5" s="278">
        <f>DATE($A$2,9,30)</f>
        <v>42643</v>
      </c>
      <c r="E5" s="278">
        <f>DATE($A$2,12,31)</f>
        <v>42735</v>
      </c>
      <c r="F5" s="279" t="s">
        <v>0</v>
      </c>
      <c r="G5" s="279" t="s">
        <v>26</v>
      </c>
      <c r="H5" s="279" t="s">
        <v>28</v>
      </c>
      <c r="I5" s="279" t="s">
        <v>27</v>
      </c>
    </row>
    <row r="6" spans="1:9" s="238" customFormat="1" x14ac:dyDescent="0.2">
      <c r="A6" s="243"/>
      <c r="B6" s="42"/>
      <c r="C6" s="42"/>
      <c r="D6" s="42"/>
      <c r="E6" s="42"/>
      <c r="F6" s="21"/>
      <c r="G6" s="21"/>
      <c r="H6" s="21"/>
      <c r="I6" s="21"/>
    </row>
    <row r="7" spans="1:9" x14ac:dyDescent="0.2">
      <c r="A7" s="244" t="s">
        <v>42</v>
      </c>
      <c r="B7" s="38"/>
      <c r="C7" s="38"/>
      <c r="D7" s="38"/>
      <c r="E7" s="38"/>
      <c r="F7" s="39"/>
      <c r="G7" s="39"/>
      <c r="H7" s="39"/>
      <c r="I7" s="39"/>
    </row>
    <row r="8" spans="1:9" x14ac:dyDescent="0.2">
      <c r="A8" s="240" t="s">
        <v>30</v>
      </c>
      <c r="B8" s="24">
        <v>671684.15</v>
      </c>
      <c r="C8" s="24">
        <v>671684.15</v>
      </c>
      <c r="D8" s="24">
        <v>671684.15</v>
      </c>
      <c r="E8" s="24">
        <v>671684.15</v>
      </c>
      <c r="F8" s="50">
        <f>SUM(B8:E8)</f>
        <v>2686736.6</v>
      </c>
      <c r="G8" s="24">
        <v>13433683</v>
      </c>
      <c r="H8" s="24">
        <v>10075262.250000002</v>
      </c>
      <c r="I8" s="73">
        <f>G8-H8</f>
        <v>3358420.7499999981</v>
      </c>
    </row>
    <row r="9" spans="1:9" x14ac:dyDescent="0.2">
      <c r="A9" s="240" t="s">
        <v>31</v>
      </c>
      <c r="B9" s="24">
        <v>65449.006296564781</v>
      </c>
      <c r="C9" s="24">
        <v>62766.644607641319</v>
      </c>
      <c r="D9" s="24">
        <v>57793.564435722488</v>
      </c>
      <c r="E9" s="24">
        <v>51748.065283812706</v>
      </c>
      <c r="F9" s="50">
        <f>SUM(B9:E9)</f>
        <v>237757.28062374127</v>
      </c>
    </row>
    <row r="10" spans="1:9" x14ac:dyDescent="0.2">
      <c r="A10" s="240" t="s">
        <v>32</v>
      </c>
      <c r="B10" s="24">
        <v>0</v>
      </c>
      <c r="C10" s="24">
        <v>0</v>
      </c>
      <c r="D10" s="24">
        <v>0</v>
      </c>
      <c r="E10" s="24">
        <v>0</v>
      </c>
      <c r="F10" s="50">
        <f>SUM(B10:E10)</f>
        <v>0</v>
      </c>
    </row>
    <row r="11" spans="1:9" x14ac:dyDescent="0.2">
      <c r="A11" s="241"/>
      <c r="B11" s="24"/>
      <c r="C11" s="24"/>
      <c r="D11" s="24"/>
      <c r="E11" s="24"/>
      <c r="F11" s="50"/>
      <c r="G11" s="24"/>
      <c r="H11" s="24"/>
      <c r="I11" s="24"/>
    </row>
    <row r="12" spans="1:9" x14ac:dyDescent="0.2">
      <c r="A12" s="244" t="s">
        <v>39</v>
      </c>
      <c r="B12" s="38"/>
      <c r="C12" s="38"/>
      <c r="D12" s="38"/>
      <c r="E12" s="38"/>
      <c r="F12" s="39"/>
      <c r="G12" s="39"/>
      <c r="H12" s="39"/>
      <c r="I12" s="39"/>
    </row>
    <row r="13" spans="1:9" x14ac:dyDescent="0.2">
      <c r="A13" s="240" t="s">
        <v>30</v>
      </c>
      <c r="B13" s="24">
        <v>894591.65</v>
      </c>
      <c r="C13" s="24">
        <v>894591.65</v>
      </c>
      <c r="D13" s="24">
        <v>894591.65</v>
      </c>
      <c r="E13" s="24">
        <v>894591.65</v>
      </c>
      <c r="F13" s="50">
        <f>SUM(B13:E13)</f>
        <v>3578366.6</v>
      </c>
      <c r="G13" s="24">
        <v>17891833</v>
      </c>
      <c r="H13" s="24">
        <v>12524283.100000003</v>
      </c>
      <c r="I13" s="73">
        <f>G13-H13</f>
        <v>5367549.8999999966</v>
      </c>
    </row>
    <row r="14" spans="1:9" x14ac:dyDescent="0.2">
      <c r="A14" s="240" t="s">
        <v>31</v>
      </c>
      <c r="B14" s="24">
        <v>94410.334852823289</v>
      </c>
      <c r="C14" s="24">
        <v>91316.133104851702</v>
      </c>
      <c r="D14" s="24">
        <v>84872.212948725413</v>
      </c>
      <c r="E14" s="24">
        <v>76821.688038844615</v>
      </c>
      <c r="F14" s="50">
        <f>SUM(B14:E14)</f>
        <v>347420.36894524505</v>
      </c>
    </row>
    <row r="15" spans="1:9" x14ac:dyDescent="0.2">
      <c r="A15" s="240" t="s">
        <v>32</v>
      </c>
      <c r="B15" s="24">
        <v>0</v>
      </c>
      <c r="C15" s="24">
        <v>0</v>
      </c>
      <c r="D15" s="24">
        <v>0</v>
      </c>
      <c r="E15" s="24">
        <v>0</v>
      </c>
      <c r="F15" s="50">
        <f>SUM(B15:E15)</f>
        <v>0</v>
      </c>
    </row>
    <row r="16" spans="1:9" x14ac:dyDescent="0.2">
      <c r="A16" s="241"/>
      <c r="B16" s="24"/>
      <c r="C16" s="24"/>
      <c r="D16" s="24"/>
      <c r="E16" s="24"/>
      <c r="F16" s="50"/>
      <c r="G16" s="24"/>
      <c r="H16" s="24"/>
      <c r="I16" s="24"/>
    </row>
    <row r="17" spans="1:9" x14ac:dyDescent="0.2">
      <c r="A17" s="244" t="s">
        <v>40</v>
      </c>
      <c r="B17" s="38"/>
      <c r="C17" s="38"/>
      <c r="D17" s="38"/>
      <c r="E17" s="38"/>
      <c r="F17" s="39"/>
      <c r="G17" s="39"/>
      <c r="H17" s="39"/>
      <c r="I17" s="39"/>
    </row>
    <row r="18" spans="1:9" x14ac:dyDescent="0.2">
      <c r="A18" s="240" t="s">
        <v>30</v>
      </c>
      <c r="B18" s="24">
        <v>182500</v>
      </c>
      <c r="C18" s="24">
        <v>182500</v>
      </c>
      <c r="D18" s="24">
        <v>182500</v>
      </c>
      <c r="E18" s="24">
        <v>182500</v>
      </c>
      <c r="F18" s="50">
        <f>SUM(B18:E18)</f>
        <v>730000</v>
      </c>
      <c r="G18" s="24">
        <v>3650000</v>
      </c>
      <c r="H18" s="24">
        <v>2737500</v>
      </c>
      <c r="I18" s="73">
        <f>G18-H18</f>
        <v>912500</v>
      </c>
    </row>
    <row r="19" spans="1:9" x14ac:dyDescent="0.2">
      <c r="A19" s="240" t="s">
        <v>31</v>
      </c>
      <c r="B19" s="24">
        <v>22926.223200062072</v>
      </c>
      <c r="C19" s="24">
        <v>22178.695529782657</v>
      </c>
      <c r="D19" s="24">
        <v>20792.784356662953</v>
      </c>
      <c r="E19" s="24">
        <v>19108.008617669657</v>
      </c>
      <c r="F19" s="50">
        <f>SUM(B19:E19)</f>
        <v>85005.711704177345</v>
      </c>
    </row>
    <row r="20" spans="1:9" x14ac:dyDescent="0.2">
      <c r="A20" s="240" t="s">
        <v>32</v>
      </c>
      <c r="B20" s="24">
        <v>1516.970979648836</v>
      </c>
      <c r="C20" s="24">
        <v>1475.0617513576256</v>
      </c>
      <c r="D20" s="24">
        <v>1397.3623295771554</v>
      </c>
      <c r="E20" s="24">
        <v>1302.9074299497336</v>
      </c>
      <c r="F20" s="50">
        <f>SUM(B20:E20)</f>
        <v>5692.3024905333496</v>
      </c>
    </row>
    <row r="21" spans="1:9" x14ac:dyDescent="0.2">
      <c r="A21" s="241"/>
      <c r="B21" s="24"/>
      <c r="C21" s="24"/>
      <c r="D21" s="24"/>
      <c r="E21" s="24"/>
      <c r="F21" s="24"/>
      <c r="G21" s="24"/>
      <c r="H21" s="24"/>
      <c r="I21" s="24"/>
    </row>
    <row r="22" spans="1:9" x14ac:dyDescent="0.2">
      <c r="A22" s="244" t="s">
        <v>41</v>
      </c>
      <c r="B22" s="38"/>
      <c r="C22" s="38"/>
      <c r="D22" s="38"/>
      <c r="E22" s="38"/>
      <c r="F22" s="39"/>
      <c r="G22" s="39"/>
      <c r="H22" s="39"/>
      <c r="I22" s="39"/>
    </row>
    <row r="23" spans="1:9" x14ac:dyDescent="0.2">
      <c r="A23" s="240" t="s">
        <v>30</v>
      </c>
      <c r="B23" s="24">
        <v>278386</v>
      </c>
      <c r="C23" s="24">
        <v>278386</v>
      </c>
      <c r="D23" s="24">
        <v>278386</v>
      </c>
      <c r="E23" s="24">
        <v>278386</v>
      </c>
      <c r="F23" s="50">
        <f>SUM(B23:E23)</f>
        <v>1113544</v>
      </c>
      <c r="G23" s="24">
        <v>5567720</v>
      </c>
      <c r="H23" s="24">
        <v>2505474</v>
      </c>
      <c r="I23" s="73">
        <f>G23-H23</f>
        <v>3062246</v>
      </c>
    </row>
    <row r="24" spans="1:9" x14ac:dyDescent="0.2">
      <c r="A24" s="240" t="s">
        <v>31</v>
      </c>
      <c r="B24" s="24">
        <v>45446.71295967458</v>
      </c>
      <c r="C24" s="24">
        <v>45224.097081454893</v>
      </c>
      <c r="D24" s="24">
        <v>43471.894685145147</v>
      </c>
      <c r="E24" s="24">
        <v>40930.869772463921</v>
      </c>
      <c r="F24" s="50">
        <f>SUM(B24:E24)</f>
        <v>175073.57449873854</v>
      </c>
    </row>
    <row r="25" spans="1:9" x14ac:dyDescent="0.2">
      <c r="A25" s="240" t="s">
        <v>32</v>
      </c>
      <c r="B25" s="24">
        <v>0</v>
      </c>
      <c r="C25" s="24">
        <v>0</v>
      </c>
      <c r="D25" s="24">
        <v>0</v>
      </c>
      <c r="E25" s="24">
        <v>0</v>
      </c>
      <c r="F25" s="50">
        <f>SUM(B25:E25)</f>
        <v>0</v>
      </c>
    </row>
    <row r="26" spans="1:9" x14ac:dyDescent="0.2">
      <c r="A26" s="241"/>
      <c r="B26" s="24"/>
      <c r="C26" s="24"/>
      <c r="D26" s="24"/>
      <c r="E26" s="24"/>
      <c r="F26" s="50"/>
      <c r="G26" s="24"/>
      <c r="H26" s="24"/>
      <c r="I26" s="24"/>
    </row>
    <row r="27" spans="1:9" x14ac:dyDescent="0.2">
      <c r="A27" s="244" t="s">
        <v>33</v>
      </c>
      <c r="B27" s="38"/>
      <c r="C27" s="38"/>
      <c r="D27" s="38"/>
      <c r="E27" s="38"/>
      <c r="F27" s="39"/>
      <c r="G27" s="39"/>
      <c r="H27" s="39"/>
      <c r="I27" s="39"/>
    </row>
    <row r="28" spans="1:9" x14ac:dyDescent="0.2">
      <c r="A28" s="240" t="s">
        <v>30</v>
      </c>
      <c r="B28" s="24">
        <v>459750</v>
      </c>
      <c r="C28" s="24">
        <v>459750</v>
      </c>
      <c r="D28" s="24">
        <v>459750</v>
      </c>
      <c r="E28" s="24">
        <v>459750</v>
      </c>
      <c r="F28" s="50">
        <f>SUM(B28:E28)</f>
        <v>1839000</v>
      </c>
      <c r="G28" s="24">
        <v>9195000</v>
      </c>
      <c r="H28" s="24">
        <v>7356000</v>
      </c>
      <c r="I28" s="73">
        <f>G28-H28</f>
        <v>1839000</v>
      </c>
    </row>
    <row r="29" spans="1:9" x14ac:dyDescent="0.2">
      <c r="A29" s="240" t="s">
        <v>31</v>
      </c>
      <c r="B29" s="24">
        <v>35526.844651178355</v>
      </c>
      <c r="C29" s="24">
        <v>33467.999932793158</v>
      </c>
      <c r="D29" s="24">
        <v>30010.49320174523</v>
      </c>
      <c r="E29" s="24">
        <v>25917.716319907748</v>
      </c>
      <c r="F29" s="50">
        <f>SUM(B29:E29)</f>
        <v>124923.0541056245</v>
      </c>
    </row>
    <row r="30" spans="1:9" x14ac:dyDescent="0.2">
      <c r="A30" s="240" t="s">
        <v>32</v>
      </c>
      <c r="B30" s="24">
        <v>0</v>
      </c>
      <c r="C30" s="24">
        <v>0</v>
      </c>
      <c r="D30" s="24">
        <v>0</v>
      </c>
      <c r="E30" s="24">
        <v>0</v>
      </c>
      <c r="F30" s="50">
        <f>SUM(B30:E30)</f>
        <v>0</v>
      </c>
    </row>
    <row r="31" spans="1:9" x14ac:dyDescent="0.2">
      <c r="A31" s="241"/>
      <c r="B31" s="24"/>
      <c r="C31" s="24"/>
      <c r="D31" s="24"/>
      <c r="E31" s="24"/>
      <c r="F31" s="50"/>
      <c r="G31" s="24"/>
      <c r="H31" s="24"/>
      <c r="I31" s="24"/>
    </row>
    <row r="32" spans="1:9" x14ac:dyDescent="0.2">
      <c r="A32" s="244" t="s">
        <v>21</v>
      </c>
      <c r="B32" s="38"/>
      <c r="C32" s="38"/>
      <c r="D32" s="38"/>
      <c r="E32" s="38"/>
      <c r="F32" s="39"/>
      <c r="G32" s="39"/>
      <c r="H32" s="39"/>
      <c r="I32" s="39"/>
    </row>
    <row r="33" spans="1:9" x14ac:dyDescent="0.2">
      <c r="A33" s="240" t="s">
        <v>30</v>
      </c>
      <c r="B33" s="24">
        <v>37319.25</v>
      </c>
      <c r="C33" s="24">
        <v>37319.25</v>
      </c>
      <c r="D33" s="24">
        <v>37319.25</v>
      </c>
      <c r="E33" s="24">
        <v>37319.25</v>
      </c>
      <c r="F33" s="50">
        <f>SUM(B33:E33)</f>
        <v>149277</v>
      </c>
      <c r="G33" s="24">
        <v>746385</v>
      </c>
      <c r="H33" s="24">
        <v>485150.25</v>
      </c>
      <c r="I33" s="73">
        <f>G33-H33</f>
        <v>261234.75</v>
      </c>
    </row>
    <row r="34" spans="1:9" x14ac:dyDescent="0.2">
      <c r="A34" s="240" t="s">
        <v>31</v>
      </c>
      <c r="B34" s="24">
        <v>5708.8489857754321</v>
      </c>
      <c r="C34" s="24">
        <v>5617.1748821304282</v>
      </c>
      <c r="D34" s="24">
        <v>5356.2562794484966</v>
      </c>
      <c r="E34" s="24">
        <v>5011.1655455966029</v>
      </c>
      <c r="F34" s="50">
        <f>SUM(B34:E34)</f>
        <v>21693.445692950962</v>
      </c>
    </row>
    <row r="35" spans="1:9" x14ac:dyDescent="0.2">
      <c r="A35" s="240" t="s">
        <v>32</v>
      </c>
      <c r="B35" s="24">
        <v>0</v>
      </c>
      <c r="C35" s="24">
        <v>0</v>
      </c>
      <c r="D35" s="24">
        <v>0</v>
      </c>
      <c r="E35" s="24">
        <v>0</v>
      </c>
      <c r="F35" s="50">
        <f>SUM(B35:E35)</f>
        <v>0</v>
      </c>
    </row>
    <row r="36" spans="1:9" x14ac:dyDescent="0.2">
      <c r="A36" s="241"/>
      <c r="B36" s="24"/>
      <c r="C36" s="24"/>
      <c r="D36" s="24"/>
      <c r="E36" s="24"/>
      <c r="F36" s="50"/>
      <c r="G36" s="24"/>
      <c r="H36" s="24"/>
      <c r="I36" s="24"/>
    </row>
    <row r="37" spans="1:9" x14ac:dyDescent="0.2">
      <c r="A37" s="244" t="s">
        <v>43</v>
      </c>
      <c r="B37" s="38"/>
      <c r="C37" s="38"/>
      <c r="D37" s="38"/>
      <c r="E37" s="38"/>
      <c r="F37" s="39"/>
      <c r="G37" s="39"/>
      <c r="H37" s="39"/>
      <c r="I37" s="39"/>
    </row>
    <row r="38" spans="1:9" x14ac:dyDescent="0.2">
      <c r="A38" s="240" t="s">
        <v>30</v>
      </c>
      <c r="B38" s="24">
        <v>56750</v>
      </c>
      <c r="C38" s="24">
        <v>56750</v>
      </c>
      <c r="D38" s="24">
        <v>56750</v>
      </c>
      <c r="E38" s="24">
        <v>56750</v>
      </c>
      <c r="F38" s="50">
        <f>SUM(B38:E38)</f>
        <v>227000</v>
      </c>
      <c r="G38" s="24">
        <v>1135000</v>
      </c>
      <c r="H38" s="24">
        <v>510750</v>
      </c>
      <c r="I38" s="73">
        <f>G38-H38</f>
        <v>624250</v>
      </c>
    </row>
    <row r="39" spans="1:9" x14ac:dyDescent="0.2">
      <c r="A39" s="240" t="s">
        <v>31</v>
      </c>
      <c r="B39" s="24">
        <v>7190.2175525979665</v>
      </c>
      <c r="C39" s="24">
        <v>7146.2624266505709</v>
      </c>
      <c r="D39" s="24">
        <v>6800.2930482259144</v>
      </c>
      <c r="E39" s="24">
        <v>6298.5720076353009</v>
      </c>
      <c r="F39" s="50">
        <f>SUM(B39:E39)</f>
        <v>27435.345035109756</v>
      </c>
      <c r="G39" s="48"/>
    </row>
    <row r="40" spans="1:9" x14ac:dyDescent="0.2">
      <c r="A40" s="240" t="s">
        <v>32</v>
      </c>
      <c r="B40" s="24">
        <v>0</v>
      </c>
      <c r="C40" s="24">
        <v>0</v>
      </c>
      <c r="D40" s="24">
        <v>0</v>
      </c>
      <c r="E40" s="24">
        <v>0</v>
      </c>
      <c r="F40" s="50">
        <f>SUM(B40:E40)</f>
        <v>0</v>
      </c>
    </row>
    <row r="41" spans="1:9" x14ac:dyDescent="0.2">
      <c r="A41" s="241"/>
      <c r="B41" s="24"/>
      <c r="C41" s="24"/>
      <c r="D41" s="24"/>
      <c r="E41" s="24"/>
      <c r="F41" s="50"/>
      <c r="G41" s="24"/>
      <c r="H41" s="24"/>
      <c r="I41" s="24"/>
    </row>
    <row r="42" spans="1:9" x14ac:dyDescent="0.2">
      <c r="A42" s="244" t="s">
        <v>18</v>
      </c>
      <c r="B42" s="38"/>
      <c r="C42" s="38"/>
      <c r="D42" s="38"/>
      <c r="E42" s="38"/>
      <c r="F42" s="39"/>
      <c r="G42" s="39"/>
      <c r="H42" s="39"/>
      <c r="I42" s="39"/>
    </row>
    <row r="43" spans="1:9" x14ac:dyDescent="0.2">
      <c r="A43" s="240" t="s">
        <v>30</v>
      </c>
      <c r="B43" s="24">
        <v>29050</v>
      </c>
      <c r="C43" s="24">
        <v>29050</v>
      </c>
      <c r="D43" s="24">
        <v>29050</v>
      </c>
      <c r="E43" s="24">
        <v>29050</v>
      </c>
      <c r="F43" s="50">
        <f>SUM(B43:E43)</f>
        <v>116200</v>
      </c>
      <c r="G43" s="24">
        <v>581000</v>
      </c>
      <c r="H43" s="24">
        <v>261450</v>
      </c>
      <c r="I43" s="73">
        <f>G43-H43</f>
        <v>319550</v>
      </c>
    </row>
    <row r="44" spans="1:9" x14ac:dyDescent="0.2">
      <c r="A44" s="240" t="s">
        <v>31</v>
      </c>
      <c r="B44" s="24">
        <v>3674.8308509361677</v>
      </c>
      <c r="C44" s="24">
        <v>3652.3344610783001</v>
      </c>
      <c r="D44" s="24">
        <v>3475.2661021970221</v>
      </c>
      <c r="E44" s="24">
        <v>3218.4834884347647</v>
      </c>
      <c r="F44" s="50">
        <f>SUM(B44:E44)</f>
        <v>14020.914902646255</v>
      </c>
    </row>
    <row r="45" spans="1:9" x14ac:dyDescent="0.2">
      <c r="A45" s="240" t="s">
        <v>32</v>
      </c>
      <c r="B45" s="24">
        <v>0</v>
      </c>
      <c r="C45" s="24">
        <v>0</v>
      </c>
      <c r="D45" s="24">
        <v>0</v>
      </c>
      <c r="E45" s="24">
        <v>0</v>
      </c>
      <c r="F45" s="50">
        <f>SUM(B45:E45)</f>
        <v>0</v>
      </c>
    </row>
    <row r="46" spans="1:9" x14ac:dyDescent="0.2">
      <c r="A46" s="241"/>
      <c r="B46" s="24"/>
      <c r="C46" s="24"/>
      <c r="D46" s="24"/>
      <c r="E46" s="24"/>
      <c r="F46" s="50"/>
      <c r="G46" s="24"/>
      <c r="H46" s="24"/>
      <c r="I46" s="24"/>
    </row>
    <row r="47" spans="1:9" x14ac:dyDescent="0.2">
      <c r="A47" s="244" t="s">
        <v>128</v>
      </c>
      <c r="B47" s="38"/>
      <c r="C47" s="38"/>
      <c r="D47" s="38"/>
      <c r="E47" s="38"/>
      <c r="F47" s="39"/>
      <c r="G47" s="39"/>
      <c r="H47" s="39"/>
      <c r="I47" s="39"/>
    </row>
    <row r="48" spans="1:9" x14ac:dyDescent="0.2">
      <c r="A48" s="240" t="s">
        <v>30</v>
      </c>
      <c r="B48" s="24">
        <v>63310.05</v>
      </c>
      <c r="C48" s="24">
        <v>63310.05</v>
      </c>
      <c r="D48" s="24">
        <v>63310.05</v>
      </c>
      <c r="E48" s="24">
        <v>63310.05</v>
      </c>
      <c r="F48" s="50">
        <f>SUM(B48:E48)</f>
        <v>253240.2</v>
      </c>
      <c r="G48" s="24">
        <v>1266201</v>
      </c>
      <c r="H48" s="24">
        <v>569790.44999999995</v>
      </c>
      <c r="I48" s="73">
        <f>G48-H48</f>
        <v>696410.55</v>
      </c>
    </row>
    <row r="49" spans="1:9" x14ac:dyDescent="0.2">
      <c r="A49" s="240" t="s">
        <v>31</v>
      </c>
      <c r="B49" s="24">
        <v>7945.5293237893302</v>
      </c>
      <c r="C49" s="24">
        <v>7896.5453183618329</v>
      </c>
      <c r="D49" s="24">
        <v>7510.9937917712168</v>
      </c>
      <c r="E49" s="24">
        <v>6951.8711491744843</v>
      </c>
      <c r="F49" s="50">
        <f>SUM(B49:E49)</f>
        <v>30304.939583096864</v>
      </c>
      <c r="G49" s="48"/>
    </row>
    <row r="50" spans="1:9" x14ac:dyDescent="0.2">
      <c r="A50" s="240" t="s">
        <v>32</v>
      </c>
      <c r="B50" s="24">
        <v>0</v>
      </c>
      <c r="C50" s="24">
        <v>0</v>
      </c>
      <c r="D50" s="24">
        <v>0</v>
      </c>
      <c r="E50" s="24">
        <v>0</v>
      </c>
      <c r="F50" s="50">
        <f>SUM(B50:E50)</f>
        <v>0</v>
      </c>
    </row>
    <row r="51" spans="1:9" x14ac:dyDescent="0.2">
      <c r="A51" s="241"/>
      <c r="B51" s="24"/>
      <c r="C51" s="24"/>
      <c r="D51" s="24"/>
      <c r="E51" s="24"/>
      <c r="F51" s="50"/>
      <c r="G51" s="24"/>
      <c r="H51" s="24"/>
      <c r="I51" s="24"/>
    </row>
    <row r="52" spans="1:9" x14ac:dyDescent="0.2">
      <c r="A52" s="244" t="s">
        <v>47</v>
      </c>
      <c r="B52" s="38"/>
      <c r="C52" s="38"/>
      <c r="D52" s="38"/>
      <c r="E52" s="38"/>
      <c r="F52" s="39"/>
      <c r="G52" s="39"/>
      <c r="H52" s="39"/>
      <c r="I52" s="39"/>
    </row>
    <row r="53" spans="1:9" x14ac:dyDescent="0.2">
      <c r="A53" s="240" t="s">
        <v>30</v>
      </c>
      <c r="B53" s="24">
        <v>763000</v>
      </c>
      <c r="C53" s="24">
        <v>190750</v>
      </c>
      <c r="D53" s="24">
        <v>-235250</v>
      </c>
      <c r="E53" s="24">
        <v>119750</v>
      </c>
      <c r="F53" s="50">
        <f>SUM(B53:E53)</f>
        <v>838250</v>
      </c>
      <c r="G53" s="24">
        <v>2395000</v>
      </c>
      <c r="H53" s="24">
        <v>838250</v>
      </c>
      <c r="I53" s="73">
        <f>G53-H53</f>
        <v>1556750</v>
      </c>
    </row>
    <row r="54" spans="1:9" x14ac:dyDescent="0.2">
      <c r="A54" s="240" t="s">
        <v>31</v>
      </c>
      <c r="B54" s="24">
        <v>107270.08600968728</v>
      </c>
      <c r="C54" s="24">
        <v>30041.877026164937</v>
      </c>
      <c r="D54" s="24">
        <v>28940.191431864092</v>
      </c>
      <c r="E54" s="24">
        <v>18487.699913440891</v>
      </c>
      <c r="F54" s="50">
        <f>SUM(B54:E54)</f>
        <v>184739.85438115717</v>
      </c>
    </row>
    <row r="55" spans="1:9" x14ac:dyDescent="0.2">
      <c r="A55" s="240" t="s">
        <v>32</v>
      </c>
      <c r="B55" s="24">
        <v>0</v>
      </c>
      <c r="C55" s="24">
        <v>0</v>
      </c>
      <c r="D55" s="24">
        <v>0</v>
      </c>
      <c r="E55" s="24">
        <v>0</v>
      </c>
      <c r="F55" s="50">
        <f>SUM(B55:E55)</f>
        <v>0</v>
      </c>
    </row>
    <row r="56" spans="1:9" x14ac:dyDescent="0.2">
      <c r="A56" s="241"/>
      <c r="B56" s="24"/>
      <c r="C56" s="24"/>
      <c r="D56" s="24"/>
      <c r="E56" s="24"/>
      <c r="F56" s="50"/>
      <c r="G56" s="24"/>
      <c r="H56" s="24"/>
      <c r="I56" s="24"/>
    </row>
    <row r="57" spans="1:9" x14ac:dyDescent="0.2">
      <c r="A57" s="244" t="s">
        <v>46</v>
      </c>
      <c r="B57" s="38"/>
      <c r="C57" s="38"/>
      <c r="D57" s="38"/>
      <c r="E57" s="38"/>
      <c r="F57" s="39"/>
      <c r="G57" s="39"/>
      <c r="H57" s="39"/>
      <c r="I57" s="39"/>
    </row>
    <row r="58" spans="1:9" x14ac:dyDescent="0.2">
      <c r="A58" s="240" t="s">
        <v>30</v>
      </c>
      <c r="B58" s="24">
        <v>0</v>
      </c>
      <c r="C58" s="24">
        <v>0</v>
      </c>
      <c r="D58" s="24">
        <v>3010.6</v>
      </c>
      <c r="E58" s="24">
        <v>752.65</v>
      </c>
      <c r="F58" s="50">
        <f>SUM(B58:E58)</f>
        <v>3763.25</v>
      </c>
      <c r="G58" s="24">
        <v>15053</v>
      </c>
      <c r="H58" s="24">
        <v>3763.25</v>
      </c>
      <c r="I58" s="73">
        <f>G58-H58</f>
        <v>11289.75</v>
      </c>
    </row>
    <row r="59" spans="1:9" x14ac:dyDescent="0.2">
      <c r="A59" s="240" t="s">
        <v>31</v>
      </c>
      <c r="B59" s="24">
        <v>0</v>
      </c>
      <c r="C59" s="24">
        <v>0</v>
      </c>
      <c r="D59" s="24">
        <v>1594.844943545176</v>
      </c>
      <c r="E59" s="24">
        <v>109.15771460603341</v>
      </c>
      <c r="F59" s="50">
        <f>SUM(B59:E59)</f>
        <v>1704.0026581512093</v>
      </c>
      <c r="G59" s="74"/>
      <c r="H59" s="75"/>
      <c r="I59" s="75"/>
    </row>
    <row r="60" spans="1:9" x14ac:dyDescent="0.2">
      <c r="A60" s="240" t="s">
        <v>32</v>
      </c>
      <c r="B60" s="24">
        <v>0</v>
      </c>
      <c r="C60" s="24">
        <v>0</v>
      </c>
      <c r="D60" s="24">
        <v>0</v>
      </c>
      <c r="E60" s="24">
        <v>0</v>
      </c>
      <c r="F60" s="50">
        <f>SUM(B60:E60)</f>
        <v>0</v>
      </c>
    </row>
    <row r="61" spans="1:9" x14ac:dyDescent="0.2">
      <c r="A61" s="241"/>
      <c r="B61" s="24"/>
      <c r="C61" s="24"/>
      <c r="D61" s="24"/>
      <c r="E61" s="24"/>
      <c r="F61" s="50"/>
      <c r="G61" s="24"/>
      <c r="H61" s="24"/>
      <c r="I61" s="24"/>
    </row>
    <row r="62" spans="1:9" x14ac:dyDescent="0.2">
      <c r="A62" s="244" t="s">
        <v>107</v>
      </c>
      <c r="B62" s="38"/>
      <c r="C62" s="38"/>
      <c r="D62" s="38"/>
      <c r="E62" s="38"/>
      <c r="F62" s="39"/>
      <c r="G62" s="39"/>
      <c r="H62" s="39"/>
      <c r="I62" s="39"/>
    </row>
    <row r="63" spans="1:9" x14ac:dyDescent="0.2">
      <c r="A63" s="240" t="s">
        <v>30</v>
      </c>
      <c r="B63" s="24">
        <v>0</v>
      </c>
      <c r="C63" s="24">
        <v>0</v>
      </c>
      <c r="D63" s="24">
        <v>97265.1</v>
      </c>
      <c r="E63" s="24">
        <v>50549.994444444448</v>
      </c>
      <c r="F63" s="50">
        <f>SUM(B63:E63)</f>
        <v>147815.09444444446</v>
      </c>
      <c r="G63" s="24">
        <v>1021796</v>
      </c>
      <c r="H63" s="24">
        <v>147815.09444444446</v>
      </c>
      <c r="I63" s="73">
        <f>G63-H63</f>
        <v>873980.9055555556</v>
      </c>
    </row>
    <row r="64" spans="1:9" x14ac:dyDescent="0.2">
      <c r="A64" s="240" t="s">
        <v>31</v>
      </c>
      <c r="B64" s="24">
        <v>0</v>
      </c>
      <c r="C64" s="24">
        <v>0</v>
      </c>
      <c r="D64" s="24">
        <v>10209.627186468417</v>
      </c>
      <c r="E64" s="24">
        <v>8925.1678275128234</v>
      </c>
      <c r="F64" s="50">
        <f>SUM(B64:E64)</f>
        <v>19134.795013981238</v>
      </c>
      <c r="G64" s="74"/>
      <c r="H64" s="75"/>
      <c r="I64" s="75"/>
    </row>
    <row r="65" spans="1:9" x14ac:dyDescent="0.2">
      <c r="A65" s="240" t="s">
        <v>32</v>
      </c>
      <c r="B65" s="24">
        <v>0</v>
      </c>
      <c r="C65" s="24">
        <v>0</v>
      </c>
      <c r="D65" s="24">
        <v>0</v>
      </c>
      <c r="E65" s="24">
        <v>0</v>
      </c>
      <c r="F65" s="50">
        <f>SUM(B65:E65)</f>
        <v>0</v>
      </c>
    </row>
    <row r="66" spans="1:9" x14ac:dyDescent="0.2">
      <c r="A66" s="241"/>
      <c r="B66" s="24"/>
      <c r="C66" s="24"/>
      <c r="D66" s="24"/>
      <c r="E66" s="24"/>
      <c r="F66" s="24"/>
      <c r="G66" s="24"/>
      <c r="H66" s="24"/>
      <c r="I66" s="24"/>
    </row>
    <row r="67" spans="1:9" x14ac:dyDescent="0.2">
      <c r="A67" s="244" t="s">
        <v>108</v>
      </c>
      <c r="B67" s="38"/>
      <c r="C67" s="38"/>
      <c r="D67" s="38"/>
      <c r="E67" s="38"/>
      <c r="F67" s="39"/>
      <c r="G67" s="39"/>
      <c r="H67" s="39"/>
      <c r="I67" s="39"/>
    </row>
    <row r="68" spans="1:9" x14ac:dyDescent="0.2">
      <c r="A68" s="240" t="s">
        <v>30</v>
      </c>
      <c r="B68" s="24">
        <v>0</v>
      </c>
      <c r="C68" s="24">
        <v>0</v>
      </c>
      <c r="D68" s="24">
        <v>97265.1</v>
      </c>
      <c r="E68" s="24">
        <v>50549.994444444448</v>
      </c>
      <c r="F68" s="50">
        <f>SUM(B68:E68)</f>
        <v>147815.09444444446</v>
      </c>
      <c r="G68" s="24">
        <v>1021796</v>
      </c>
      <c r="H68" s="24">
        <v>147815.09444444446</v>
      </c>
      <c r="I68" s="73">
        <f>G68-H68</f>
        <v>873980.9055555556</v>
      </c>
    </row>
    <row r="69" spans="1:9" x14ac:dyDescent="0.2">
      <c r="A69" s="240" t="s">
        <v>31</v>
      </c>
      <c r="B69" s="24">
        <v>0</v>
      </c>
      <c r="C69" s="24">
        <v>0</v>
      </c>
      <c r="D69" s="24">
        <v>10209.627186468417</v>
      </c>
      <c r="E69" s="24">
        <v>8925.1678275128234</v>
      </c>
      <c r="F69" s="50">
        <f>SUM(B69:E69)</f>
        <v>19134.795013981238</v>
      </c>
      <c r="G69" s="74"/>
      <c r="H69" s="75"/>
      <c r="I69" s="75"/>
    </row>
    <row r="70" spans="1:9" x14ac:dyDescent="0.2">
      <c r="A70" s="240" t="s">
        <v>32</v>
      </c>
      <c r="B70" s="24">
        <v>0</v>
      </c>
      <c r="C70" s="24">
        <v>0</v>
      </c>
      <c r="D70" s="24">
        <v>0</v>
      </c>
      <c r="E70" s="24">
        <v>0</v>
      </c>
      <c r="F70" s="50">
        <f>SUM(B70:E70)</f>
        <v>0</v>
      </c>
    </row>
    <row r="71" spans="1:9" x14ac:dyDescent="0.2">
      <c r="A71" s="241"/>
      <c r="B71" s="24"/>
      <c r="C71" s="24"/>
      <c r="D71" s="24"/>
      <c r="E71" s="24"/>
      <c r="F71" s="50"/>
      <c r="G71" s="24"/>
      <c r="H71" s="24"/>
      <c r="I71" s="24"/>
    </row>
    <row r="72" spans="1:9" x14ac:dyDescent="0.2">
      <c r="A72" s="244" t="s">
        <v>109</v>
      </c>
      <c r="B72" s="38"/>
      <c r="C72" s="38"/>
      <c r="D72" s="38"/>
      <c r="E72" s="38"/>
      <c r="F72" s="39"/>
      <c r="G72" s="39"/>
      <c r="H72" s="39"/>
      <c r="I72" s="39"/>
    </row>
    <row r="73" spans="1:9" x14ac:dyDescent="0.2">
      <c r="A73" s="240" t="s">
        <v>30</v>
      </c>
      <c r="B73" s="24">
        <v>0</v>
      </c>
      <c r="C73" s="24">
        <v>0</v>
      </c>
      <c r="D73" s="24">
        <v>241000</v>
      </c>
      <c r="E73" s="24">
        <v>120500</v>
      </c>
      <c r="F73" s="50">
        <f>SUM(B73:E73)</f>
        <v>361500</v>
      </c>
      <c r="G73" s="24">
        <v>2410000</v>
      </c>
      <c r="H73" s="24">
        <v>361500</v>
      </c>
      <c r="I73" s="73">
        <f>G73-H73</f>
        <v>2048500</v>
      </c>
    </row>
    <row r="74" spans="1:9" x14ac:dyDescent="0.2">
      <c r="A74" s="240" t="s">
        <v>31</v>
      </c>
      <c r="B74" s="24">
        <v>0</v>
      </c>
      <c r="C74" s="24">
        <v>0</v>
      </c>
      <c r="D74" s="24">
        <v>33656.041956206725</v>
      </c>
      <c r="E74" s="24">
        <v>25815.107583044373</v>
      </c>
      <c r="F74" s="50">
        <f>SUM(B74:E74)</f>
        <v>59471.149539251099</v>
      </c>
      <c r="G74" s="74"/>
      <c r="H74" s="75"/>
      <c r="I74" s="75"/>
    </row>
    <row r="75" spans="1:9" x14ac:dyDescent="0.2">
      <c r="A75" s="240" t="s">
        <v>32</v>
      </c>
      <c r="B75" s="24">
        <v>0</v>
      </c>
      <c r="C75" s="24">
        <v>0</v>
      </c>
      <c r="D75" s="24">
        <v>0</v>
      </c>
      <c r="E75" s="24">
        <v>0</v>
      </c>
      <c r="F75" s="50">
        <f>SUM(B75:E75)</f>
        <v>0</v>
      </c>
    </row>
    <row r="76" spans="1:9" x14ac:dyDescent="0.2">
      <c r="B76" s="24"/>
      <c r="C76" s="24"/>
      <c r="D76" s="24"/>
      <c r="E76" s="24"/>
      <c r="F76" s="50"/>
    </row>
    <row r="77" spans="1:9" x14ac:dyDescent="0.2">
      <c r="A77" s="244" t="s">
        <v>112</v>
      </c>
      <c r="B77" s="38"/>
      <c r="C77" s="38"/>
      <c r="D77" s="38"/>
      <c r="E77" s="38"/>
      <c r="F77" s="39"/>
      <c r="G77" s="39"/>
      <c r="H77" s="39"/>
      <c r="I77" s="39"/>
    </row>
    <row r="78" spans="1:9" x14ac:dyDescent="0.2">
      <c r="A78" s="240" t="s">
        <v>30</v>
      </c>
      <c r="B78" s="24">
        <v>0</v>
      </c>
      <c r="C78" s="24">
        <v>0</v>
      </c>
      <c r="D78" s="24">
        <v>3166350</v>
      </c>
      <c r="E78" s="24">
        <v>3166350</v>
      </c>
      <c r="F78" s="50">
        <f>SUM(B78:E78)</f>
        <v>6332700</v>
      </c>
      <c r="G78" s="24">
        <v>63327000</v>
      </c>
      <c r="H78" s="24">
        <v>6332700</v>
      </c>
      <c r="I78" s="73">
        <f>G78-H78</f>
        <v>56994300</v>
      </c>
    </row>
    <row r="79" spans="1:9" x14ac:dyDescent="0.2">
      <c r="A79" s="240" t="s">
        <v>31</v>
      </c>
      <c r="B79" s="24">
        <v>0</v>
      </c>
      <c r="C79" s="24">
        <v>0</v>
      </c>
      <c r="D79" s="24">
        <v>101322.47635191314</v>
      </c>
      <c r="E79" s="24">
        <v>647541.60778144887</v>
      </c>
      <c r="F79" s="50">
        <f>SUM(B79:E79)</f>
        <v>748864.08413336205</v>
      </c>
      <c r="G79" s="74"/>
      <c r="H79" s="75"/>
      <c r="I79" s="75"/>
    </row>
    <row r="80" spans="1:9" x14ac:dyDescent="0.2">
      <c r="A80" s="240" t="s">
        <v>32</v>
      </c>
      <c r="B80" s="24">
        <v>0</v>
      </c>
      <c r="C80" s="24">
        <v>0</v>
      </c>
      <c r="D80" s="24">
        <v>0</v>
      </c>
      <c r="E80" s="24">
        <v>0</v>
      </c>
      <c r="F80" s="50">
        <f>SUM(B80:E80)</f>
        <v>0</v>
      </c>
    </row>
    <row r="81" spans="1:9" x14ac:dyDescent="0.2">
      <c r="B81" s="24"/>
      <c r="C81" s="24"/>
      <c r="D81" s="24"/>
      <c r="E81" s="24"/>
      <c r="F81" s="50"/>
    </row>
    <row r="82" spans="1:9" x14ac:dyDescent="0.2">
      <c r="A82" s="244" t="s">
        <v>113</v>
      </c>
      <c r="B82" s="38"/>
      <c r="C82" s="38"/>
      <c r="D82" s="38"/>
      <c r="E82" s="38"/>
      <c r="F82" s="39"/>
      <c r="G82" s="39"/>
      <c r="H82" s="39"/>
      <c r="I82" s="39"/>
    </row>
    <row r="83" spans="1:9" x14ac:dyDescent="0.2">
      <c r="A83" s="240" t="s">
        <v>30</v>
      </c>
      <c r="B83" s="24">
        <v>0</v>
      </c>
      <c r="C83" s="24">
        <v>0</v>
      </c>
      <c r="D83" s="24">
        <v>1974800</v>
      </c>
      <c r="E83" s="24">
        <v>1974800</v>
      </c>
      <c r="F83" s="50">
        <f>SUM(B83:E83)</f>
        <v>3949600</v>
      </c>
      <c r="G83" s="24">
        <v>39496000</v>
      </c>
      <c r="H83" s="24">
        <v>3949600</v>
      </c>
      <c r="I83" s="73">
        <f>G83-H83</f>
        <v>35546400</v>
      </c>
    </row>
    <row r="84" spans="1:9" x14ac:dyDescent="0.2">
      <c r="A84" s="240" t="s">
        <v>31</v>
      </c>
      <c r="B84" s="24">
        <v>0</v>
      </c>
      <c r="C84" s="24">
        <v>0</v>
      </c>
      <c r="D84" s="24">
        <v>81706.286910679744</v>
      </c>
      <c r="E84" s="24">
        <v>425468.7312636727</v>
      </c>
      <c r="F84" s="50">
        <f>SUM(B84:E84)</f>
        <v>507175.01817435247</v>
      </c>
      <c r="G84" s="74"/>
      <c r="H84" s="75"/>
      <c r="I84" s="75"/>
    </row>
    <row r="85" spans="1:9" x14ac:dyDescent="0.2">
      <c r="A85" s="240" t="s">
        <v>32</v>
      </c>
      <c r="B85" s="24">
        <v>0</v>
      </c>
      <c r="C85" s="24">
        <v>0</v>
      </c>
      <c r="D85" s="24">
        <v>0</v>
      </c>
      <c r="E85" s="24">
        <v>0</v>
      </c>
      <c r="F85" s="50">
        <f>SUM(B85:E85)</f>
        <v>0</v>
      </c>
    </row>
    <row r="86" spans="1:9" x14ac:dyDescent="0.2">
      <c r="B86" s="24"/>
      <c r="C86" s="24"/>
      <c r="D86" s="24"/>
      <c r="E86" s="24"/>
      <c r="F86" s="50"/>
    </row>
    <row r="87" spans="1:9" x14ac:dyDescent="0.2">
      <c r="A87" s="244" t="s">
        <v>51</v>
      </c>
      <c r="B87" s="38"/>
      <c r="C87" s="38"/>
      <c r="D87" s="38"/>
      <c r="E87" s="38"/>
      <c r="F87" s="39"/>
      <c r="G87" s="39"/>
      <c r="H87" s="39"/>
      <c r="I87" s="39"/>
    </row>
    <row r="88" spans="1:9" x14ac:dyDescent="0.2">
      <c r="A88" s="240" t="s">
        <v>30</v>
      </c>
      <c r="B88" s="24">
        <v>0</v>
      </c>
      <c r="C88" s="24">
        <v>0</v>
      </c>
      <c r="D88" s="24">
        <v>0</v>
      </c>
      <c r="E88" s="24">
        <v>285957.5</v>
      </c>
      <c r="F88" s="50">
        <f>SUM(B88:E88)</f>
        <v>285957.5</v>
      </c>
      <c r="G88" s="24">
        <v>5719150</v>
      </c>
      <c r="H88" s="24">
        <v>285957.5</v>
      </c>
      <c r="I88" s="73">
        <f>G88-H88</f>
        <v>5433192.5</v>
      </c>
    </row>
    <row r="89" spans="1:9" x14ac:dyDescent="0.2">
      <c r="A89" s="240" t="s">
        <v>31</v>
      </c>
      <c r="B89" s="24">
        <v>0</v>
      </c>
      <c r="C89" s="24">
        <v>0</v>
      </c>
      <c r="D89" s="24">
        <v>0</v>
      </c>
      <c r="E89" s="24">
        <v>6731.9002531291217</v>
      </c>
      <c r="F89" s="50">
        <f>SUM(B89:E89)</f>
        <v>6731.9002531291217</v>
      </c>
      <c r="G89" s="74"/>
      <c r="H89" s="75"/>
      <c r="I89" s="75"/>
    </row>
    <row r="90" spans="1:9" x14ac:dyDescent="0.2">
      <c r="A90" s="240" t="s">
        <v>32</v>
      </c>
      <c r="B90" s="24">
        <v>0</v>
      </c>
      <c r="C90" s="24">
        <v>0</v>
      </c>
      <c r="D90" s="24">
        <v>0</v>
      </c>
      <c r="E90" s="24">
        <v>0</v>
      </c>
      <c r="F90" s="50">
        <f>SUM(B90:E90)</f>
        <v>0</v>
      </c>
    </row>
    <row r="91" spans="1:9" x14ac:dyDescent="0.2">
      <c r="B91" s="24"/>
      <c r="C91" s="24"/>
      <c r="D91" s="24"/>
      <c r="E91" s="24"/>
      <c r="F91" s="50"/>
    </row>
    <row r="92" spans="1:9" x14ac:dyDescent="0.2">
      <c r="B92" s="24"/>
      <c r="C92" s="24"/>
      <c r="D92" s="24"/>
      <c r="E92" s="24"/>
      <c r="F92" s="50"/>
    </row>
    <row r="93" spans="1:9" x14ac:dyDescent="0.2">
      <c r="A93" s="245" t="str">
        <f>CONCATENATE(A2," Total")</f>
        <v>2016 Total</v>
      </c>
      <c r="B93" s="53"/>
      <c r="C93" s="53"/>
      <c r="D93" s="53"/>
      <c r="E93" s="53"/>
      <c r="F93" s="54"/>
      <c r="G93" s="280"/>
      <c r="H93" s="280"/>
      <c r="I93" s="280"/>
    </row>
    <row r="94" spans="1:9" x14ac:dyDescent="0.2">
      <c r="A94" s="246" t="s">
        <v>30</v>
      </c>
      <c r="B94" s="50">
        <f t="shared" ref="B94:E96" si="0">SUMPRODUCT((($A$6:$A$93)=$A94)*1,B$6:B$93)</f>
        <v>3436341.0999999996</v>
      </c>
      <c r="C94" s="50">
        <f t="shared" si="0"/>
        <v>2864091.0999999996</v>
      </c>
      <c r="D94" s="50">
        <f t="shared" si="0"/>
        <v>8017781.9000000004</v>
      </c>
      <c r="E94" s="50">
        <f t="shared" si="0"/>
        <v>8442551.2388888877</v>
      </c>
      <c r="F94" s="50">
        <f>SUM(B94:E94)</f>
        <v>22760765.338888887</v>
      </c>
      <c r="G94" s="50">
        <f>SUM(G5:G93)</f>
        <v>168872617</v>
      </c>
      <c r="H94" s="50">
        <f>SUM(H5:H93)</f>
        <v>49093060.988888904</v>
      </c>
      <c r="I94" s="50">
        <f>SUM(I5:I93)</f>
        <v>119779556.01111111</v>
      </c>
    </row>
    <row r="95" spans="1:9" x14ac:dyDescent="0.2">
      <c r="A95" s="246" t="s">
        <v>31</v>
      </c>
      <c r="B95" s="50">
        <f t="shared" si="0"/>
        <v>395548.63468308927</v>
      </c>
      <c r="C95" s="50">
        <f t="shared" si="0"/>
        <v>309307.76437090983</v>
      </c>
      <c r="D95" s="50">
        <f t="shared" si="0"/>
        <v>527722.85481678951</v>
      </c>
      <c r="E95" s="50">
        <f t="shared" si="0"/>
        <v>1378010.9803879075</v>
      </c>
      <c r="F95" s="50">
        <f>SUM(B95:E95)</f>
        <v>2610590.234258696</v>
      </c>
      <c r="G95" s="51"/>
      <c r="H95" s="51"/>
      <c r="I95" s="51"/>
    </row>
    <row r="96" spans="1:9" x14ac:dyDescent="0.2">
      <c r="A96" s="246" t="s">
        <v>32</v>
      </c>
      <c r="B96" s="50">
        <f t="shared" si="0"/>
        <v>1516.970979648836</v>
      </c>
      <c r="C96" s="50">
        <f t="shared" si="0"/>
        <v>1475.0617513576256</v>
      </c>
      <c r="D96" s="50">
        <f t="shared" si="0"/>
        <v>1397.3623295771554</v>
      </c>
      <c r="E96" s="50">
        <f t="shared" si="0"/>
        <v>1302.9074299497336</v>
      </c>
      <c r="F96" s="50">
        <f>SUM(B96:E96)</f>
        <v>5692.3024905333496</v>
      </c>
      <c r="G96" s="40"/>
      <c r="H96" s="51"/>
      <c r="I96" s="51"/>
    </row>
    <row r="98" spans="1:9" x14ac:dyDescent="0.2">
      <c r="A98" s="247" t="s">
        <v>12</v>
      </c>
      <c r="I98" s="77"/>
    </row>
    <row r="99" spans="1:9" x14ac:dyDescent="0.2">
      <c r="A99" s="248" t="s">
        <v>36</v>
      </c>
      <c r="I99" s="77"/>
    </row>
    <row r="100" spans="1:9" s="26" customFormat="1" x14ac:dyDescent="0.2">
      <c r="A100" s="306" t="s">
        <v>34</v>
      </c>
      <c r="B100" s="306"/>
      <c r="C100" s="306"/>
      <c r="D100" s="306"/>
      <c r="E100" s="306"/>
      <c r="F100" s="306"/>
      <c r="I100" s="75"/>
    </row>
    <row r="101" spans="1:9" s="26" customFormat="1" x14ac:dyDescent="0.2">
      <c r="A101" s="306" t="s">
        <v>44</v>
      </c>
      <c r="B101" s="306"/>
      <c r="C101" s="306"/>
      <c r="D101" s="306"/>
      <c r="E101" s="306"/>
      <c r="F101" s="306"/>
    </row>
    <row r="102" spans="1:9" s="26" customFormat="1" x14ac:dyDescent="0.2">
      <c r="A102" s="306" t="s">
        <v>35</v>
      </c>
      <c r="B102" s="306"/>
      <c r="C102" s="306"/>
      <c r="D102" s="306"/>
      <c r="E102" s="306"/>
      <c r="F102" s="306"/>
    </row>
    <row r="103" spans="1:9" s="26" customFormat="1" x14ac:dyDescent="0.2">
      <c r="A103" s="303" t="s">
        <v>45</v>
      </c>
      <c r="B103" s="303"/>
      <c r="C103" s="303"/>
      <c r="D103" s="303"/>
      <c r="E103" s="303"/>
      <c r="F103" s="303"/>
    </row>
    <row r="104" spans="1:9" s="26" customFormat="1" ht="21.75" customHeight="1" x14ac:dyDescent="0.2">
      <c r="A104" s="303"/>
      <c r="B104" s="303"/>
      <c r="C104" s="303"/>
      <c r="D104" s="303"/>
      <c r="E104" s="303"/>
      <c r="F104" s="303"/>
    </row>
    <row r="105" spans="1:9" s="26" customFormat="1" ht="11.25" customHeight="1" x14ac:dyDescent="0.2">
      <c r="A105" s="304" t="s">
        <v>37</v>
      </c>
      <c r="B105" s="304"/>
      <c r="C105" s="304"/>
      <c r="D105" s="304"/>
      <c r="E105" s="304"/>
      <c r="F105" s="304"/>
    </row>
    <row r="106" spans="1:9" s="26" customFormat="1" ht="27" customHeight="1" x14ac:dyDescent="0.2">
      <c r="A106" s="304"/>
      <c r="B106" s="304"/>
      <c r="C106" s="304"/>
      <c r="D106" s="304"/>
      <c r="E106" s="304"/>
      <c r="F106" s="304"/>
    </row>
    <row r="109" spans="1:9" x14ac:dyDescent="0.2">
      <c r="B109" s="24"/>
      <c r="C109" s="24"/>
      <c r="D109" s="24"/>
      <c r="E109" s="24"/>
      <c r="F109" s="50"/>
    </row>
  </sheetData>
  <mergeCells count="8">
    <mergeCell ref="A103:F104"/>
    <mergeCell ref="A105:F106"/>
    <mergeCell ref="A1:F1"/>
    <mergeCell ref="A2:F2"/>
    <mergeCell ref="B4:E4"/>
    <mergeCell ref="A100:F100"/>
    <mergeCell ref="A101:F101"/>
    <mergeCell ref="A102:F102"/>
  </mergeCells>
  <printOptions horizontalCentered="1"/>
  <pageMargins left="0.7" right="0.7" top="0.75" bottom="0.75" header="0.3" footer="0.3"/>
  <pageSetup scale="55" orientation="portrait" r:id="rId1"/>
  <headerFooter alignWithMargins="0">
    <oddHeader>&amp;RTO2019 Annual Update
Attachment 4
WP Schedule 22
Page &amp;P of &amp;N</oddHeader>
    <oddFooter>&amp;R&amp;A</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8"/>
  <sheetViews>
    <sheetView zoomScale="80" zoomScaleNormal="80" workbookViewId="0"/>
  </sheetViews>
  <sheetFormatPr defaultColWidth="9.140625" defaultRowHeight="12.75" x14ac:dyDescent="0.2"/>
  <cols>
    <col min="1" max="1" width="10.28515625" style="59" customWidth="1"/>
    <col min="2" max="2" width="13.5703125" style="59" customWidth="1"/>
    <col min="3" max="3" width="15.42578125" style="59" bestFit="1" customWidth="1"/>
    <col min="4" max="4" width="13.5703125" style="59" customWidth="1"/>
    <col min="5" max="5" width="12.42578125" style="59" customWidth="1"/>
    <col min="6" max="6" width="15.42578125" style="59" bestFit="1" customWidth="1"/>
    <col min="7" max="9" width="16.140625" style="59" customWidth="1"/>
    <col min="10" max="10" width="17.28515625" style="59" bestFit="1" customWidth="1"/>
    <col min="11" max="11" width="16.140625" style="59" customWidth="1"/>
    <col min="12" max="12" width="17.85546875" style="59" customWidth="1"/>
    <col min="13" max="14" width="16.140625" style="59" customWidth="1"/>
    <col min="15" max="15" width="17.28515625" style="59" customWidth="1"/>
    <col min="16" max="18" width="16.140625" style="59" customWidth="1"/>
    <col min="19" max="19" width="16" style="59" customWidth="1"/>
    <col min="20" max="16384" width="9.140625" style="59"/>
  </cols>
  <sheetData>
    <row r="1" spans="1:13" ht="38.25" x14ac:dyDescent="0.2">
      <c r="A1" s="190" t="s">
        <v>8</v>
      </c>
      <c r="B1" s="191" t="s">
        <v>88</v>
      </c>
      <c r="C1" s="190" t="s">
        <v>2</v>
      </c>
      <c r="D1" s="190" t="s">
        <v>1</v>
      </c>
      <c r="E1" s="191" t="s">
        <v>74</v>
      </c>
      <c r="F1" s="191" t="s">
        <v>48</v>
      </c>
      <c r="G1" s="249"/>
      <c r="H1" s="249"/>
      <c r="I1" s="249"/>
      <c r="J1" s="249"/>
      <c r="K1" s="249"/>
      <c r="L1" s="249"/>
      <c r="M1" s="249"/>
    </row>
    <row r="2" spans="1:13" ht="12.75" customHeight="1" x14ac:dyDescent="0.2">
      <c r="A2" s="195" t="s">
        <v>54</v>
      </c>
      <c r="B2" s="61">
        <v>41944</v>
      </c>
      <c r="C2" s="55">
        <v>3512</v>
      </c>
      <c r="D2" s="55">
        <v>0</v>
      </c>
      <c r="E2" s="55">
        <v>0</v>
      </c>
      <c r="F2" s="7">
        <f>SUM(C2:E2)</f>
        <v>3512</v>
      </c>
      <c r="G2" s="249"/>
      <c r="H2" s="249"/>
      <c r="I2" s="249"/>
      <c r="J2" s="249"/>
      <c r="K2" s="249"/>
      <c r="L2" s="249"/>
      <c r="M2" s="249"/>
    </row>
    <row r="3" spans="1:13" ht="12.75" customHeight="1" x14ac:dyDescent="0.2">
      <c r="A3" s="195" t="s">
        <v>55</v>
      </c>
      <c r="B3" s="61">
        <v>41974</v>
      </c>
      <c r="C3" s="55">
        <v>4208</v>
      </c>
      <c r="D3" s="55">
        <v>0</v>
      </c>
      <c r="E3" s="55">
        <v>0</v>
      </c>
      <c r="F3" s="7">
        <f t="shared" ref="F3:F25" si="0">SUM(C3:E3)</f>
        <v>4208</v>
      </c>
      <c r="G3" s="249"/>
      <c r="H3" s="249"/>
      <c r="I3" s="249"/>
      <c r="J3" s="249"/>
      <c r="K3" s="249"/>
      <c r="L3" s="249"/>
      <c r="M3" s="249"/>
    </row>
    <row r="4" spans="1:13" collapsed="1" x14ac:dyDescent="0.2">
      <c r="A4" s="195" t="s">
        <v>56</v>
      </c>
      <c r="B4" s="61">
        <v>42005</v>
      </c>
      <c r="C4" s="55">
        <v>5138</v>
      </c>
      <c r="D4" s="55">
        <v>0</v>
      </c>
      <c r="E4" s="55">
        <v>0</v>
      </c>
      <c r="F4" s="7">
        <f t="shared" si="0"/>
        <v>5138</v>
      </c>
      <c r="G4" s="249"/>
      <c r="H4" s="249"/>
      <c r="I4" s="249"/>
      <c r="J4" s="249"/>
      <c r="K4" s="249"/>
      <c r="L4" s="249"/>
      <c r="M4" s="249"/>
    </row>
    <row r="5" spans="1:13" x14ac:dyDescent="0.2">
      <c r="A5" s="195" t="s">
        <v>57</v>
      </c>
      <c r="B5" s="61">
        <v>42036</v>
      </c>
      <c r="C5" s="55">
        <v>6125</v>
      </c>
      <c r="D5" s="55">
        <v>0</v>
      </c>
      <c r="E5" s="55">
        <v>0</v>
      </c>
      <c r="F5" s="7">
        <f t="shared" si="0"/>
        <v>6125</v>
      </c>
      <c r="G5" s="249"/>
      <c r="H5" s="249"/>
      <c r="I5" s="249"/>
      <c r="J5" s="249"/>
      <c r="K5" s="249"/>
      <c r="L5" s="249"/>
      <c r="M5" s="249"/>
    </row>
    <row r="6" spans="1:13" ht="12.75" customHeight="1" x14ac:dyDescent="0.2">
      <c r="A6" s="195" t="s">
        <v>58</v>
      </c>
      <c r="B6" s="61">
        <v>42064</v>
      </c>
      <c r="C6" s="55">
        <v>7280</v>
      </c>
      <c r="D6" s="55">
        <v>0</v>
      </c>
      <c r="E6" s="55">
        <v>0</v>
      </c>
      <c r="F6" s="7">
        <f t="shared" si="0"/>
        <v>7280</v>
      </c>
      <c r="G6" s="249"/>
      <c r="H6" s="249"/>
      <c r="I6" s="249"/>
      <c r="J6" s="249"/>
      <c r="K6" s="249"/>
      <c r="L6" s="249"/>
      <c r="M6" s="249"/>
    </row>
    <row r="7" spans="1:13" x14ac:dyDescent="0.2">
      <c r="A7" s="195" t="s">
        <v>59</v>
      </c>
      <c r="B7" s="61">
        <v>42095</v>
      </c>
      <c r="C7" s="55">
        <v>8621</v>
      </c>
      <c r="D7" s="55">
        <v>0</v>
      </c>
      <c r="E7" s="55">
        <v>0</v>
      </c>
      <c r="F7" s="7">
        <f t="shared" si="0"/>
        <v>8621</v>
      </c>
      <c r="G7" s="249"/>
      <c r="H7" s="249"/>
      <c r="I7" s="249"/>
      <c r="J7" s="249"/>
      <c r="K7" s="249"/>
      <c r="L7" s="249"/>
      <c r="M7" s="249"/>
    </row>
    <row r="8" spans="1:13" x14ac:dyDescent="0.2">
      <c r="A8" s="195" t="s">
        <v>60</v>
      </c>
      <c r="B8" s="61">
        <v>42125</v>
      </c>
      <c r="C8" s="55">
        <v>10164</v>
      </c>
      <c r="D8" s="55">
        <v>0</v>
      </c>
      <c r="E8" s="55">
        <v>0</v>
      </c>
      <c r="F8" s="7">
        <f t="shared" si="0"/>
        <v>10164</v>
      </c>
      <c r="G8" s="249"/>
      <c r="H8" s="249"/>
      <c r="I8" s="249"/>
      <c r="J8" s="249"/>
      <c r="K8" s="249"/>
      <c r="L8" s="249"/>
      <c r="M8" s="249"/>
    </row>
    <row r="9" spans="1:13" x14ac:dyDescent="0.2">
      <c r="A9" s="195" t="s">
        <v>61</v>
      </c>
      <c r="B9" s="61">
        <v>42156</v>
      </c>
      <c r="C9" s="55">
        <v>11920</v>
      </c>
      <c r="D9" s="55">
        <v>0</v>
      </c>
      <c r="E9" s="55">
        <v>0</v>
      </c>
      <c r="F9" s="7">
        <f t="shared" si="0"/>
        <v>11920</v>
      </c>
      <c r="G9" s="249"/>
      <c r="H9" s="249"/>
      <c r="I9" s="249"/>
      <c r="J9" s="249"/>
      <c r="K9" s="249"/>
      <c r="L9" s="249"/>
      <c r="M9" s="249"/>
    </row>
    <row r="10" spans="1:13" x14ac:dyDescent="0.2">
      <c r="A10" s="195" t="s">
        <v>62</v>
      </c>
      <c r="B10" s="61">
        <v>42186</v>
      </c>
      <c r="C10" s="55">
        <v>13895</v>
      </c>
      <c r="D10" s="55">
        <v>0</v>
      </c>
      <c r="E10" s="55">
        <v>0</v>
      </c>
      <c r="F10" s="7">
        <f t="shared" si="0"/>
        <v>13895</v>
      </c>
      <c r="G10" s="249"/>
      <c r="H10" s="249"/>
      <c r="I10" s="249"/>
      <c r="J10" s="249"/>
      <c r="K10" s="249"/>
      <c r="L10" s="249"/>
      <c r="M10" s="249"/>
    </row>
    <row r="11" spans="1:13" x14ac:dyDescent="0.2">
      <c r="A11" s="195" t="s">
        <v>63</v>
      </c>
      <c r="B11" s="61">
        <v>42217</v>
      </c>
      <c r="C11" s="55">
        <v>16082</v>
      </c>
      <c r="D11" s="55">
        <v>0</v>
      </c>
      <c r="E11" s="55">
        <v>0</v>
      </c>
      <c r="F11" s="7">
        <f t="shared" si="0"/>
        <v>16082</v>
      </c>
      <c r="G11" s="249"/>
      <c r="H11" s="249"/>
      <c r="I11" s="249"/>
      <c r="J11" s="249"/>
      <c r="K11" s="249"/>
      <c r="L11" s="249"/>
      <c r="M11" s="249"/>
    </row>
    <row r="12" spans="1:13" collapsed="1" x14ac:dyDescent="0.2">
      <c r="A12" s="195" t="s">
        <v>64</v>
      </c>
      <c r="B12" s="61">
        <v>42248</v>
      </c>
      <c r="C12" s="55">
        <v>17686</v>
      </c>
      <c r="D12" s="55">
        <v>0</v>
      </c>
      <c r="E12" s="55">
        <v>0</v>
      </c>
      <c r="F12" s="7">
        <f t="shared" si="0"/>
        <v>17686</v>
      </c>
      <c r="G12" s="249"/>
      <c r="H12" s="249"/>
      <c r="I12" s="249"/>
      <c r="J12" s="249"/>
      <c r="K12" s="249"/>
      <c r="L12" s="249"/>
      <c r="M12" s="249"/>
    </row>
    <row r="13" spans="1:13" x14ac:dyDescent="0.2">
      <c r="A13" s="195" t="s">
        <v>65</v>
      </c>
      <c r="B13" s="61">
        <v>42278</v>
      </c>
      <c r="C13" s="55">
        <v>26167</v>
      </c>
      <c r="D13" s="55">
        <v>0</v>
      </c>
      <c r="E13" s="55">
        <v>0</v>
      </c>
      <c r="F13" s="7">
        <f t="shared" si="0"/>
        <v>26167</v>
      </c>
      <c r="G13" s="249"/>
      <c r="H13" s="249"/>
      <c r="I13" s="249"/>
      <c r="J13" s="249"/>
      <c r="K13" s="249"/>
      <c r="L13" s="249"/>
      <c r="M13" s="249"/>
    </row>
    <row r="14" spans="1:13" x14ac:dyDescent="0.2">
      <c r="A14" s="195" t="s">
        <v>66</v>
      </c>
      <c r="B14" s="61">
        <v>42309</v>
      </c>
      <c r="C14" s="55">
        <v>37351</v>
      </c>
      <c r="D14" s="55">
        <v>0</v>
      </c>
      <c r="E14" s="55">
        <v>0</v>
      </c>
      <c r="F14" s="7">
        <f t="shared" si="0"/>
        <v>37351</v>
      </c>
      <c r="G14" s="249"/>
      <c r="H14" s="249"/>
      <c r="I14" s="249"/>
      <c r="J14" s="249"/>
      <c r="K14" s="249"/>
      <c r="L14" s="249"/>
      <c r="M14" s="249"/>
    </row>
    <row r="15" spans="1:13" x14ac:dyDescent="0.2">
      <c r="A15" s="195" t="s">
        <v>67</v>
      </c>
      <c r="B15" s="61">
        <v>42339</v>
      </c>
      <c r="C15" s="55">
        <v>50678</v>
      </c>
      <c r="D15" s="55">
        <v>0</v>
      </c>
      <c r="E15" s="55">
        <v>0</v>
      </c>
      <c r="F15" s="7">
        <f t="shared" si="0"/>
        <v>50678</v>
      </c>
      <c r="G15" s="249"/>
      <c r="H15" s="249"/>
      <c r="I15" s="249"/>
      <c r="J15" s="249"/>
      <c r="K15" s="249"/>
      <c r="L15" s="249"/>
      <c r="M15" s="249"/>
    </row>
    <row r="16" spans="1:13" x14ac:dyDescent="0.2">
      <c r="A16" s="195" t="s">
        <v>68</v>
      </c>
      <c r="B16" s="61">
        <v>42370</v>
      </c>
      <c r="C16" s="55">
        <v>65034</v>
      </c>
      <c r="D16" s="55">
        <v>0</v>
      </c>
      <c r="E16" s="55">
        <v>0</v>
      </c>
      <c r="F16" s="7">
        <f t="shared" si="0"/>
        <v>65034</v>
      </c>
      <c r="G16" s="249"/>
      <c r="H16" s="249"/>
      <c r="I16" s="249"/>
      <c r="J16" s="249"/>
      <c r="K16" s="249"/>
      <c r="L16" s="249"/>
      <c r="M16" s="249"/>
    </row>
    <row r="17" spans="1:18" x14ac:dyDescent="0.2">
      <c r="A17" s="195" t="s">
        <v>69</v>
      </c>
      <c r="B17" s="61">
        <v>42401</v>
      </c>
      <c r="C17" s="55">
        <v>75644</v>
      </c>
      <c r="D17" s="55">
        <v>0</v>
      </c>
      <c r="E17" s="55">
        <v>0</v>
      </c>
      <c r="F17" s="7">
        <f t="shared" si="0"/>
        <v>75644</v>
      </c>
      <c r="G17" s="249"/>
      <c r="H17" s="249"/>
      <c r="I17" s="249"/>
      <c r="J17" s="249"/>
      <c r="K17" s="249"/>
      <c r="L17" s="249"/>
      <c r="M17" s="249"/>
    </row>
    <row r="18" spans="1:18" x14ac:dyDescent="0.2">
      <c r="A18" s="195" t="s">
        <v>70</v>
      </c>
      <c r="B18" s="61">
        <v>42430</v>
      </c>
      <c r="C18" s="55">
        <v>79685</v>
      </c>
      <c r="D18" s="55">
        <v>0</v>
      </c>
      <c r="E18" s="55">
        <v>0</v>
      </c>
      <c r="F18" s="7">
        <f t="shared" si="0"/>
        <v>79685</v>
      </c>
      <c r="G18" s="249"/>
      <c r="H18" s="249"/>
      <c r="I18" s="249"/>
      <c r="J18" s="249"/>
      <c r="K18" s="249"/>
      <c r="L18" s="249"/>
      <c r="M18" s="249"/>
    </row>
    <row r="19" spans="1:18" x14ac:dyDescent="0.2">
      <c r="A19" s="195" t="s">
        <v>71</v>
      </c>
      <c r="B19" s="61">
        <v>42461</v>
      </c>
      <c r="C19" s="55">
        <v>75644</v>
      </c>
      <c r="D19" s="55">
        <v>0</v>
      </c>
      <c r="E19" s="55">
        <v>0</v>
      </c>
      <c r="F19" s="7">
        <f t="shared" si="0"/>
        <v>75644</v>
      </c>
      <c r="G19" s="249"/>
      <c r="H19" s="249"/>
      <c r="I19" s="249"/>
      <c r="J19" s="249"/>
      <c r="K19" s="249"/>
      <c r="L19" s="249"/>
      <c r="M19" s="249"/>
    </row>
    <row r="20" spans="1:18" x14ac:dyDescent="0.2">
      <c r="A20" s="195" t="s">
        <v>72</v>
      </c>
      <c r="B20" s="61">
        <v>42491</v>
      </c>
      <c r="C20" s="55">
        <v>65034</v>
      </c>
      <c r="D20" s="55">
        <v>0</v>
      </c>
      <c r="E20" s="55">
        <v>0</v>
      </c>
      <c r="F20" s="7">
        <f t="shared" si="0"/>
        <v>65034</v>
      </c>
      <c r="G20" s="249"/>
      <c r="H20" s="249"/>
      <c r="I20" s="249"/>
      <c r="J20" s="249"/>
      <c r="K20" s="249"/>
      <c r="L20" s="249"/>
      <c r="M20" s="249"/>
    </row>
    <row r="21" spans="1:18" x14ac:dyDescent="0.2">
      <c r="A21" s="195" t="s">
        <v>73</v>
      </c>
      <c r="B21" s="61">
        <v>42522</v>
      </c>
      <c r="C21" s="55">
        <v>51319</v>
      </c>
      <c r="D21" s="55">
        <v>0</v>
      </c>
      <c r="E21" s="55">
        <v>0</v>
      </c>
      <c r="F21" s="7">
        <f t="shared" si="0"/>
        <v>51319</v>
      </c>
      <c r="G21" s="249"/>
      <c r="H21" s="249"/>
      <c r="I21" s="249"/>
      <c r="J21" s="249"/>
      <c r="K21" s="249"/>
      <c r="L21" s="249"/>
      <c r="M21" s="249"/>
    </row>
    <row r="22" spans="1:18" x14ac:dyDescent="0.2">
      <c r="A22" s="195" t="s">
        <v>76</v>
      </c>
      <c r="B22" s="61">
        <v>42552</v>
      </c>
      <c r="C22" s="55">
        <v>37823</v>
      </c>
      <c r="D22" s="55">
        <v>0</v>
      </c>
      <c r="E22" s="55">
        <v>0</v>
      </c>
      <c r="F22" s="7">
        <f t="shared" si="0"/>
        <v>37823</v>
      </c>
      <c r="G22" s="249"/>
      <c r="H22" s="249"/>
      <c r="I22" s="249"/>
      <c r="J22" s="249"/>
      <c r="K22" s="249"/>
      <c r="L22" s="249"/>
      <c r="M22" s="249"/>
    </row>
    <row r="23" spans="1:18" x14ac:dyDescent="0.2">
      <c r="A23" s="195" t="s">
        <v>77</v>
      </c>
      <c r="B23" s="61">
        <v>42583</v>
      </c>
      <c r="C23" s="55">
        <v>26497</v>
      </c>
      <c r="D23" s="55">
        <v>0</v>
      </c>
      <c r="E23" s="55">
        <v>0</v>
      </c>
      <c r="F23" s="7">
        <f t="shared" si="0"/>
        <v>26497</v>
      </c>
      <c r="G23" s="249"/>
      <c r="H23" s="249"/>
      <c r="I23" s="249"/>
      <c r="J23" s="249"/>
      <c r="K23" s="249"/>
      <c r="L23" s="249"/>
      <c r="M23" s="249"/>
    </row>
    <row r="24" spans="1:18" x14ac:dyDescent="0.2">
      <c r="A24" s="195" t="s">
        <v>78</v>
      </c>
      <c r="B24" s="61">
        <v>42614</v>
      </c>
      <c r="C24" s="55">
        <v>17909</v>
      </c>
      <c r="D24" s="55">
        <v>0</v>
      </c>
      <c r="E24" s="55">
        <v>0</v>
      </c>
      <c r="F24" s="7">
        <f t="shared" si="0"/>
        <v>17909</v>
      </c>
      <c r="G24" s="249"/>
      <c r="H24" s="249"/>
      <c r="I24" s="249"/>
      <c r="J24" s="249"/>
      <c r="K24" s="249"/>
      <c r="L24" s="249"/>
      <c r="M24" s="249"/>
    </row>
    <row r="25" spans="1:18" x14ac:dyDescent="0.2">
      <c r="A25" s="195" t="s">
        <v>79</v>
      </c>
      <c r="B25" s="61">
        <v>42644</v>
      </c>
      <c r="C25" s="55">
        <v>11811</v>
      </c>
      <c r="D25" s="55">
        <v>0</v>
      </c>
      <c r="E25" s="55">
        <v>0</v>
      </c>
      <c r="F25" s="7">
        <f t="shared" si="0"/>
        <v>11811</v>
      </c>
      <c r="G25" s="249"/>
      <c r="H25" s="249"/>
      <c r="I25" s="249"/>
      <c r="J25" s="249"/>
      <c r="K25" s="249"/>
      <c r="L25" s="249"/>
      <c r="M25" s="249"/>
    </row>
    <row r="26" spans="1:18" ht="13.5" thickBot="1" x14ac:dyDescent="0.25">
      <c r="B26" s="58" t="s">
        <v>0</v>
      </c>
      <c r="C26" s="196">
        <f>SUM(C2:C25)</f>
        <v>725227</v>
      </c>
      <c r="D26" s="196">
        <f>SUM(D2:D25)</f>
        <v>0</v>
      </c>
      <c r="E26" s="196">
        <f>SUM(E2:E25)</f>
        <v>0</v>
      </c>
      <c r="F26" s="196">
        <f>SUM(F2:F25)</f>
        <v>725227</v>
      </c>
      <c r="G26" s="249"/>
      <c r="H26" s="249"/>
      <c r="I26" s="249"/>
      <c r="J26" s="249"/>
      <c r="K26" s="249"/>
      <c r="L26" s="249"/>
      <c r="M26" s="249"/>
    </row>
    <row r="27" spans="1:18" ht="13.5" thickTop="1" x14ac:dyDescent="0.2">
      <c r="A27" s="60" t="s">
        <v>19</v>
      </c>
      <c r="B27" s="62" t="s">
        <v>22</v>
      </c>
      <c r="C27" s="64">
        <v>0</v>
      </c>
      <c r="D27" s="64">
        <v>0</v>
      </c>
      <c r="E27" s="64">
        <v>0</v>
      </c>
      <c r="F27" s="64">
        <f>SUM(C27:E27)</f>
        <v>0</v>
      </c>
      <c r="J27" s="198"/>
      <c r="K27" s="199" t="s">
        <v>14</v>
      </c>
      <c r="L27" s="259" t="s">
        <v>13</v>
      </c>
      <c r="M27" s="249"/>
      <c r="Q27" s="200"/>
    </row>
    <row r="28" spans="1:18" x14ac:dyDescent="0.2">
      <c r="A28" s="60" t="s">
        <v>20</v>
      </c>
      <c r="B28" s="62" t="s">
        <v>22</v>
      </c>
      <c r="C28" s="64">
        <v>0</v>
      </c>
      <c r="D28" s="64">
        <v>0</v>
      </c>
      <c r="E28" s="64">
        <v>0</v>
      </c>
      <c r="F28" s="64">
        <f>SUM(C28:E28)</f>
        <v>0</v>
      </c>
      <c r="J28" s="201" t="s">
        <v>11</v>
      </c>
      <c r="K28" s="202">
        <v>41518</v>
      </c>
      <c r="L28" s="260">
        <f>K28</f>
        <v>41518</v>
      </c>
      <c r="M28" s="249"/>
    </row>
    <row r="29" spans="1:18" ht="13.5" thickBot="1" x14ac:dyDescent="0.25">
      <c r="B29" s="58" t="s">
        <v>52</v>
      </c>
      <c r="C29" s="196">
        <f>+SUM(C26:C28)</f>
        <v>725227</v>
      </c>
      <c r="D29" s="196">
        <f>+SUM(D26:D28)</f>
        <v>0</v>
      </c>
      <c r="E29" s="196">
        <f>+SUM(E26:E28)</f>
        <v>0</v>
      </c>
      <c r="F29" s="196">
        <f>+SUM(F26:F28)</f>
        <v>725227</v>
      </c>
      <c r="J29" s="203" t="s">
        <v>17</v>
      </c>
      <c r="K29" s="204">
        <v>42614</v>
      </c>
      <c r="L29" s="261">
        <v>42735</v>
      </c>
      <c r="M29" s="249"/>
    </row>
    <row r="30" spans="1:18" ht="14.25" thickTop="1" thickBot="1" x14ac:dyDescent="0.25">
      <c r="B30" s="58"/>
      <c r="C30" s="63"/>
      <c r="D30" s="63"/>
      <c r="E30" s="63"/>
      <c r="F30" s="63"/>
      <c r="I30" s="64"/>
      <c r="J30" s="64"/>
      <c r="K30" s="64"/>
      <c r="L30" s="64"/>
      <c r="M30" s="64"/>
      <c r="N30" s="64"/>
      <c r="O30" s="64"/>
      <c r="P30" s="64"/>
      <c r="Q30" s="64"/>
      <c r="R30" s="64"/>
    </row>
    <row r="31" spans="1:18" x14ac:dyDescent="0.2">
      <c r="B31" s="227"/>
      <c r="C31" s="65"/>
      <c r="D31" s="60"/>
      <c r="I31" s="205"/>
      <c r="J31" s="313" t="s">
        <v>2</v>
      </c>
      <c r="K31" s="313"/>
      <c r="L31" s="206" t="s">
        <v>54</v>
      </c>
      <c r="M31" s="207"/>
    </row>
    <row r="32" spans="1:18" ht="36.75" x14ac:dyDescent="0.2">
      <c r="A32" s="208" t="s">
        <v>53</v>
      </c>
      <c r="B32" s="208" t="s">
        <v>3</v>
      </c>
      <c r="C32" s="208" t="s">
        <v>4</v>
      </c>
      <c r="D32" s="208" t="s">
        <v>5</v>
      </c>
      <c r="E32" s="208" t="s">
        <v>6</v>
      </c>
      <c r="F32" s="208" t="s">
        <v>7</v>
      </c>
      <c r="G32" s="208" t="s">
        <v>80</v>
      </c>
      <c r="H32" s="208" t="s">
        <v>81</v>
      </c>
      <c r="I32" s="192" t="s">
        <v>82</v>
      </c>
      <c r="J32" s="193" t="s">
        <v>83</v>
      </c>
      <c r="K32" s="193" t="s">
        <v>84</v>
      </c>
      <c r="L32" s="193" t="s">
        <v>85</v>
      </c>
      <c r="M32" s="194" t="s">
        <v>75</v>
      </c>
      <c r="N32" s="208" t="s">
        <v>86</v>
      </c>
      <c r="O32" s="208" t="s">
        <v>87</v>
      </c>
    </row>
    <row r="33" spans="1:15" x14ac:dyDescent="0.2">
      <c r="A33" s="195" t="s">
        <v>22</v>
      </c>
      <c r="B33" s="209" t="str">
        <f t="shared" ref="B33:B65" si="1">+IF(MONTH(C33)&lt;4,"Q1",IF(MONTH(C33)&lt;7,"Q2",IF(MONTH(C33)&lt;10,"Q3","Q4")))&amp;"/"&amp;YEAR(C33)</f>
        <v>Q3/2013</v>
      </c>
      <c r="C33" s="210">
        <f>+L28</f>
        <v>41518</v>
      </c>
      <c r="D33" s="210">
        <f t="shared" ref="D33:D65" si="2">DATE(YEAR(C33),IF(MONTH(C33)&lt;=3,3,IF(MONTH(C33)&lt;=6,6,IF(MONTH(C33)&lt;=9,9,12))),IF(OR(MONTH(C33)&lt;=3,MONTH(C33)&gt;=10),31,30))</f>
        <v>41547</v>
      </c>
      <c r="E33" s="209">
        <f t="shared" ref="E33:E65" si="3">D33-C33+1</f>
        <v>30</v>
      </c>
      <c r="F33" s="83">
        <v>3.2500000000000001E-2</v>
      </c>
      <c r="G33" s="84">
        <f>+$C$29</f>
        <v>725227</v>
      </c>
      <c r="H33" s="84">
        <f>G33*F33*(E33/(DATE(YEAR(D33),12,31)-DATE(YEAR(D33),1,1)+1))</f>
        <v>1937.2502054794522</v>
      </c>
      <c r="I33" s="109">
        <v>0</v>
      </c>
      <c r="J33" s="69">
        <v>0</v>
      </c>
      <c r="K33" s="211">
        <f t="shared" ref="K33:K52" si="4">+SUM(I33:J33)</f>
        <v>0</v>
      </c>
      <c r="L33" s="69">
        <v>0</v>
      </c>
      <c r="M33" s="212">
        <v>0</v>
      </c>
      <c r="N33" s="64">
        <f t="shared" ref="N33:N65" si="5">+G33+H33+J33</f>
        <v>727164.25020547945</v>
      </c>
      <c r="O33" s="84">
        <f>+N33-M33</f>
        <v>727164.25020547945</v>
      </c>
    </row>
    <row r="34" spans="1:15" x14ac:dyDescent="0.2">
      <c r="A34" s="195" t="s">
        <v>22</v>
      </c>
      <c r="B34" s="209" t="str">
        <f t="shared" si="1"/>
        <v>Q4/2013</v>
      </c>
      <c r="C34" s="210">
        <f t="shared" ref="C34:C65" si="6">D33+1</f>
        <v>41548</v>
      </c>
      <c r="D34" s="210">
        <f t="shared" si="2"/>
        <v>41639</v>
      </c>
      <c r="E34" s="209">
        <f t="shared" si="3"/>
        <v>92</v>
      </c>
      <c r="F34" s="83">
        <v>3.2500000000000001E-2</v>
      </c>
      <c r="G34" s="84">
        <f>O33</f>
        <v>727164.25020547945</v>
      </c>
      <c r="H34" s="84">
        <f t="shared" ref="H34:H46" si="7">G34*F34*(E34/(DATE(YEAR(D34),12,31)-DATE(YEAR(D34),1,1)+1))</f>
        <v>5956.7701592174899</v>
      </c>
      <c r="I34" s="109">
        <v>0</v>
      </c>
      <c r="J34" s="69">
        <v>0</v>
      </c>
      <c r="K34" s="211">
        <f t="shared" si="4"/>
        <v>0</v>
      </c>
      <c r="L34" s="69">
        <v>0</v>
      </c>
      <c r="M34" s="212">
        <v>0</v>
      </c>
      <c r="N34" s="64">
        <f t="shared" si="5"/>
        <v>733121.02036469697</v>
      </c>
      <c r="O34" s="84">
        <f t="shared" ref="O34:O65" si="8">+N34-M34</f>
        <v>733121.02036469697</v>
      </c>
    </row>
    <row r="35" spans="1:15" x14ac:dyDescent="0.2">
      <c r="A35" s="195" t="s">
        <v>22</v>
      </c>
      <c r="B35" s="209" t="str">
        <f t="shared" si="1"/>
        <v>Q1/2014</v>
      </c>
      <c r="C35" s="210">
        <f t="shared" si="6"/>
        <v>41640</v>
      </c>
      <c r="D35" s="210">
        <f t="shared" si="2"/>
        <v>41729</v>
      </c>
      <c r="E35" s="209">
        <f t="shared" si="3"/>
        <v>90</v>
      </c>
      <c r="F35" s="83">
        <v>3.2500000000000001E-2</v>
      </c>
      <c r="G35" s="84">
        <f>O34</f>
        <v>733121.02036469697</v>
      </c>
      <c r="H35" s="84">
        <f t="shared" si="7"/>
        <v>5875.0109166212014</v>
      </c>
      <c r="I35" s="109">
        <v>0</v>
      </c>
      <c r="J35" s="69">
        <v>0</v>
      </c>
      <c r="K35" s="211">
        <f t="shared" si="4"/>
        <v>0</v>
      </c>
      <c r="L35" s="69">
        <v>0</v>
      </c>
      <c r="M35" s="212">
        <v>0</v>
      </c>
      <c r="N35" s="64">
        <f t="shared" si="5"/>
        <v>738996.03128131817</v>
      </c>
      <c r="O35" s="84">
        <f t="shared" si="8"/>
        <v>738996.03128131817</v>
      </c>
    </row>
    <row r="36" spans="1:15" x14ac:dyDescent="0.2">
      <c r="A36" s="195" t="s">
        <v>22</v>
      </c>
      <c r="B36" s="209" t="str">
        <f t="shared" si="1"/>
        <v>Q2/2014</v>
      </c>
      <c r="C36" s="210">
        <f t="shared" si="6"/>
        <v>41730</v>
      </c>
      <c r="D36" s="210">
        <f t="shared" si="2"/>
        <v>41820</v>
      </c>
      <c r="E36" s="209">
        <f t="shared" si="3"/>
        <v>91</v>
      </c>
      <c r="F36" s="83">
        <v>3.2500000000000001E-2</v>
      </c>
      <c r="G36" s="84">
        <f>O35</f>
        <v>738996.03128131817</v>
      </c>
      <c r="H36" s="84">
        <f t="shared" si="7"/>
        <v>5987.8925000397221</v>
      </c>
      <c r="I36" s="109">
        <v>0</v>
      </c>
      <c r="J36" s="69">
        <v>0</v>
      </c>
      <c r="K36" s="211">
        <f t="shared" si="4"/>
        <v>0</v>
      </c>
      <c r="L36" s="69">
        <v>0</v>
      </c>
      <c r="M36" s="212">
        <f t="shared" ref="M36:M52" si="9">+SUM(K36:L36)</f>
        <v>0</v>
      </c>
      <c r="N36" s="64">
        <f t="shared" si="5"/>
        <v>744983.92378135794</v>
      </c>
      <c r="O36" s="84">
        <f t="shared" si="8"/>
        <v>744983.92378135794</v>
      </c>
    </row>
    <row r="37" spans="1:15" x14ac:dyDescent="0.2">
      <c r="A37" s="195" t="s">
        <v>22</v>
      </c>
      <c r="B37" s="209" t="str">
        <f t="shared" si="1"/>
        <v>Q3/2014</v>
      </c>
      <c r="C37" s="210">
        <f t="shared" si="6"/>
        <v>41821</v>
      </c>
      <c r="D37" s="210">
        <f t="shared" si="2"/>
        <v>41912</v>
      </c>
      <c r="E37" s="209">
        <f t="shared" si="3"/>
        <v>92</v>
      </c>
      <c r="F37" s="83">
        <v>3.2500000000000001E-2</v>
      </c>
      <c r="G37" s="84">
        <f>O36</f>
        <v>744983.92378135794</v>
      </c>
      <c r="H37" s="84">
        <f t="shared" si="7"/>
        <v>6102.7450194692065</v>
      </c>
      <c r="I37" s="109">
        <v>0</v>
      </c>
      <c r="J37" s="69">
        <v>0</v>
      </c>
      <c r="K37" s="211">
        <f t="shared" si="4"/>
        <v>0</v>
      </c>
      <c r="L37" s="69">
        <v>0</v>
      </c>
      <c r="M37" s="212">
        <f t="shared" si="9"/>
        <v>0</v>
      </c>
      <c r="N37" s="64">
        <f t="shared" si="5"/>
        <v>751086.66880082712</v>
      </c>
      <c r="O37" s="84">
        <f t="shared" si="8"/>
        <v>751086.66880082712</v>
      </c>
    </row>
    <row r="38" spans="1:15" x14ac:dyDescent="0.2">
      <c r="A38" s="195" t="s">
        <v>22</v>
      </c>
      <c r="B38" s="209" t="str">
        <f t="shared" si="1"/>
        <v>Q4/2014</v>
      </c>
      <c r="C38" s="210">
        <f t="shared" si="6"/>
        <v>41913</v>
      </c>
      <c r="D38" s="210">
        <f t="shared" si="2"/>
        <v>42004</v>
      </c>
      <c r="E38" s="209">
        <f t="shared" si="3"/>
        <v>92</v>
      </c>
      <c r="F38" s="83">
        <v>3.2500000000000001E-2</v>
      </c>
      <c r="G38" s="84">
        <f t="shared" ref="G38:G65" si="10">O37</f>
        <v>751086.66880082712</v>
      </c>
      <c r="H38" s="84">
        <f t="shared" si="7"/>
        <v>6152.737369080749</v>
      </c>
      <c r="I38" s="109">
        <v>0</v>
      </c>
      <c r="J38" s="69">
        <v>0</v>
      </c>
      <c r="K38" s="211">
        <f t="shared" si="4"/>
        <v>0</v>
      </c>
      <c r="L38" s="69">
        <v>0</v>
      </c>
      <c r="M38" s="212">
        <f t="shared" si="9"/>
        <v>0</v>
      </c>
      <c r="N38" s="64">
        <f t="shared" si="5"/>
        <v>757239.40616990789</v>
      </c>
      <c r="O38" s="84">
        <f t="shared" si="8"/>
        <v>757239.40616990789</v>
      </c>
    </row>
    <row r="39" spans="1:15" x14ac:dyDescent="0.2">
      <c r="A39" s="195" t="s">
        <v>22</v>
      </c>
      <c r="B39" s="209" t="str">
        <f t="shared" si="1"/>
        <v>Q1/2015</v>
      </c>
      <c r="C39" s="210">
        <f t="shared" si="6"/>
        <v>42005</v>
      </c>
      <c r="D39" s="210">
        <f t="shared" si="2"/>
        <v>42094</v>
      </c>
      <c r="E39" s="209">
        <f t="shared" si="3"/>
        <v>90</v>
      </c>
      <c r="F39" s="83">
        <v>3.2500000000000001E-2</v>
      </c>
      <c r="G39" s="84">
        <f t="shared" si="10"/>
        <v>757239.40616990789</v>
      </c>
      <c r="H39" s="84">
        <f t="shared" si="7"/>
        <v>6068.2883919095357</v>
      </c>
      <c r="I39" s="109">
        <v>0</v>
      </c>
      <c r="J39" s="69">
        <v>0</v>
      </c>
      <c r="K39" s="211">
        <f t="shared" si="4"/>
        <v>0</v>
      </c>
      <c r="L39" s="69">
        <v>0</v>
      </c>
      <c r="M39" s="212">
        <f t="shared" si="9"/>
        <v>0</v>
      </c>
      <c r="N39" s="64">
        <f t="shared" si="5"/>
        <v>763307.69456181745</v>
      </c>
      <c r="O39" s="84">
        <f t="shared" si="8"/>
        <v>763307.69456181745</v>
      </c>
    </row>
    <row r="40" spans="1:15" x14ac:dyDescent="0.2">
      <c r="A40" s="195" t="s">
        <v>22</v>
      </c>
      <c r="B40" s="209" t="str">
        <f t="shared" si="1"/>
        <v>Q2/2015</v>
      </c>
      <c r="C40" s="210">
        <f t="shared" si="6"/>
        <v>42095</v>
      </c>
      <c r="D40" s="210">
        <f t="shared" si="2"/>
        <v>42185</v>
      </c>
      <c r="E40" s="209">
        <f t="shared" si="3"/>
        <v>91</v>
      </c>
      <c r="F40" s="83">
        <v>3.2500000000000001E-2</v>
      </c>
      <c r="G40" s="84">
        <f t="shared" si="10"/>
        <v>763307.69456181745</v>
      </c>
      <c r="H40" s="84">
        <f t="shared" si="7"/>
        <v>6184.8835799084254</v>
      </c>
      <c r="I40" s="109">
        <v>0</v>
      </c>
      <c r="J40" s="69">
        <v>0</v>
      </c>
      <c r="K40" s="211">
        <f t="shared" si="4"/>
        <v>0</v>
      </c>
      <c r="L40" s="69">
        <v>0</v>
      </c>
      <c r="M40" s="212">
        <f t="shared" si="9"/>
        <v>0</v>
      </c>
      <c r="N40" s="64">
        <f t="shared" si="5"/>
        <v>769492.57814172585</v>
      </c>
      <c r="O40" s="84">
        <f t="shared" si="8"/>
        <v>769492.57814172585</v>
      </c>
    </row>
    <row r="41" spans="1:15" x14ac:dyDescent="0.2">
      <c r="A41" s="195" t="s">
        <v>22</v>
      </c>
      <c r="B41" s="209" t="str">
        <f t="shared" si="1"/>
        <v>Q3/2015</v>
      </c>
      <c r="C41" s="210">
        <f t="shared" si="6"/>
        <v>42186</v>
      </c>
      <c r="D41" s="210">
        <f t="shared" si="2"/>
        <v>42277</v>
      </c>
      <c r="E41" s="209">
        <f t="shared" si="3"/>
        <v>92</v>
      </c>
      <c r="F41" s="83">
        <v>3.2500000000000001E-2</v>
      </c>
      <c r="G41" s="84">
        <f t="shared" si="10"/>
        <v>769492.57814172585</v>
      </c>
      <c r="H41" s="84">
        <f t="shared" si="7"/>
        <v>6303.5145442294806</v>
      </c>
      <c r="I41" s="109">
        <v>0</v>
      </c>
      <c r="J41" s="69">
        <v>0</v>
      </c>
      <c r="K41" s="211">
        <f t="shared" si="4"/>
        <v>0</v>
      </c>
      <c r="L41" s="69">
        <v>0</v>
      </c>
      <c r="M41" s="212">
        <f t="shared" si="9"/>
        <v>0</v>
      </c>
      <c r="N41" s="64">
        <f t="shared" si="5"/>
        <v>775796.09268595534</v>
      </c>
      <c r="O41" s="84">
        <f t="shared" si="8"/>
        <v>775796.09268595534</v>
      </c>
    </row>
    <row r="42" spans="1:15" x14ac:dyDescent="0.2">
      <c r="A42" s="195" t="s">
        <v>22</v>
      </c>
      <c r="B42" s="209" t="str">
        <f t="shared" si="1"/>
        <v>Q4/2015</v>
      </c>
      <c r="C42" s="210">
        <f t="shared" si="6"/>
        <v>42278</v>
      </c>
      <c r="D42" s="210">
        <f t="shared" si="2"/>
        <v>42369</v>
      </c>
      <c r="E42" s="209">
        <f t="shared" si="3"/>
        <v>92</v>
      </c>
      <c r="F42" s="83">
        <v>3.2500000000000001E-2</v>
      </c>
      <c r="G42" s="84">
        <f t="shared" si="10"/>
        <v>775796.09268595534</v>
      </c>
      <c r="H42" s="84">
        <f t="shared" si="7"/>
        <v>6355.1515537835794</v>
      </c>
      <c r="I42" s="109">
        <v>0</v>
      </c>
      <c r="J42" s="69">
        <v>0</v>
      </c>
      <c r="K42" s="211">
        <f t="shared" si="4"/>
        <v>0</v>
      </c>
      <c r="L42" s="69">
        <v>0</v>
      </c>
      <c r="M42" s="212">
        <f t="shared" si="9"/>
        <v>0</v>
      </c>
      <c r="N42" s="64">
        <f t="shared" si="5"/>
        <v>782151.24423973891</v>
      </c>
      <c r="O42" s="84">
        <f t="shared" si="8"/>
        <v>782151.24423973891</v>
      </c>
    </row>
    <row r="43" spans="1:15" x14ac:dyDescent="0.2">
      <c r="A43" s="195" t="s">
        <v>22</v>
      </c>
      <c r="B43" s="209" t="str">
        <f t="shared" si="1"/>
        <v>Q1/2016</v>
      </c>
      <c r="C43" s="210">
        <f t="shared" si="6"/>
        <v>42370</v>
      </c>
      <c r="D43" s="210">
        <f t="shared" si="2"/>
        <v>42460</v>
      </c>
      <c r="E43" s="209">
        <f t="shared" si="3"/>
        <v>91</v>
      </c>
      <c r="F43" s="83">
        <v>3.2500000000000001E-2</v>
      </c>
      <c r="G43" s="84">
        <f t="shared" si="10"/>
        <v>782151.24423973891</v>
      </c>
      <c r="H43" s="84">
        <f t="shared" si="7"/>
        <v>6320.2521990137375</v>
      </c>
      <c r="I43" s="109">
        <v>0</v>
      </c>
      <c r="J43" s="69">
        <v>0</v>
      </c>
      <c r="K43" s="211">
        <f t="shared" si="4"/>
        <v>0</v>
      </c>
      <c r="L43" s="69">
        <v>0</v>
      </c>
      <c r="M43" s="212">
        <f t="shared" si="9"/>
        <v>0</v>
      </c>
      <c r="N43" s="64">
        <f t="shared" si="5"/>
        <v>788471.49643875263</v>
      </c>
      <c r="O43" s="84">
        <f t="shared" si="8"/>
        <v>788471.49643875263</v>
      </c>
    </row>
    <row r="44" spans="1:15" x14ac:dyDescent="0.2">
      <c r="A44" s="195" t="s">
        <v>22</v>
      </c>
      <c r="B44" s="209" t="str">
        <f t="shared" si="1"/>
        <v>Q2/2016</v>
      </c>
      <c r="C44" s="210">
        <f t="shared" si="6"/>
        <v>42461</v>
      </c>
      <c r="D44" s="210">
        <f t="shared" si="2"/>
        <v>42551</v>
      </c>
      <c r="E44" s="209">
        <f t="shared" si="3"/>
        <v>91</v>
      </c>
      <c r="F44" s="83">
        <v>3.4599999999999999E-2</v>
      </c>
      <c r="G44" s="84">
        <f t="shared" si="10"/>
        <v>788471.49643875263</v>
      </c>
      <c r="H44" s="84">
        <f t="shared" si="7"/>
        <v>6783.0091630793886</v>
      </c>
      <c r="I44" s="109">
        <v>0</v>
      </c>
      <c r="J44" s="69">
        <v>0</v>
      </c>
      <c r="K44" s="211">
        <f t="shared" si="4"/>
        <v>0</v>
      </c>
      <c r="L44" s="69">
        <v>0</v>
      </c>
      <c r="M44" s="212">
        <f t="shared" si="9"/>
        <v>0</v>
      </c>
      <c r="N44" s="64">
        <f t="shared" si="5"/>
        <v>795254.50560183206</v>
      </c>
      <c r="O44" s="84">
        <f t="shared" si="8"/>
        <v>795254.50560183206</v>
      </c>
    </row>
    <row r="45" spans="1:15" x14ac:dyDescent="0.2">
      <c r="A45" s="60" t="s">
        <v>22</v>
      </c>
      <c r="B45" s="209" t="str">
        <f t="shared" si="1"/>
        <v>Q3/2016</v>
      </c>
      <c r="C45" s="210">
        <f t="shared" si="6"/>
        <v>42552</v>
      </c>
      <c r="D45" s="210">
        <f t="shared" si="2"/>
        <v>42643</v>
      </c>
      <c r="E45" s="209">
        <f t="shared" si="3"/>
        <v>92</v>
      </c>
      <c r="F45" s="83">
        <v>3.5000000000000003E-2</v>
      </c>
      <c r="G45" s="84">
        <f t="shared" si="10"/>
        <v>795254.50560183206</v>
      </c>
      <c r="H45" s="84">
        <f t="shared" si="7"/>
        <v>6996.5013880816923</v>
      </c>
      <c r="I45" s="109">
        <v>0</v>
      </c>
      <c r="J45" s="69">
        <v>0</v>
      </c>
      <c r="K45" s="211">
        <f t="shared" si="4"/>
        <v>0</v>
      </c>
      <c r="L45" s="69">
        <v>0</v>
      </c>
      <c r="M45" s="212">
        <f t="shared" si="9"/>
        <v>0</v>
      </c>
      <c r="N45" s="64">
        <f t="shared" si="5"/>
        <v>802251.00698991376</v>
      </c>
      <c r="O45" s="84">
        <f t="shared" si="8"/>
        <v>802251.00698991376</v>
      </c>
    </row>
    <row r="46" spans="1:15" x14ac:dyDescent="0.2">
      <c r="A46" s="60" t="s">
        <v>22</v>
      </c>
      <c r="B46" s="209" t="str">
        <f t="shared" si="1"/>
        <v>Q4/2016</v>
      </c>
      <c r="C46" s="210">
        <f t="shared" si="6"/>
        <v>42644</v>
      </c>
      <c r="D46" s="210">
        <f t="shared" si="2"/>
        <v>42735</v>
      </c>
      <c r="E46" s="209">
        <f t="shared" si="3"/>
        <v>92</v>
      </c>
      <c r="F46" s="83">
        <v>3.5000000000000003E-2</v>
      </c>
      <c r="G46" s="84">
        <f t="shared" si="10"/>
        <v>802251.00698991376</v>
      </c>
      <c r="H46" s="84">
        <f t="shared" si="7"/>
        <v>7058.0553073976025</v>
      </c>
      <c r="I46" s="109">
        <v>0</v>
      </c>
      <c r="J46" s="69">
        <v>0</v>
      </c>
      <c r="K46" s="211">
        <f t="shared" si="4"/>
        <v>0</v>
      </c>
      <c r="L46" s="69">
        <v>0</v>
      </c>
      <c r="M46" s="212">
        <f t="shared" si="9"/>
        <v>0</v>
      </c>
      <c r="N46" s="64">
        <f t="shared" si="5"/>
        <v>809309.06229731138</v>
      </c>
      <c r="O46" s="84">
        <f t="shared" si="8"/>
        <v>809309.06229731138</v>
      </c>
    </row>
    <row r="47" spans="1:15" x14ac:dyDescent="0.2">
      <c r="A47" s="60" t="s">
        <v>22</v>
      </c>
      <c r="B47" s="209" t="str">
        <f t="shared" si="1"/>
        <v>Q1/2017</v>
      </c>
      <c r="C47" s="210">
        <f t="shared" si="6"/>
        <v>42736</v>
      </c>
      <c r="D47" s="210">
        <f t="shared" si="2"/>
        <v>42825</v>
      </c>
      <c r="E47" s="209">
        <f t="shared" si="3"/>
        <v>90</v>
      </c>
      <c r="F47" s="83">
        <v>3.5000000000000003E-2</v>
      </c>
      <c r="G47" s="84">
        <f t="shared" si="10"/>
        <v>809309.06229731138</v>
      </c>
      <c r="H47" s="84">
        <v>0</v>
      </c>
      <c r="I47" s="109">
        <v>0</v>
      </c>
      <c r="J47" s="69">
        <v>0</v>
      </c>
      <c r="K47" s="211">
        <f t="shared" si="4"/>
        <v>0</v>
      </c>
      <c r="L47" s="69">
        <v>0</v>
      </c>
      <c r="M47" s="212">
        <f t="shared" si="9"/>
        <v>0</v>
      </c>
      <c r="N47" s="64">
        <f t="shared" si="5"/>
        <v>809309.06229731138</v>
      </c>
      <c r="O47" s="84">
        <f t="shared" si="8"/>
        <v>809309.06229731138</v>
      </c>
    </row>
    <row r="48" spans="1:15" x14ac:dyDescent="0.2">
      <c r="A48" s="60" t="s">
        <v>22</v>
      </c>
      <c r="B48" s="209" t="str">
        <f t="shared" si="1"/>
        <v>Q2/2017</v>
      </c>
      <c r="C48" s="210">
        <f t="shared" si="6"/>
        <v>42826</v>
      </c>
      <c r="D48" s="210">
        <f t="shared" si="2"/>
        <v>42916</v>
      </c>
      <c r="E48" s="209">
        <f t="shared" si="3"/>
        <v>91</v>
      </c>
      <c r="F48" s="83">
        <v>3.7100000000000001E-2</v>
      </c>
      <c r="G48" s="84">
        <f t="shared" si="10"/>
        <v>809309.06229731138</v>
      </c>
      <c r="H48" s="84">
        <v>0</v>
      </c>
      <c r="I48" s="109">
        <v>0</v>
      </c>
      <c r="J48" s="69">
        <v>0</v>
      </c>
      <c r="K48" s="211">
        <f t="shared" si="4"/>
        <v>0</v>
      </c>
      <c r="L48" s="69">
        <v>0</v>
      </c>
      <c r="M48" s="212">
        <f t="shared" si="9"/>
        <v>0</v>
      </c>
      <c r="N48" s="64">
        <f t="shared" si="5"/>
        <v>809309.06229731138</v>
      </c>
      <c r="O48" s="84">
        <f t="shared" si="8"/>
        <v>809309.06229731138</v>
      </c>
    </row>
    <row r="49" spans="1:15" x14ac:dyDescent="0.2">
      <c r="A49" s="195" t="s">
        <v>102</v>
      </c>
      <c r="B49" s="209" t="str">
        <f t="shared" si="1"/>
        <v>Q3/2017</v>
      </c>
      <c r="C49" s="210">
        <f>D48+1</f>
        <v>42917</v>
      </c>
      <c r="D49" s="210">
        <f t="shared" si="2"/>
        <v>43008</v>
      </c>
      <c r="E49" s="209">
        <f t="shared" si="3"/>
        <v>92</v>
      </c>
      <c r="F49" s="83">
        <v>3.9600000000000003E-2</v>
      </c>
      <c r="G49" s="84">
        <f>O48</f>
        <v>809309.06229731138</v>
      </c>
      <c r="H49" s="84">
        <v>0</v>
      </c>
      <c r="I49" s="109">
        <f>(SUM($H$33:$H$66)/20)*4</f>
        <v>16816.412459462255</v>
      </c>
      <c r="J49" s="69">
        <f t="shared" ref="J49:J65" si="11">G49*F49*(E49/(DATE(YEAR(D49),12,31)-DATE(YEAR(D49),1,1)+1))</f>
        <v>8078.013084278261</v>
      </c>
      <c r="K49" s="211">
        <f t="shared" si="4"/>
        <v>24894.425543740515</v>
      </c>
      <c r="L49" s="69">
        <f>+$G$33/20*4</f>
        <v>145045.4</v>
      </c>
      <c r="M49" s="212">
        <f t="shared" si="9"/>
        <v>169939.8255437405</v>
      </c>
      <c r="N49" s="64">
        <f t="shared" si="5"/>
        <v>817387.07538158959</v>
      </c>
      <c r="O49" s="84">
        <f t="shared" si="8"/>
        <v>647447.24983784906</v>
      </c>
    </row>
    <row r="50" spans="1:15" x14ac:dyDescent="0.2">
      <c r="A50" s="60" t="s">
        <v>58</v>
      </c>
      <c r="B50" s="209" t="str">
        <f t="shared" si="1"/>
        <v>Q4/2017</v>
      </c>
      <c r="C50" s="210">
        <f t="shared" si="6"/>
        <v>43009</v>
      </c>
      <c r="D50" s="210">
        <f t="shared" si="2"/>
        <v>43100</v>
      </c>
      <c r="E50" s="209">
        <f t="shared" si="3"/>
        <v>92</v>
      </c>
      <c r="F50" s="83">
        <v>4.2099999999999999E-2</v>
      </c>
      <c r="G50" s="84">
        <f t="shared" si="10"/>
        <v>647447.24983784906</v>
      </c>
      <c r="H50" s="84">
        <v>0</v>
      </c>
      <c r="I50" s="109">
        <f t="shared" ref="I50:I65" si="12">(SUM($H$33:$H$66)/20)</f>
        <v>4204.1031148655638</v>
      </c>
      <c r="J50" s="69">
        <f t="shared" si="11"/>
        <v>6870.3909262245397</v>
      </c>
      <c r="K50" s="211">
        <f t="shared" si="4"/>
        <v>11074.494041090104</v>
      </c>
      <c r="L50" s="69">
        <f t="shared" ref="L50:L65" si="13">+$G$33/20</f>
        <v>36261.35</v>
      </c>
      <c r="M50" s="212">
        <f t="shared" si="9"/>
        <v>47335.844041090102</v>
      </c>
      <c r="N50" s="64">
        <f t="shared" si="5"/>
        <v>654317.64076407359</v>
      </c>
      <c r="O50" s="84">
        <f t="shared" si="8"/>
        <v>606981.79672298348</v>
      </c>
    </row>
    <row r="51" spans="1:15" x14ac:dyDescent="0.2">
      <c r="A51" s="60" t="s">
        <v>59</v>
      </c>
      <c r="B51" s="209" t="str">
        <f t="shared" si="1"/>
        <v>Q1/2018</v>
      </c>
      <c r="C51" s="210">
        <f t="shared" si="6"/>
        <v>43101</v>
      </c>
      <c r="D51" s="210">
        <f t="shared" si="2"/>
        <v>43190</v>
      </c>
      <c r="E51" s="209">
        <f t="shared" si="3"/>
        <v>90</v>
      </c>
      <c r="F51" s="83">
        <v>4.4999999999999998E-2</v>
      </c>
      <c r="G51" s="84">
        <f t="shared" si="10"/>
        <v>606981.79672298348</v>
      </c>
      <c r="H51" s="84">
        <v>0</v>
      </c>
      <c r="I51" s="109">
        <f t="shared" si="12"/>
        <v>4204.1031148655638</v>
      </c>
      <c r="J51" s="69">
        <f t="shared" si="11"/>
        <v>6735.003497885159</v>
      </c>
      <c r="K51" s="211">
        <f t="shared" si="4"/>
        <v>10939.106612750722</v>
      </c>
      <c r="L51" s="69">
        <f t="shared" si="13"/>
        <v>36261.35</v>
      </c>
      <c r="M51" s="212">
        <f t="shared" si="9"/>
        <v>47200.456612750721</v>
      </c>
      <c r="N51" s="64">
        <f t="shared" si="5"/>
        <v>613716.80022086867</v>
      </c>
      <c r="O51" s="84">
        <f t="shared" si="8"/>
        <v>566516.3436081179</v>
      </c>
    </row>
    <row r="52" spans="1:15" x14ac:dyDescent="0.2">
      <c r="A52" s="60" t="s">
        <v>60</v>
      </c>
      <c r="B52" s="209" t="str">
        <f t="shared" si="1"/>
        <v>Q2/2018</v>
      </c>
      <c r="C52" s="210">
        <f t="shared" si="6"/>
        <v>43191</v>
      </c>
      <c r="D52" s="210">
        <f t="shared" si="2"/>
        <v>43281</v>
      </c>
      <c r="E52" s="209">
        <f t="shared" si="3"/>
        <v>91</v>
      </c>
      <c r="F52" s="83">
        <v>4.5467029999999999E-2</v>
      </c>
      <c r="G52" s="84">
        <f t="shared" si="10"/>
        <v>566516.3436081179</v>
      </c>
      <c r="H52" s="84">
        <v>0</v>
      </c>
      <c r="I52" s="109">
        <f t="shared" si="12"/>
        <v>4204.1031148655638</v>
      </c>
      <c r="J52" s="69">
        <f t="shared" si="11"/>
        <v>6421.8115581347256</v>
      </c>
      <c r="K52" s="211">
        <f t="shared" si="4"/>
        <v>10625.91467300029</v>
      </c>
      <c r="L52" s="69">
        <f t="shared" si="13"/>
        <v>36261.35</v>
      </c>
      <c r="M52" s="212">
        <f t="shared" si="9"/>
        <v>46887.264673000289</v>
      </c>
      <c r="N52" s="64">
        <f t="shared" si="5"/>
        <v>572938.15516625263</v>
      </c>
      <c r="O52" s="84">
        <f t="shared" si="8"/>
        <v>526050.89049325231</v>
      </c>
    </row>
    <row r="53" spans="1:15" x14ac:dyDescent="0.2">
      <c r="A53" s="60" t="s">
        <v>61</v>
      </c>
      <c r="B53" s="209" t="str">
        <f t="shared" si="1"/>
        <v>Q3/2018</v>
      </c>
      <c r="C53" s="210">
        <f t="shared" si="6"/>
        <v>43282</v>
      </c>
      <c r="D53" s="210">
        <f t="shared" si="2"/>
        <v>43373</v>
      </c>
      <c r="E53" s="209">
        <f t="shared" si="3"/>
        <v>92</v>
      </c>
      <c r="F53" s="83">
        <v>4.7608699999999997E-2</v>
      </c>
      <c r="G53" s="84">
        <f t="shared" si="10"/>
        <v>526050.89049325231</v>
      </c>
      <c r="H53" s="84">
        <v>0</v>
      </c>
      <c r="I53" s="109">
        <f t="shared" si="12"/>
        <v>4204.1031148655638</v>
      </c>
      <c r="J53" s="69">
        <f t="shared" si="11"/>
        <v>6312.6112624131547</v>
      </c>
      <c r="K53" s="211">
        <f t="shared" ref="K53:K64" si="14">+SUM(I53:J53)</f>
        <v>10516.714377278719</v>
      </c>
      <c r="L53" s="69">
        <f t="shared" si="13"/>
        <v>36261.35</v>
      </c>
      <c r="M53" s="212">
        <f t="shared" ref="M53:M65" si="15">+SUM(K53:L53)</f>
        <v>46778.064377278715</v>
      </c>
      <c r="N53" s="64">
        <f t="shared" si="5"/>
        <v>532363.50175566552</v>
      </c>
      <c r="O53" s="84">
        <f t="shared" si="8"/>
        <v>485585.43737838679</v>
      </c>
    </row>
    <row r="54" spans="1:15" x14ac:dyDescent="0.2">
      <c r="A54" s="60" t="s">
        <v>62</v>
      </c>
      <c r="B54" s="209" t="str">
        <f t="shared" si="1"/>
        <v>Q4/2018</v>
      </c>
      <c r="C54" s="210">
        <f t="shared" si="6"/>
        <v>43374</v>
      </c>
      <c r="D54" s="210">
        <f t="shared" si="2"/>
        <v>43465</v>
      </c>
      <c r="E54" s="209">
        <f t="shared" si="3"/>
        <v>92</v>
      </c>
      <c r="F54" s="83">
        <v>5.0326089999999997E-2</v>
      </c>
      <c r="G54" s="84">
        <f t="shared" si="10"/>
        <v>485585.43737838679</v>
      </c>
      <c r="H54" s="84">
        <v>0</v>
      </c>
      <c r="I54" s="109">
        <f t="shared" si="12"/>
        <v>4204.1031148655638</v>
      </c>
      <c r="J54" s="69">
        <f t="shared" si="11"/>
        <v>6159.6183863722008</v>
      </c>
      <c r="K54" s="211">
        <f t="shared" si="14"/>
        <v>10363.721501237764</v>
      </c>
      <c r="L54" s="69">
        <f t="shared" si="13"/>
        <v>36261.35</v>
      </c>
      <c r="M54" s="212">
        <f t="shared" si="15"/>
        <v>46625.071501237762</v>
      </c>
      <c r="N54" s="64">
        <f t="shared" si="5"/>
        <v>491745.05576475902</v>
      </c>
      <c r="O54" s="84">
        <f t="shared" si="8"/>
        <v>445119.98426352127</v>
      </c>
    </row>
    <row r="55" spans="1:15" x14ac:dyDescent="0.2">
      <c r="A55" s="60" t="s">
        <v>63</v>
      </c>
      <c r="B55" s="209" t="str">
        <f t="shared" si="1"/>
        <v>Q1/2019</v>
      </c>
      <c r="C55" s="210">
        <f t="shared" si="6"/>
        <v>43466</v>
      </c>
      <c r="D55" s="210">
        <f t="shared" si="2"/>
        <v>43555</v>
      </c>
      <c r="E55" s="209">
        <f t="shared" si="3"/>
        <v>90</v>
      </c>
      <c r="F55" s="83">
        <v>5.2499999999999998E-2</v>
      </c>
      <c r="G55" s="84">
        <f t="shared" si="10"/>
        <v>445119.98426352127</v>
      </c>
      <c r="H55" s="84">
        <v>0</v>
      </c>
      <c r="I55" s="109">
        <f t="shared" si="12"/>
        <v>4204.1031148655638</v>
      </c>
      <c r="J55" s="69">
        <f t="shared" si="11"/>
        <v>5762.1696593017468</v>
      </c>
      <c r="K55" s="211">
        <f t="shared" si="14"/>
        <v>9966.2727741673116</v>
      </c>
      <c r="L55" s="69">
        <f t="shared" si="13"/>
        <v>36261.35</v>
      </c>
      <c r="M55" s="212">
        <f t="shared" si="15"/>
        <v>46227.622774167306</v>
      </c>
      <c r="N55" s="64">
        <f t="shared" si="5"/>
        <v>450882.15392282302</v>
      </c>
      <c r="O55" s="84">
        <f t="shared" si="8"/>
        <v>404654.53114865569</v>
      </c>
    </row>
    <row r="56" spans="1:15" x14ac:dyDescent="0.2">
      <c r="A56" s="60" t="s">
        <v>64</v>
      </c>
      <c r="B56" s="209" t="str">
        <f t="shared" si="1"/>
        <v>Q2/2019</v>
      </c>
      <c r="C56" s="210">
        <f t="shared" si="6"/>
        <v>43556</v>
      </c>
      <c r="D56" s="210">
        <f t="shared" si="2"/>
        <v>43646</v>
      </c>
      <c r="E56" s="209">
        <f t="shared" si="3"/>
        <v>91</v>
      </c>
      <c r="F56" s="83">
        <v>5.29945E-2</v>
      </c>
      <c r="G56" s="84">
        <f t="shared" si="10"/>
        <v>404654.53114865569</v>
      </c>
      <c r="H56" s="84">
        <v>0</v>
      </c>
      <c r="I56" s="109">
        <f t="shared" si="12"/>
        <v>4204.1031148655638</v>
      </c>
      <c r="J56" s="69">
        <f t="shared" si="11"/>
        <v>5346.4281483208943</v>
      </c>
      <c r="K56" s="211">
        <f t="shared" si="14"/>
        <v>9550.5312631864581</v>
      </c>
      <c r="L56" s="69">
        <f t="shared" si="13"/>
        <v>36261.35</v>
      </c>
      <c r="M56" s="212">
        <f t="shared" si="15"/>
        <v>45811.881263186457</v>
      </c>
      <c r="N56" s="64">
        <f t="shared" si="5"/>
        <v>410000.95929697657</v>
      </c>
      <c r="O56" s="84">
        <f t="shared" si="8"/>
        <v>364189.07803379011</v>
      </c>
    </row>
    <row r="57" spans="1:15" x14ac:dyDescent="0.2">
      <c r="A57" s="60" t="s">
        <v>65</v>
      </c>
      <c r="B57" s="209" t="str">
        <f t="shared" si="1"/>
        <v>Q3/2019</v>
      </c>
      <c r="C57" s="210">
        <f t="shared" si="6"/>
        <v>43647</v>
      </c>
      <c r="D57" s="210">
        <f t="shared" si="2"/>
        <v>43738</v>
      </c>
      <c r="E57" s="209">
        <f t="shared" si="3"/>
        <v>92</v>
      </c>
      <c r="F57" s="83">
        <v>5.5E-2</v>
      </c>
      <c r="G57" s="84">
        <f t="shared" si="10"/>
        <v>364189.07803379011</v>
      </c>
      <c r="H57" s="84">
        <v>0</v>
      </c>
      <c r="I57" s="109">
        <f t="shared" si="12"/>
        <v>4204.1031148655638</v>
      </c>
      <c r="J57" s="69">
        <f t="shared" si="11"/>
        <v>5048.7581776739125</v>
      </c>
      <c r="K57" s="211">
        <f t="shared" si="14"/>
        <v>9252.8612925394773</v>
      </c>
      <c r="L57" s="69">
        <f t="shared" si="13"/>
        <v>36261.35</v>
      </c>
      <c r="M57" s="212">
        <f t="shared" si="15"/>
        <v>45514.211292539476</v>
      </c>
      <c r="N57" s="64">
        <f t="shared" si="5"/>
        <v>369237.83621146402</v>
      </c>
      <c r="O57" s="84">
        <f t="shared" si="8"/>
        <v>323723.62491892453</v>
      </c>
    </row>
    <row r="58" spans="1:15" x14ac:dyDescent="0.2">
      <c r="A58" s="60" t="s">
        <v>66</v>
      </c>
      <c r="B58" s="209" t="str">
        <f t="shared" si="1"/>
        <v>Q4/2019</v>
      </c>
      <c r="C58" s="210">
        <f t="shared" si="6"/>
        <v>43739</v>
      </c>
      <c r="D58" s="210">
        <f t="shared" si="2"/>
        <v>43830</v>
      </c>
      <c r="E58" s="209">
        <f t="shared" si="3"/>
        <v>92</v>
      </c>
      <c r="F58" s="83">
        <v>5.5353260000000008E-2</v>
      </c>
      <c r="G58" s="84">
        <f t="shared" si="10"/>
        <v>323723.62491892453</v>
      </c>
      <c r="H58" s="84">
        <v>0</v>
      </c>
      <c r="I58" s="109">
        <f t="shared" si="12"/>
        <v>4204.1031148655638</v>
      </c>
      <c r="J58" s="69">
        <f t="shared" si="11"/>
        <v>4516.6096821965302</v>
      </c>
      <c r="K58" s="211">
        <f t="shared" si="14"/>
        <v>8720.7127970620932</v>
      </c>
      <c r="L58" s="69">
        <f t="shared" si="13"/>
        <v>36261.35</v>
      </c>
      <c r="M58" s="212">
        <f t="shared" si="15"/>
        <v>44982.062797062092</v>
      </c>
      <c r="N58" s="64">
        <f t="shared" si="5"/>
        <v>328240.23460112105</v>
      </c>
      <c r="O58" s="84">
        <f t="shared" si="8"/>
        <v>283258.17180405895</v>
      </c>
    </row>
    <row r="59" spans="1:15" x14ac:dyDescent="0.2">
      <c r="A59" s="60" t="s">
        <v>67</v>
      </c>
      <c r="B59" s="209" t="str">
        <f t="shared" si="1"/>
        <v>Q1/2020</v>
      </c>
      <c r="C59" s="210">
        <f t="shared" si="6"/>
        <v>43831</v>
      </c>
      <c r="D59" s="210">
        <f t="shared" si="2"/>
        <v>43921</v>
      </c>
      <c r="E59" s="209">
        <f t="shared" si="3"/>
        <v>91</v>
      </c>
      <c r="F59" s="83">
        <v>5.7500000000000002E-2</v>
      </c>
      <c r="G59" s="84">
        <f t="shared" si="10"/>
        <v>283258.17180405895</v>
      </c>
      <c r="H59" s="84">
        <v>0</v>
      </c>
      <c r="I59" s="109">
        <f t="shared" si="12"/>
        <v>4204.1031148655638</v>
      </c>
      <c r="J59" s="69">
        <f t="shared" si="11"/>
        <v>4049.5857485375373</v>
      </c>
      <c r="K59" s="211">
        <f t="shared" si="14"/>
        <v>8253.688863403102</v>
      </c>
      <c r="L59" s="69">
        <f t="shared" si="13"/>
        <v>36261.35</v>
      </c>
      <c r="M59" s="212">
        <f t="shared" si="15"/>
        <v>44515.038863403097</v>
      </c>
      <c r="N59" s="64">
        <f t="shared" si="5"/>
        <v>287307.75755259651</v>
      </c>
      <c r="O59" s="84">
        <f t="shared" si="8"/>
        <v>242792.71868919343</v>
      </c>
    </row>
    <row r="60" spans="1:15" x14ac:dyDescent="0.2">
      <c r="A60" s="60" t="s">
        <v>68</v>
      </c>
      <c r="B60" s="209" t="str">
        <f t="shared" si="1"/>
        <v>Q2/2020</v>
      </c>
      <c r="C60" s="210">
        <f t="shared" si="6"/>
        <v>43922</v>
      </c>
      <c r="D60" s="210">
        <f t="shared" si="2"/>
        <v>44012</v>
      </c>
      <c r="E60" s="209">
        <f t="shared" si="3"/>
        <v>91</v>
      </c>
      <c r="F60" s="83">
        <v>5.8043480000000001E-2</v>
      </c>
      <c r="G60" s="84">
        <f t="shared" si="10"/>
        <v>242792.71868919343</v>
      </c>
      <c r="H60" s="84">
        <v>0</v>
      </c>
      <c r="I60" s="109">
        <f t="shared" si="12"/>
        <v>4204.1031148655638</v>
      </c>
      <c r="J60" s="69">
        <f t="shared" si="11"/>
        <v>3503.8814817916559</v>
      </c>
      <c r="K60" s="211">
        <f t="shared" si="14"/>
        <v>7707.9845966572193</v>
      </c>
      <c r="L60" s="69">
        <f t="shared" si="13"/>
        <v>36261.35</v>
      </c>
      <c r="M60" s="212">
        <f t="shared" si="15"/>
        <v>43969.334596657216</v>
      </c>
      <c r="N60" s="64">
        <f t="shared" si="5"/>
        <v>246296.60017098507</v>
      </c>
      <c r="O60" s="84">
        <f t="shared" si="8"/>
        <v>202327.26557432784</v>
      </c>
    </row>
    <row r="61" spans="1:15" x14ac:dyDescent="0.2">
      <c r="A61" s="60" t="s">
        <v>69</v>
      </c>
      <c r="B61" s="209" t="str">
        <f t="shared" si="1"/>
        <v>Q3/2020</v>
      </c>
      <c r="C61" s="210">
        <f t="shared" si="6"/>
        <v>44013</v>
      </c>
      <c r="D61" s="210">
        <f t="shared" si="2"/>
        <v>44104</v>
      </c>
      <c r="E61" s="209">
        <f t="shared" si="3"/>
        <v>92</v>
      </c>
      <c r="F61" s="83">
        <v>0.06</v>
      </c>
      <c r="G61" s="84">
        <f t="shared" si="10"/>
        <v>202327.26557432784</v>
      </c>
      <c r="H61" s="84">
        <v>0</v>
      </c>
      <c r="I61" s="109">
        <f t="shared" si="12"/>
        <v>4204.1031148655638</v>
      </c>
      <c r="J61" s="69">
        <f t="shared" si="11"/>
        <v>3051.4931857111737</v>
      </c>
      <c r="K61" s="211">
        <f t="shared" si="14"/>
        <v>7255.5963005767371</v>
      </c>
      <c r="L61" s="69">
        <f t="shared" si="13"/>
        <v>36261.35</v>
      </c>
      <c r="M61" s="212">
        <f t="shared" si="15"/>
        <v>43516.946300576732</v>
      </c>
      <c r="N61" s="64">
        <f t="shared" si="5"/>
        <v>205378.75876003903</v>
      </c>
      <c r="O61" s="84">
        <f t="shared" si="8"/>
        <v>161861.81245946229</v>
      </c>
    </row>
    <row r="62" spans="1:15" x14ac:dyDescent="0.2">
      <c r="A62" s="60" t="s">
        <v>70</v>
      </c>
      <c r="B62" s="209" t="str">
        <f t="shared" si="1"/>
        <v>Q4/2020</v>
      </c>
      <c r="C62" s="210">
        <f t="shared" si="6"/>
        <v>44105</v>
      </c>
      <c r="D62" s="210">
        <f t="shared" si="2"/>
        <v>44196</v>
      </c>
      <c r="E62" s="209">
        <f t="shared" si="3"/>
        <v>92</v>
      </c>
      <c r="F62" s="83">
        <v>6.040761E-2</v>
      </c>
      <c r="G62" s="84">
        <f t="shared" si="10"/>
        <v>161861.81245946229</v>
      </c>
      <c r="H62" s="84">
        <v>0</v>
      </c>
      <c r="I62" s="109">
        <f t="shared" si="12"/>
        <v>4204.1031148655638</v>
      </c>
      <c r="J62" s="69">
        <f t="shared" si="11"/>
        <v>2457.7788037346427</v>
      </c>
      <c r="K62" s="211">
        <f t="shared" si="14"/>
        <v>6661.8819186002065</v>
      </c>
      <c r="L62" s="69">
        <f t="shared" si="13"/>
        <v>36261.35</v>
      </c>
      <c r="M62" s="212">
        <f t="shared" si="15"/>
        <v>42923.231918600206</v>
      </c>
      <c r="N62" s="64">
        <f t="shared" si="5"/>
        <v>164319.59126319693</v>
      </c>
      <c r="O62" s="84">
        <f t="shared" si="8"/>
        <v>121396.35934459671</v>
      </c>
    </row>
    <row r="63" spans="1:15" x14ac:dyDescent="0.2">
      <c r="A63" s="60" t="s">
        <v>71</v>
      </c>
      <c r="B63" s="209" t="str">
        <f t="shared" si="1"/>
        <v>Q1/2021</v>
      </c>
      <c r="C63" s="210">
        <f t="shared" si="6"/>
        <v>44197</v>
      </c>
      <c r="D63" s="210">
        <f t="shared" si="2"/>
        <v>44286</v>
      </c>
      <c r="E63" s="209">
        <f t="shared" si="3"/>
        <v>90</v>
      </c>
      <c r="F63" s="83">
        <v>6.040761E-2</v>
      </c>
      <c r="G63" s="84">
        <f t="shared" si="10"/>
        <v>121396.35934459671</v>
      </c>
      <c r="H63" s="84">
        <v>0</v>
      </c>
      <c r="I63" s="109">
        <f t="shared" si="12"/>
        <v>4204.1031148655638</v>
      </c>
      <c r="J63" s="69">
        <f t="shared" si="11"/>
        <v>1808.2020651061446</v>
      </c>
      <c r="K63" s="211">
        <f t="shared" si="14"/>
        <v>6012.3051799717086</v>
      </c>
      <c r="L63" s="69">
        <f t="shared" si="13"/>
        <v>36261.35</v>
      </c>
      <c r="M63" s="212">
        <f t="shared" si="15"/>
        <v>42273.655179971705</v>
      </c>
      <c r="N63" s="64">
        <f t="shared" si="5"/>
        <v>123204.56140970286</v>
      </c>
      <c r="O63" s="84">
        <f t="shared" si="8"/>
        <v>80930.906229731161</v>
      </c>
    </row>
    <row r="64" spans="1:15" x14ac:dyDescent="0.2">
      <c r="A64" s="60" t="s">
        <v>72</v>
      </c>
      <c r="B64" s="209" t="str">
        <f t="shared" si="1"/>
        <v>Q2/2021</v>
      </c>
      <c r="C64" s="210">
        <f t="shared" si="6"/>
        <v>44287</v>
      </c>
      <c r="D64" s="210">
        <f t="shared" si="2"/>
        <v>44377</v>
      </c>
      <c r="E64" s="209">
        <f t="shared" si="3"/>
        <v>91</v>
      </c>
      <c r="F64" s="83">
        <v>6.040761E-2</v>
      </c>
      <c r="G64" s="84">
        <f t="shared" si="10"/>
        <v>80930.906229731161</v>
      </c>
      <c r="H64" s="84">
        <v>0</v>
      </c>
      <c r="I64" s="109">
        <f t="shared" si="12"/>
        <v>4204.1031148655638</v>
      </c>
      <c r="J64" s="69">
        <f t="shared" si="11"/>
        <v>1218.8621327752533</v>
      </c>
      <c r="K64" s="211">
        <f t="shared" si="14"/>
        <v>5422.9652476408173</v>
      </c>
      <c r="L64" s="69">
        <f t="shared" si="13"/>
        <v>36261.35</v>
      </c>
      <c r="M64" s="212">
        <f t="shared" si="15"/>
        <v>41684.315247640814</v>
      </c>
      <c r="N64" s="64">
        <f t="shared" si="5"/>
        <v>82149.768362506409</v>
      </c>
      <c r="O64" s="84">
        <f t="shared" si="8"/>
        <v>40465.453114865595</v>
      </c>
    </row>
    <row r="65" spans="1:15" x14ac:dyDescent="0.2">
      <c r="A65" s="60" t="s">
        <v>73</v>
      </c>
      <c r="B65" s="209" t="str">
        <f t="shared" si="1"/>
        <v>Q3/2021</v>
      </c>
      <c r="C65" s="210">
        <f t="shared" si="6"/>
        <v>44378</v>
      </c>
      <c r="D65" s="210">
        <f t="shared" si="2"/>
        <v>44469</v>
      </c>
      <c r="E65" s="209">
        <f t="shared" si="3"/>
        <v>92</v>
      </c>
      <c r="F65" s="83">
        <v>6.040761E-2</v>
      </c>
      <c r="G65" s="84">
        <f t="shared" si="10"/>
        <v>40465.453114865595</v>
      </c>
      <c r="H65" s="84">
        <v>0</v>
      </c>
      <c r="I65" s="109">
        <f t="shared" si="12"/>
        <v>4204.1031148655638</v>
      </c>
      <c r="J65" s="69">
        <f t="shared" si="11"/>
        <v>616.12811107320522</v>
      </c>
      <c r="K65" s="211">
        <f t="shared" ref="K65" si="16">+SUM(I65:J65)</f>
        <v>4820.2312259387691</v>
      </c>
      <c r="L65" s="69">
        <f t="shared" si="13"/>
        <v>36261.35</v>
      </c>
      <c r="M65" s="212">
        <f t="shared" si="15"/>
        <v>41081.581225938768</v>
      </c>
      <c r="N65" s="64">
        <f t="shared" si="5"/>
        <v>41081.581225938804</v>
      </c>
      <c r="O65" s="84">
        <f t="shared" si="8"/>
        <v>0</v>
      </c>
    </row>
    <row r="66" spans="1:15" x14ac:dyDescent="0.2">
      <c r="B66" s="66"/>
      <c r="C66" s="67"/>
      <c r="D66" s="67"/>
      <c r="E66" s="68"/>
      <c r="F66" s="66"/>
      <c r="G66" s="69"/>
      <c r="H66" s="71"/>
      <c r="I66" s="213"/>
      <c r="J66" s="69"/>
      <c r="K66" s="214"/>
      <c r="L66" s="70"/>
      <c r="M66" s="215"/>
      <c r="O66" s="69"/>
    </row>
    <row r="67" spans="1:15" ht="13.5" thickBot="1" x14ac:dyDescent="0.25">
      <c r="A67" s="197"/>
      <c r="B67" s="216"/>
      <c r="C67" s="217"/>
      <c r="D67" s="217"/>
      <c r="E67" s="218"/>
      <c r="F67" s="216"/>
      <c r="G67" s="219">
        <f t="shared" ref="G67" si="17">+SUM(G33:G66)</f>
        <v>18585771.729776971</v>
      </c>
      <c r="H67" s="219">
        <f>+SUM(H33:H66)</f>
        <v>84082.062297311277</v>
      </c>
      <c r="I67" s="220">
        <f t="shared" ref="I67:O67" si="18">+SUM(I33:I66)</f>
        <v>84082.062297311233</v>
      </c>
      <c r="J67" s="219">
        <f t="shared" si="18"/>
        <v>77957.345911530749</v>
      </c>
      <c r="K67" s="219">
        <f t="shared" si="18"/>
        <v>162039.40820884204</v>
      </c>
      <c r="L67" s="219">
        <f t="shared" si="18"/>
        <v>725226.99999999977</v>
      </c>
      <c r="M67" s="221">
        <f t="shared" si="18"/>
        <v>887266.40820884204</v>
      </c>
      <c r="N67" s="219">
        <f t="shared" si="18"/>
        <v>18747811.137985822</v>
      </c>
      <c r="O67" s="219">
        <f t="shared" si="18"/>
        <v>17860544.729776971</v>
      </c>
    </row>
    <row r="68" spans="1:15" ht="14.25" thickTop="1" thickBot="1" x14ac:dyDescent="0.25">
      <c r="H68" s="211"/>
      <c r="I68" s="222"/>
      <c r="J68" s="223"/>
      <c r="K68" s="223"/>
      <c r="L68" s="223"/>
      <c r="M68" s="224"/>
    </row>
  </sheetData>
  <mergeCells count="1">
    <mergeCell ref="J31:K31"/>
  </mergeCells>
  <pageMargins left="0.7" right="0.7" top="0.75" bottom="0.75" header="0.3" footer="0.3"/>
  <pageSetup scale="54" fitToHeight="0" orientation="landscape" r:id="rId1"/>
  <headerFooter alignWithMargins="0">
    <oddHeader>&amp;RTO2019 Annual Update
Attachment 4
WP Schedule 22
Page &amp;P of &amp;N</oddHeader>
    <oddFooter>&amp;R&amp;A</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55"/>
  <sheetViews>
    <sheetView zoomScale="80" zoomScaleNormal="80" workbookViewId="0"/>
  </sheetViews>
  <sheetFormatPr defaultColWidth="9.140625" defaultRowHeight="12.75" x14ac:dyDescent="0.2"/>
  <cols>
    <col min="1" max="1" width="10.28515625" style="6" customWidth="1"/>
    <col min="2" max="2" width="13.5703125" style="6" customWidth="1"/>
    <col min="3" max="3" width="14.7109375" style="6" customWidth="1"/>
    <col min="4" max="4" width="13.5703125" style="6" customWidth="1"/>
    <col min="5" max="5" width="12.42578125" style="6" customWidth="1"/>
    <col min="6" max="6" width="15.140625" style="6" bestFit="1" customWidth="1"/>
    <col min="7" max="9" width="16.140625" style="6" customWidth="1"/>
    <col min="10" max="10" width="17.28515625" style="6" bestFit="1" customWidth="1"/>
    <col min="11" max="11" width="16.140625" style="6" customWidth="1"/>
    <col min="12" max="12" width="17.85546875" style="6" customWidth="1"/>
    <col min="13" max="14" width="16.140625" style="6" customWidth="1"/>
    <col min="15" max="15" width="17.28515625" style="6" customWidth="1"/>
    <col min="16" max="16" width="3.42578125" style="6" customWidth="1"/>
    <col min="17" max="17" width="10.7109375" style="6" bestFit="1" customWidth="1"/>
    <col min="18" max="18" width="9.5703125" style="6" bestFit="1" customWidth="1"/>
    <col min="19" max="20" width="10.85546875" style="6" customWidth="1"/>
    <col min="21" max="22" width="10.85546875" style="171" customWidth="1"/>
    <col min="23" max="16384" width="9.140625" style="6"/>
  </cols>
  <sheetData>
    <row r="1" spans="1:22" ht="38.25" x14ac:dyDescent="0.2">
      <c r="A1" s="101" t="s">
        <v>8</v>
      </c>
      <c r="B1" s="102" t="s">
        <v>88</v>
      </c>
      <c r="C1" s="101" t="s">
        <v>2</v>
      </c>
      <c r="D1" s="101" t="s">
        <v>1</v>
      </c>
      <c r="E1" s="102" t="s">
        <v>74</v>
      </c>
      <c r="F1" s="102" t="s">
        <v>48</v>
      </c>
      <c r="G1"/>
      <c r="H1"/>
      <c r="I1"/>
      <c r="J1"/>
      <c r="K1"/>
      <c r="L1"/>
      <c r="M1"/>
      <c r="N1"/>
      <c r="O1"/>
      <c r="P1"/>
      <c r="Q1"/>
      <c r="R1"/>
      <c r="S1"/>
    </row>
    <row r="2" spans="1:22" ht="12.75" customHeight="1" x14ac:dyDescent="0.2">
      <c r="A2" s="96" t="s">
        <v>54</v>
      </c>
      <c r="B2" s="76">
        <v>41876</v>
      </c>
      <c r="C2" s="55">
        <v>122331</v>
      </c>
      <c r="D2" s="55">
        <v>0</v>
      </c>
      <c r="E2" s="55">
        <v>551.59</v>
      </c>
      <c r="F2" s="7">
        <f>SUM(C2:E2)</f>
        <v>122882.59</v>
      </c>
      <c r="G2"/>
      <c r="H2"/>
      <c r="I2"/>
      <c r="J2"/>
      <c r="K2"/>
      <c r="L2"/>
      <c r="M2"/>
      <c r="N2"/>
      <c r="O2"/>
      <c r="P2"/>
      <c r="Q2"/>
      <c r="R2"/>
      <c r="S2"/>
    </row>
    <row r="3" spans="1:22" ht="12.75" customHeight="1" x14ac:dyDescent="0.2">
      <c r="A3" s="96" t="s">
        <v>55</v>
      </c>
      <c r="B3" s="76">
        <v>41934</v>
      </c>
      <c r="C3" s="55">
        <v>244833</v>
      </c>
      <c r="D3" s="55">
        <v>0</v>
      </c>
      <c r="E3" s="55">
        <v>1103.98</v>
      </c>
      <c r="F3" s="7">
        <f t="shared" ref="F3:F7" si="0">SUM(C3:E3)</f>
        <v>245936.98</v>
      </c>
      <c r="G3"/>
      <c r="H3"/>
      <c r="I3"/>
      <c r="J3"/>
      <c r="K3"/>
      <c r="L3"/>
      <c r="M3"/>
      <c r="N3"/>
      <c r="O3"/>
      <c r="P3"/>
      <c r="Q3"/>
      <c r="R3"/>
      <c r="S3"/>
    </row>
    <row r="4" spans="1:22" x14ac:dyDescent="0.2">
      <c r="A4" s="96" t="s">
        <v>56</v>
      </c>
      <c r="B4" s="76">
        <v>42034</v>
      </c>
      <c r="C4" s="55">
        <v>438246</v>
      </c>
      <c r="D4" s="55">
        <v>0</v>
      </c>
      <c r="E4" s="55">
        <v>1975.7</v>
      </c>
      <c r="F4" s="7">
        <f t="shared" si="0"/>
        <v>440221.7</v>
      </c>
      <c r="G4"/>
      <c r="H4"/>
      <c r="I4"/>
      <c r="J4"/>
      <c r="K4"/>
      <c r="L4"/>
      <c r="M4"/>
      <c r="N4"/>
      <c r="O4"/>
      <c r="P4"/>
      <c r="Q4"/>
      <c r="R4"/>
      <c r="S4"/>
    </row>
    <row r="5" spans="1:22" x14ac:dyDescent="0.2">
      <c r="A5" s="96" t="s">
        <v>57</v>
      </c>
      <c r="B5" s="76">
        <v>42124</v>
      </c>
      <c r="C5" s="55">
        <v>636964</v>
      </c>
      <c r="D5" s="55">
        <v>0</v>
      </c>
      <c r="E5" s="55">
        <v>2872.64</v>
      </c>
      <c r="F5" s="7">
        <f t="shared" si="0"/>
        <v>639836.64</v>
      </c>
      <c r="G5"/>
      <c r="H5"/>
      <c r="I5"/>
      <c r="J5"/>
      <c r="K5"/>
      <c r="L5"/>
      <c r="M5"/>
      <c r="N5"/>
      <c r="O5"/>
      <c r="P5"/>
      <c r="Q5"/>
      <c r="R5"/>
      <c r="S5"/>
    </row>
    <row r="6" spans="1:22" ht="12.75" customHeight="1" x14ac:dyDescent="0.2">
      <c r="A6" s="96" t="s">
        <v>58</v>
      </c>
      <c r="B6" s="76">
        <v>42216</v>
      </c>
      <c r="C6" s="55">
        <v>704283</v>
      </c>
      <c r="D6" s="55">
        <v>0</v>
      </c>
      <c r="E6" s="55">
        <v>3176.08</v>
      </c>
      <c r="F6" s="7">
        <f t="shared" si="0"/>
        <v>707459.08</v>
      </c>
      <c r="G6"/>
      <c r="H6"/>
      <c r="I6"/>
      <c r="J6"/>
      <c r="K6"/>
      <c r="L6"/>
      <c r="M6"/>
      <c r="N6"/>
      <c r="O6"/>
      <c r="P6"/>
      <c r="Q6"/>
      <c r="R6"/>
      <c r="S6"/>
    </row>
    <row r="7" spans="1:22" ht="13.5" thickBot="1" x14ac:dyDescent="0.25">
      <c r="A7" s="96" t="s">
        <v>59</v>
      </c>
      <c r="B7" s="76">
        <v>42320</v>
      </c>
      <c r="C7" s="55">
        <v>326703.73</v>
      </c>
      <c r="D7" s="55">
        <v>0</v>
      </c>
      <c r="E7" s="55">
        <v>1474.19</v>
      </c>
      <c r="F7" s="7">
        <f t="shared" si="0"/>
        <v>328177.91999999998</v>
      </c>
      <c r="G7"/>
      <c r="H7"/>
      <c r="I7"/>
      <c r="J7"/>
      <c r="K7"/>
      <c r="L7"/>
      <c r="M7"/>
      <c r="N7"/>
      <c r="O7"/>
      <c r="P7"/>
      <c r="Q7"/>
      <c r="R7"/>
      <c r="S7"/>
    </row>
    <row r="8" spans="1:22" ht="13.5" thickBot="1" x14ac:dyDescent="0.25">
      <c r="B8" s="44" t="s">
        <v>0</v>
      </c>
      <c r="C8" s="79">
        <f>SUM(C2:C7)</f>
        <v>2473360.73</v>
      </c>
      <c r="D8" s="79">
        <f>SUM(D2:D7)</f>
        <v>0</v>
      </c>
      <c r="E8" s="79">
        <f>SUM(E2:E7)</f>
        <v>11154.18</v>
      </c>
      <c r="F8" s="79">
        <f>SUM(F2:F7)</f>
        <v>2484514.91</v>
      </c>
      <c r="G8"/>
      <c r="H8"/>
      <c r="I8"/>
      <c r="J8" s="159"/>
      <c r="K8" s="158" t="s">
        <v>14</v>
      </c>
      <c r="L8" s="250" t="s">
        <v>13</v>
      </c>
      <c r="O8"/>
      <c r="P8"/>
      <c r="Q8"/>
      <c r="R8"/>
      <c r="S8"/>
    </row>
    <row r="9" spans="1:22" ht="13.5" thickTop="1" x14ac:dyDescent="0.2">
      <c r="A9" s="17" t="s">
        <v>19</v>
      </c>
      <c r="B9" s="18" t="s">
        <v>22</v>
      </c>
      <c r="C9" s="8">
        <v>0</v>
      </c>
      <c r="D9" s="8">
        <v>0</v>
      </c>
      <c r="E9" s="8">
        <v>0</v>
      </c>
      <c r="F9" s="8">
        <f>SUM(C9:E9)</f>
        <v>0</v>
      </c>
      <c r="J9" s="156" t="s">
        <v>11</v>
      </c>
      <c r="K9" s="176">
        <v>42528</v>
      </c>
      <c r="L9" s="270">
        <f>K9</f>
        <v>42528</v>
      </c>
      <c r="Q9" s="175"/>
    </row>
    <row r="10" spans="1:22" ht="13.5" thickBot="1" x14ac:dyDescent="0.25">
      <c r="A10" s="17" t="s">
        <v>20</v>
      </c>
      <c r="B10" s="18" t="s">
        <v>22</v>
      </c>
      <c r="C10" s="8">
        <v>0</v>
      </c>
      <c r="D10" s="8">
        <v>0</v>
      </c>
      <c r="E10" s="8">
        <v>0</v>
      </c>
      <c r="F10" s="8">
        <f>SUM(C10:E10)</f>
        <v>0</v>
      </c>
      <c r="J10" s="157" t="s">
        <v>17</v>
      </c>
      <c r="K10" s="104">
        <v>42566</v>
      </c>
      <c r="L10" s="252">
        <v>42576</v>
      </c>
    </row>
    <row r="11" spans="1:22" ht="13.5" thickBot="1" x14ac:dyDescent="0.25">
      <c r="B11" s="44" t="s">
        <v>52</v>
      </c>
      <c r="C11" s="79">
        <f>+C8+C9+C10</f>
        <v>2473360.73</v>
      </c>
      <c r="D11" s="79">
        <f>+D8+D9+D10</f>
        <v>0</v>
      </c>
      <c r="E11" s="79">
        <f>+E8+E9+E10</f>
        <v>11154.18</v>
      </c>
      <c r="F11" s="79">
        <f>+F8+F9+F10</f>
        <v>2484514.91</v>
      </c>
    </row>
    <row r="12" spans="1:22" ht="14.25" thickTop="1" thickBot="1" x14ac:dyDescent="0.25">
      <c r="B12" s="44"/>
      <c r="C12" s="172"/>
      <c r="D12" s="172"/>
      <c r="E12" s="172"/>
      <c r="F12" s="172"/>
    </row>
    <row r="13" spans="1:22" x14ac:dyDescent="0.2">
      <c r="B13" s="43"/>
      <c r="C13" s="5"/>
      <c r="D13" s="17"/>
      <c r="I13" s="177"/>
      <c r="J13" s="316" t="s">
        <v>2</v>
      </c>
      <c r="K13" s="316"/>
      <c r="L13" s="178"/>
      <c r="M13" s="179"/>
      <c r="U13" s="6"/>
      <c r="V13" s="6"/>
    </row>
    <row r="14" spans="1:22" ht="36.75" x14ac:dyDescent="0.2">
      <c r="A14" s="90" t="s">
        <v>53</v>
      </c>
      <c r="B14" s="90" t="s">
        <v>3</v>
      </c>
      <c r="C14" s="90" t="s">
        <v>4</v>
      </c>
      <c r="D14" s="90" t="s">
        <v>5</v>
      </c>
      <c r="E14" s="90" t="s">
        <v>6</v>
      </c>
      <c r="F14" s="90" t="s">
        <v>7</v>
      </c>
      <c r="G14" s="90" t="s">
        <v>80</v>
      </c>
      <c r="H14" s="90" t="s">
        <v>81</v>
      </c>
      <c r="I14" s="105" t="s">
        <v>82</v>
      </c>
      <c r="J14" s="106" t="s">
        <v>83</v>
      </c>
      <c r="K14" s="106" t="s">
        <v>84</v>
      </c>
      <c r="L14" s="106" t="s">
        <v>85</v>
      </c>
      <c r="M14" s="107" t="s">
        <v>75</v>
      </c>
      <c r="N14" s="90" t="s">
        <v>86</v>
      </c>
      <c r="O14" s="90" t="s">
        <v>87</v>
      </c>
      <c r="U14" s="6"/>
      <c r="V14" s="6"/>
    </row>
    <row r="15" spans="1:22" x14ac:dyDescent="0.2">
      <c r="A15" s="96" t="s">
        <v>22</v>
      </c>
      <c r="B15" s="81" t="str">
        <f t="shared" ref="B15:B35" si="1">+IF(MONTH(C15)&lt;4,"Q1",IF(MONTH(C15)&lt;7,"Q2",IF(MONTH(C15)&lt;10,"Q3","Q4")))&amp;"/"&amp;YEAR(C15)</f>
        <v>Q2/2016</v>
      </c>
      <c r="C15" s="82">
        <f>+L9</f>
        <v>42528</v>
      </c>
      <c r="D15" s="82">
        <f t="shared" ref="D15:D35" si="2">DATE(YEAR(C15),IF(MONTH(C15)&lt;=3,3,IF(MONTH(C15)&lt;=6,6,IF(MONTH(C15)&lt;=9,9,12))),IF(OR(MONTH(C15)&lt;=3,MONTH(C15)&gt;=10),31,30))</f>
        <v>42551</v>
      </c>
      <c r="E15" s="81">
        <f t="shared" ref="E15:E35" si="3">D15-C15+1</f>
        <v>24</v>
      </c>
      <c r="F15" s="83">
        <f>VLOOKUP(D15,'FERC Interest Rate'!$A:$B,2,TRUE)</f>
        <v>3.4599999999999999E-2</v>
      </c>
      <c r="G15" s="84">
        <f>+C8</f>
        <v>2473360.73</v>
      </c>
      <c r="H15" s="84">
        <f>G15*F15*(E15/(DATE(YEAR(D15),12,31)-DATE(YEAR(D15),1,1)+1))</f>
        <v>5611.6905742950821</v>
      </c>
      <c r="I15" s="109">
        <v>0</v>
      </c>
      <c r="J15" s="85">
        <v>0</v>
      </c>
      <c r="K15" s="129">
        <f t="shared" ref="K15:K34" si="4">+SUM(I15:J15)</f>
        <v>0</v>
      </c>
      <c r="L15" s="85">
        <v>0</v>
      </c>
      <c r="M15" s="130">
        <v>0</v>
      </c>
      <c r="N15" s="8">
        <f t="shared" ref="N15:N35" si="5">+G15+H15+J15</f>
        <v>2478972.4205742949</v>
      </c>
      <c r="O15" s="84">
        <f>+N15-M15</f>
        <v>2478972.4205742949</v>
      </c>
      <c r="U15" s="6"/>
      <c r="V15" s="6"/>
    </row>
    <row r="16" spans="1:22" x14ac:dyDescent="0.2">
      <c r="A16" s="17" t="s">
        <v>22</v>
      </c>
      <c r="B16" s="81" t="str">
        <f t="shared" si="1"/>
        <v>Q3/2016</v>
      </c>
      <c r="C16" s="82">
        <f t="shared" ref="C16:C35" si="6">D15+1</f>
        <v>42552</v>
      </c>
      <c r="D16" s="82">
        <f t="shared" si="2"/>
        <v>42643</v>
      </c>
      <c r="E16" s="81">
        <f t="shared" si="3"/>
        <v>92</v>
      </c>
      <c r="F16" s="83">
        <f>VLOOKUP(D16,'FERC Interest Rate'!$A:$B,2,TRUE)</f>
        <v>3.5000000000000003E-2</v>
      </c>
      <c r="G16" s="84">
        <f>O15</f>
        <v>2478972.4205742949</v>
      </c>
      <c r="H16" s="84">
        <f>G16*F16*(E16/(DATE(YEAR(D16),12,31)-DATE(YEAR(D16),1,1)+1))</f>
        <v>21809.538782101721</v>
      </c>
      <c r="I16" s="109">
        <v>0</v>
      </c>
      <c r="J16" s="85">
        <v>0</v>
      </c>
      <c r="K16" s="129">
        <f t="shared" si="4"/>
        <v>0</v>
      </c>
      <c r="L16" s="85">
        <v>0</v>
      </c>
      <c r="M16" s="130">
        <f>+SUM(K16:L16)</f>
        <v>0</v>
      </c>
      <c r="N16" s="8">
        <f t="shared" si="5"/>
        <v>2500781.9593563965</v>
      </c>
      <c r="O16" s="84">
        <f t="shared" ref="O16:O35" si="7">+N16-M16</f>
        <v>2500781.9593563965</v>
      </c>
      <c r="U16" s="6"/>
      <c r="V16" s="6"/>
    </row>
    <row r="17" spans="1:22" x14ac:dyDescent="0.2">
      <c r="A17" s="17" t="s">
        <v>22</v>
      </c>
      <c r="B17" s="81" t="str">
        <f t="shared" si="1"/>
        <v>Q4/2016</v>
      </c>
      <c r="C17" s="82">
        <f t="shared" si="6"/>
        <v>42644</v>
      </c>
      <c r="D17" s="82">
        <f t="shared" si="2"/>
        <v>42735</v>
      </c>
      <c r="E17" s="81">
        <f t="shared" si="3"/>
        <v>92</v>
      </c>
      <c r="F17" s="83">
        <f>VLOOKUP(D17,'FERC Interest Rate'!$A:$B,2,TRUE)</f>
        <v>3.5000000000000003E-2</v>
      </c>
      <c r="G17" s="84">
        <f>O16</f>
        <v>2500781.9593563965</v>
      </c>
      <c r="H17" s="84">
        <f>G17*F17*(E17/(DATE(YEAR(D17),12,31)-DATE(YEAR(D17),1,1)+1))</f>
        <v>22001.415052261196</v>
      </c>
      <c r="I17" s="109">
        <v>0</v>
      </c>
      <c r="J17" s="85">
        <v>0</v>
      </c>
      <c r="K17" s="129">
        <f t="shared" si="4"/>
        <v>0</v>
      </c>
      <c r="L17" s="85">
        <v>0</v>
      </c>
      <c r="M17" s="130">
        <f>+SUM(K17:L17)</f>
        <v>0</v>
      </c>
      <c r="N17" s="8">
        <f t="shared" si="5"/>
        <v>2522783.3744086577</v>
      </c>
      <c r="O17" s="84">
        <f t="shared" si="7"/>
        <v>2522783.3744086577</v>
      </c>
      <c r="U17" s="6"/>
      <c r="V17" s="6"/>
    </row>
    <row r="18" spans="1:22" x14ac:dyDescent="0.2">
      <c r="A18" s="96" t="s">
        <v>54</v>
      </c>
      <c r="B18" s="81" t="str">
        <f t="shared" si="1"/>
        <v>Q1/2017</v>
      </c>
      <c r="C18" s="82">
        <f t="shared" si="6"/>
        <v>42736</v>
      </c>
      <c r="D18" s="82">
        <f t="shared" si="2"/>
        <v>42825</v>
      </c>
      <c r="E18" s="81">
        <f t="shared" si="3"/>
        <v>90</v>
      </c>
      <c r="F18" s="83">
        <f>VLOOKUP(D18,'FERC Interest Rate'!$A:$B,2,TRUE)</f>
        <v>3.5000000000000003E-2</v>
      </c>
      <c r="G18" s="84">
        <f>O17</f>
        <v>2522783.3744086577</v>
      </c>
      <c r="H18" s="84">
        <f>G18*F18*(E18/(DATE(YEAR(D18),12,31)-DATE(YEAR(D18),1,1)+1))</f>
        <v>21771.966107910335</v>
      </c>
      <c r="I18" s="109">
        <f t="shared" ref="I18:I37" si="8">(SUM($H$15:$H$38)/20)</f>
        <v>3559.7305258284168</v>
      </c>
      <c r="J18" s="85">
        <v>0</v>
      </c>
      <c r="K18" s="129">
        <f t="shared" si="4"/>
        <v>3559.7305258284168</v>
      </c>
      <c r="L18" s="85">
        <f>+$C$8/20</f>
        <v>123668.0365</v>
      </c>
      <c r="M18" s="130">
        <f>+SUM(K18:L18)</f>
        <v>127227.76702582842</v>
      </c>
      <c r="N18" s="8">
        <f t="shared" si="5"/>
        <v>2544555.3405165682</v>
      </c>
      <c r="O18" s="84">
        <f t="shared" si="7"/>
        <v>2417327.5734907398</v>
      </c>
      <c r="U18" s="6"/>
      <c r="V18" s="6"/>
    </row>
    <row r="19" spans="1:22" x14ac:dyDescent="0.2">
      <c r="A19" s="96" t="s">
        <v>55</v>
      </c>
      <c r="B19" s="81" t="str">
        <f t="shared" si="1"/>
        <v>Q2/2017</v>
      </c>
      <c r="C19" s="82">
        <f t="shared" si="6"/>
        <v>42826</v>
      </c>
      <c r="D19" s="82">
        <f t="shared" si="2"/>
        <v>42916</v>
      </c>
      <c r="E19" s="81">
        <f t="shared" si="3"/>
        <v>91</v>
      </c>
      <c r="F19" s="83">
        <f>VLOOKUP(D19,'FERC Interest Rate'!$A:$B,2,TRUE)</f>
        <v>3.7100000000000001E-2</v>
      </c>
      <c r="G19" s="84">
        <f>O18</f>
        <v>2417327.5734907398</v>
      </c>
      <c r="H19" s="84">
        <v>0</v>
      </c>
      <c r="I19" s="109">
        <f t="shared" si="8"/>
        <v>3559.7305258284168</v>
      </c>
      <c r="J19" s="85">
        <f t="shared" ref="J19:J23" si="9">G19*F19*(E19/(DATE(YEAR(D19),12,31)-DATE(YEAR(D19),1,1)+1))</f>
        <v>22359.286632498868</v>
      </c>
      <c r="K19" s="129">
        <f t="shared" si="4"/>
        <v>25919.017158327286</v>
      </c>
      <c r="L19" s="85">
        <f t="shared" ref="L19:L37" si="10">+$C$8/20</f>
        <v>123668.0365</v>
      </c>
      <c r="M19" s="130">
        <f>+SUM(K19:L19)</f>
        <v>149587.05365832729</v>
      </c>
      <c r="N19" s="8">
        <f t="shared" si="5"/>
        <v>2439686.8601232385</v>
      </c>
      <c r="O19" s="84">
        <f t="shared" si="7"/>
        <v>2290099.8064649114</v>
      </c>
      <c r="U19" s="6"/>
      <c r="V19" s="6"/>
    </row>
    <row r="20" spans="1:22" x14ac:dyDescent="0.2">
      <c r="A20" s="96" t="s">
        <v>56</v>
      </c>
      <c r="B20" s="81" t="str">
        <f t="shared" si="1"/>
        <v>Q3/2017</v>
      </c>
      <c r="C20" s="82">
        <f t="shared" si="6"/>
        <v>42917</v>
      </c>
      <c r="D20" s="82">
        <f t="shared" si="2"/>
        <v>43008</v>
      </c>
      <c r="E20" s="81">
        <f t="shared" si="3"/>
        <v>92</v>
      </c>
      <c r="F20" s="83">
        <f>VLOOKUP(D20,'FERC Interest Rate'!$A:$B,2,TRUE)</f>
        <v>3.9600000000000003E-2</v>
      </c>
      <c r="G20" s="84">
        <f t="shared" ref="G20:G35" si="11">O19</f>
        <v>2290099.8064649114</v>
      </c>
      <c r="H20" s="84">
        <v>0</v>
      </c>
      <c r="I20" s="109">
        <f t="shared" si="8"/>
        <v>3559.7305258284168</v>
      </c>
      <c r="J20" s="85">
        <f t="shared" si="9"/>
        <v>22858.333191542373</v>
      </c>
      <c r="K20" s="129">
        <f t="shared" si="4"/>
        <v>26418.063717370791</v>
      </c>
      <c r="L20" s="85">
        <f t="shared" si="10"/>
        <v>123668.0365</v>
      </c>
      <c r="M20" s="130">
        <f>+SUM(K20:L20)</f>
        <v>150086.10021737078</v>
      </c>
      <c r="N20" s="8">
        <f t="shared" si="5"/>
        <v>2312958.1396564539</v>
      </c>
      <c r="O20" s="84">
        <f t="shared" si="7"/>
        <v>2162872.0394390831</v>
      </c>
      <c r="U20" s="6"/>
      <c r="V20" s="6"/>
    </row>
    <row r="21" spans="1:22" x14ac:dyDescent="0.2">
      <c r="A21" s="17" t="s">
        <v>57</v>
      </c>
      <c r="B21" s="81" t="str">
        <f t="shared" si="1"/>
        <v>Q4/2017</v>
      </c>
      <c r="C21" s="82">
        <f t="shared" si="6"/>
        <v>43009</v>
      </c>
      <c r="D21" s="82">
        <f t="shared" si="2"/>
        <v>43100</v>
      </c>
      <c r="E21" s="81">
        <f t="shared" si="3"/>
        <v>92</v>
      </c>
      <c r="F21" s="83">
        <f>VLOOKUP(D21,'FERC Interest Rate'!$A:$B,2,TRUE)</f>
        <v>4.2099999999999999E-2</v>
      </c>
      <c r="G21" s="84">
        <f t="shared" si="11"/>
        <v>2162872.0394390831</v>
      </c>
      <c r="H21" s="84">
        <v>0</v>
      </c>
      <c r="I21" s="109">
        <f t="shared" si="8"/>
        <v>3559.7305258284168</v>
      </c>
      <c r="J21" s="85">
        <f t="shared" si="9"/>
        <v>22951.331460699879</v>
      </c>
      <c r="K21" s="129">
        <f t="shared" si="4"/>
        <v>26511.061986528297</v>
      </c>
      <c r="L21" s="85">
        <f t="shared" si="10"/>
        <v>123668.0365</v>
      </c>
      <c r="M21" s="130">
        <f t="shared" ref="M21:M34" si="12">+SUM(K21:L21)</f>
        <v>150179.0984865283</v>
      </c>
      <c r="N21" s="8">
        <f t="shared" si="5"/>
        <v>2185823.370899783</v>
      </c>
      <c r="O21" s="84">
        <f t="shared" si="7"/>
        <v>2035644.2724132547</v>
      </c>
      <c r="U21" s="6"/>
      <c r="V21" s="6"/>
    </row>
    <row r="22" spans="1:22" x14ac:dyDescent="0.2">
      <c r="A22" s="17" t="s">
        <v>58</v>
      </c>
      <c r="B22" s="81" t="str">
        <f t="shared" si="1"/>
        <v>Q1/2018</v>
      </c>
      <c r="C22" s="82">
        <f t="shared" si="6"/>
        <v>43101</v>
      </c>
      <c r="D22" s="82">
        <f t="shared" si="2"/>
        <v>43190</v>
      </c>
      <c r="E22" s="81">
        <f t="shared" si="3"/>
        <v>90</v>
      </c>
      <c r="F22" s="83">
        <f>VLOOKUP(D22,'FERC Interest Rate'!$A:$B,2,TRUE)</f>
        <v>4.2500000000000003E-2</v>
      </c>
      <c r="G22" s="84">
        <f t="shared" si="11"/>
        <v>2035644.2724132547</v>
      </c>
      <c r="H22" s="84">
        <v>0</v>
      </c>
      <c r="I22" s="109">
        <f t="shared" si="8"/>
        <v>3559.7305258284168</v>
      </c>
      <c r="J22" s="85">
        <f t="shared" si="9"/>
        <v>21332.436553371779</v>
      </c>
      <c r="K22" s="129">
        <f t="shared" si="4"/>
        <v>24892.167079200197</v>
      </c>
      <c r="L22" s="85">
        <f t="shared" si="10"/>
        <v>123668.0365</v>
      </c>
      <c r="M22" s="130">
        <f t="shared" si="12"/>
        <v>148560.2035792002</v>
      </c>
      <c r="N22" s="8">
        <f t="shared" si="5"/>
        <v>2056976.7089666266</v>
      </c>
      <c r="O22" s="84">
        <f t="shared" si="7"/>
        <v>1908416.5053874264</v>
      </c>
      <c r="U22" s="6"/>
      <c r="V22" s="6"/>
    </row>
    <row r="23" spans="1:22" x14ac:dyDescent="0.2">
      <c r="A23" s="17" t="s">
        <v>59</v>
      </c>
      <c r="B23" s="81" t="str">
        <f t="shared" si="1"/>
        <v>Q2/2018</v>
      </c>
      <c r="C23" s="82">
        <f t="shared" si="6"/>
        <v>43191</v>
      </c>
      <c r="D23" s="82">
        <f t="shared" si="2"/>
        <v>43281</v>
      </c>
      <c r="E23" s="81">
        <f t="shared" si="3"/>
        <v>91</v>
      </c>
      <c r="F23" s="83">
        <f>VLOOKUP(D23,'FERC Interest Rate'!$A:$B,2,TRUE)</f>
        <v>4.4699999999999997E-2</v>
      </c>
      <c r="G23" s="84">
        <f t="shared" si="11"/>
        <v>1908416.5053874264</v>
      </c>
      <c r="H23" s="84">
        <v>0</v>
      </c>
      <c r="I23" s="109">
        <f t="shared" si="8"/>
        <v>3559.7305258284168</v>
      </c>
      <c r="J23" s="85">
        <f t="shared" si="9"/>
        <v>21268.125531409409</v>
      </c>
      <c r="K23" s="129">
        <f t="shared" si="4"/>
        <v>24827.856057237826</v>
      </c>
      <c r="L23" s="85">
        <f t="shared" si="10"/>
        <v>123668.0365</v>
      </c>
      <c r="M23" s="130">
        <f t="shared" si="12"/>
        <v>148495.89255723782</v>
      </c>
      <c r="N23" s="8">
        <f t="shared" si="5"/>
        <v>1929684.6309188358</v>
      </c>
      <c r="O23" s="84">
        <f t="shared" si="7"/>
        <v>1781188.738361598</v>
      </c>
      <c r="U23" s="6"/>
      <c r="V23" s="6"/>
    </row>
    <row r="24" spans="1:22" x14ac:dyDescent="0.2">
      <c r="A24" s="17" t="s">
        <v>60</v>
      </c>
      <c r="B24" s="81" t="str">
        <f t="shared" si="1"/>
        <v>Q3/2018</v>
      </c>
      <c r="C24" s="82">
        <f t="shared" si="6"/>
        <v>43282</v>
      </c>
      <c r="D24" s="82">
        <f t="shared" si="2"/>
        <v>43373</v>
      </c>
      <c r="E24" s="81">
        <f t="shared" si="3"/>
        <v>92</v>
      </c>
      <c r="F24" s="83">
        <f>VLOOKUP(D24,'FERC Interest Rate'!$A:$B,2,TRUE)</f>
        <v>5.011111E-2</v>
      </c>
      <c r="G24" s="84">
        <f t="shared" si="11"/>
        <v>1781188.738361598</v>
      </c>
      <c r="H24" s="84">
        <v>0</v>
      </c>
      <c r="I24" s="109">
        <f t="shared" si="8"/>
        <v>3559.7305258284168</v>
      </c>
      <c r="J24" s="85">
        <f t="shared" ref="J24:J35" si="13">G24*F24*(E24/(DATE(YEAR(D24),12,31)-DATE(YEAR(D24),1,1)+1))</f>
        <v>22497.741702711046</v>
      </c>
      <c r="K24" s="129">
        <f t="shared" si="4"/>
        <v>26057.472228539464</v>
      </c>
      <c r="L24" s="85">
        <f t="shared" si="10"/>
        <v>123668.0365</v>
      </c>
      <c r="M24" s="130">
        <f t="shared" si="12"/>
        <v>149725.50872853945</v>
      </c>
      <c r="N24" s="8">
        <f t="shared" si="5"/>
        <v>1803686.480064309</v>
      </c>
      <c r="O24" s="84">
        <f t="shared" si="7"/>
        <v>1653960.9713357696</v>
      </c>
      <c r="U24" s="6"/>
      <c r="V24" s="6"/>
    </row>
    <row r="25" spans="1:22" x14ac:dyDescent="0.2">
      <c r="A25" s="17" t="s">
        <v>61</v>
      </c>
      <c r="B25" s="81" t="str">
        <f t="shared" si="1"/>
        <v>Q4/2018</v>
      </c>
      <c r="C25" s="82">
        <f t="shared" si="6"/>
        <v>43374</v>
      </c>
      <c r="D25" s="82">
        <f t="shared" si="2"/>
        <v>43465</v>
      </c>
      <c r="E25" s="81">
        <f t="shared" si="3"/>
        <v>92</v>
      </c>
      <c r="F25" s="83">
        <f>VLOOKUP(D25,'FERC Interest Rate'!$A:$B,2,TRUE)</f>
        <v>5.2822580000000001E-2</v>
      </c>
      <c r="G25" s="84">
        <f t="shared" si="11"/>
        <v>1653960.9713357696</v>
      </c>
      <c r="H25" s="84">
        <v>0</v>
      </c>
      <c r="I25" s="109">
        <f t="shared" si="8"/>
        <v>3559.7305258284168</v>
      </c>
      <c r="J25" s="85">
        <f t="shared" si="13"/>
        <v>22021.141607463149</v>
      </c>
      <c r="K25" s="129">
        <f t="shared" si="4"/>
        <v>25580.872133291567</v>
      </c>
      <c r="L25" s="85">
        <f t="shared" si="10"/>
        <v>123668.0365</v>
      </c>
      <c r="M25" s="130">
        <f t="shared" si="12"/>
        <v>149248.90863329158</v>
      </c>
      <c r="N25" s="8">
        <f t="shared" si="5"/>
        <v>1675982.1129432328</v>
      </c>
      <c r="O25" s="84">
        <f t="shared" si="7"/>
        <v>1526733.2043099413</v>
      </c>
      <c r="U25" s="6"/>
      <c r="V25" s="6"/>
    </row>
    <row r="26" spans="1:22" x14ac:dyDescent="0.2">
      <c r="A26" s="17" t="s">
        <v>62</v>
      </c>
      <c r="B26" s="81" t="str">
        <f t="shared" si="1"/>
        <v>Q1/2019</v>
      </c>
      <c r="C26" s="82">
        <f t="shared" si="6"/>
        <v>43466</v>
      </c>
      <c r="D26" s="82">
        <f t="shared" si="2"/>
        <v>43555</v>
      </c>
      <c r="E26" s="81">
        <f t="shared" si="3"/>
        <v>90</v>
      </c>
      <c r="F26" s="83">
        <f>VLOOKUP(D26,'FERC Interest Rate'!$A:$B,2,TRUE)</f>
        <v>5.5296770000000002E-2</v>
      </c>
      <c r="G26" s="84">
        <f t="shared" si="11"/>
        <v>1526733.2043099413</v>
      </c>
      <c r="H26" s="84">
        <v>0</v>
      </c>
      <c r="I26" s="109">
        <f t="shared" si="8"/>
        <v>3559.7305258284168</v>
      </c>
      <c r="J26" s="85">
        <f t="shared" si="13"/>
        <v>20816.732428789273</v>
      </c>
      <c r="K26" s="129">
        <f t="shared" si="4"/>
        <v>24376.462954617691</v>
      </c>
      <c r="L26" s="85">
        <f t="shared" si="10"/>
        <v>123668.0365</v>
      </c>
      <c r="M26" s="130">
        <f t="shared" si="12"/>
        <v>148044.4994546177</v>
      </c>
      <c r="N26" s="8">
        <f t="shared" si="5"/>
        <v>1547549.9367387306</v>
      </c>
      <c r="O26" s="84">
        <f t="shared" si="7"/>
        <v>1399505.4372841129</v>
      </c>
      <c r="U26" s="6"/>
      <c r="V26" s="6"/>
    </row>
    <row r="27" spans="1:22" x14ac:dyDescent="0.2">
      <c r="A27" s="17" t="s">
        <v>63</v>
      </c>
      <c r="B27" s="81" t="str">
        <f t="shared" si="1"/>
        <v>Q2/2019</v>
      </c>
      <c r="C27" s="82">
        <f t="shared" si="6"/>
        <v>43556</v>
      </c>
      <c r="D27" s="82">
        <f t="shared" si="2"/>
        <v>43646</v>
      </c>
      <c r="E27" s="81">
        <f t="shared" si="3"/>
        <v>91</v>
      </c>
      <c r="F27" s="83">
        <f>VLOOKUP(D27,'FERC Interest Rate'!$A:$B,2,TRUE)</f>
        <v>5.7999999999999996E-2</v>
      </c>
      <c r="G27" s="84">
        <f t="shared" si="11"/>
        <v>1399505.4372841129</v>
      </c>
      <c r="H27" s="84">
        <v>0</v>
      </c>
      <c r="I27" s="109">
        <f t="shared" si="8"/>
        <v>3559.7305258284168</v>
      </c>
      <c r="J27" s="85">
        <f t="shared" si="13"/>
        <v>20237.232049275473</v>
      </c>
      <c r="K27" s="129">
        <f t="shared" si="4"/>
        <v>23796.962575103891</v>
      </c>
      <c r="L27" s="85">
        <f t="shared" si="10"/>
        <v>123668.0365</v>
      </c>
      <c r="M27" s="130">
        <f t="shared" si="12"/>
        <v>147464.9990751039</v>
      </c>
      <c r="N27" s="8">
        <f t="shared" si="5"/>
        <v>1419742.6693333883</v>
      </c>
      <c r="O27" s="84">
        <f t="shared" si="7"/>
        <v>1272277.6702582845</v>
      </c>
      <c r="U27" s="6"/>
      <c r="V27" s="6"/>
    </row>
    <row r="28" spans="1:22" x14ac:dyDescent="0.2">
      <c r="A28" s="17" t="s">
        <v>64</v>
      </c>
      <c r="B28" s="81" t="str">
        <f t="shared" si="1"/>
        <v>Q3/2019</v>
      </c>
      <c r="C28" s="82">
        <f t="shared" si="6"/>
        <v>43647</v>
      </c>
      <c r="D28" s="82">
        <f t="shared" si="2"/>
        <v>43738</v>
      </c>
      <c r="E28" s="81">
        <f t="shared" si="3"/>
        <v>92</v>
      </c>
      <c r="F28" s="83">
        <f>VLOOKUP(D28,'FERC Interest Rate'!$A:$B,2,TRUE)</f>
        <v>0.06</v>
      </c>
      <c r="G28" s="84">
        <f t="shared" si="11"/>
        <v>1272277.6702582845</v>
      </c>
      <c r="H28" s="84">
        <v>0</v>
      </c>
      <c r="I28" s="109">
        <f t="shared" si="8"/>
        <v>3559.7305258284168</v>
      </c>
      <c r="J28" s="85">
        <f t="shared" si="13"/>
        <v>19241.021205002005</v>
      </c>
      <c r="K28" s="129">
        <f t="shared" si="4"/>
        <v>22800.751730830423</v>
      </c>
      <c r="L28" s="85">
        <f t="shared" si="10"/>
        <v>123668.0365</v>
      </c>
      <c r="M28" s="130">
        <f t="shared" si="12"/>
        <v>146468.78823083043</v>
      </c>
      <c r="N28" s="8">
        <f t="shared" si="5"/>
        <v>1291518.6914632865</v>
      </c>
      <c r="O28" s="84">
        <f t="shared" si="7"/>
        <v>1145049.9032324562</v>
      </c>
      <c r="U28" s="6"/>
      <c r="V28" s="6"/>
    </row>
    <row r="29" spans="1:22" x14ac:dyDescent="0.2">
      <c r="A29" s="17" t="s">
        <v>65</v>
      </c>
      <c r="B29" s="81" t="str">
        <f t="shared" si="1"/>
        <v>Q4/2019</v>
      </c>
      <c r="C29" s="82">
        <f t="shared" si="6"/>
        <v>43739</v>
      </c>
      <c r="D29" s="82">
        <f t="shared" si="2"/>
        <v>43830</v>
      </c>
      <c r="E29" s="81">
        <f t="shared" si="3"/>
        <v>92</v>
      </c>
      <c r="F29" s="83">
        <f>VLOOKUP(D29,'FERC Interest Rate'!$A:$B,2,TRUE)</f>
        <v>6.0349460000000001E-2</v>
      </c>
      <c r="G29" s="84">
        <f t="shared" si="11"/>
        <v>1145049.9032324562</v>
      </c>
      <c r="H29" s="84">
        <v>0</v>
      </c>
      <c r="I29" s="109">
        <f t="shared" si="8"/>
        <v>3559.7305258284168</v>
      </c>
      <c r="J29" s="85">
        <f t="shared" si="13"/>
        <v>17417.778593556304</v>
      </c>
      <c r="K29" s="129">
        <f t="shared" si="4"/>
        <v>20977.509119384722</v>
      </c>
      <c r="L29" s="85">
        <f t="shared" si="10"/>
        <v>123668.0365</v>
      </c>
      <c r="M29" s="130">
        <f t="shared" si="12"/>
        <v>144645.54561938473</v>
      </c>
      <c r="N29" s="8">
        <f t="shared" si="5"/>
        <v>1162467.6818260124</v>
      </c>
      <c r="O29" s="84">
        <f t="shared" si="7"/>
        <v>1017822.1362066277</v>
      </c>
      <c r="U29" s="6"/>
      <c r="V29" s="6"/>
    </row>
    <row r="30" spans="1:22" x14ac:dyDescent="0.2">
      <c r="A30" s="17" t="s">
        <v>66</v>
      </c>
      <c r="B30" s="81" t="str">
        <f t="shared" si="1"/>
        <v>Q1/2020</v>
      </c>
      <c r="C30" s="82">
        <f t="shared" si="6"/>
        <v>43831</v>
      </c>
      <c r="D30" s="82">
        <f t="shared" si="2"/>
        <v>43921</v>
      </c>
      <c r="E30" s="81">
        <f t="shared" si="3"/>
        <v>91</v>
      </c>
      <c r="F30" s="83">
        <f>VLOOKUP(D30,'FERC Interest Rate'!$A:$B,2,TRUE)</f>
        <v>6.2501040000000008E-2</v>
      </c>
      <c r="G30" s="84">
        <f t="shared" si="11"/>
        <v>1017822.1362066277</v>
      </c>
      <c r="H30" s="84">
        <v>0</v>
      </c>
      <c r="I30" s="109">
        <f t="shared" si="8"/>
        <v>3559.7305258284168</v>
      </c>
      <c r="J30" s="85">
        <f t="shared" si="13"/>
        <v>15816.829853448542</v>
      </c>
      <c r="K30" s="129">
        <f t="shared" si="4"/>
        <v>19376.560379276958</v>
      </c>
      <c r="L30" s="85">
        <f t="shared" si="10"/>
        <v>123668.0365</v>
      </c>
      <c r="M30" s="130">
        <f t="shared" si="12"/>
        <v>143044.59687927697</v>
      </c>
      <c r="N30" s="8">
        <f t="shared" si="5"/>
        <v>1033638.9660600763</v>
      </c>
      <c r="O30" s="84">
        <f t="shared" si="7"/>
        <v>890594.36918079923</v>
      </c>
      <c r="U30" s="6"/>
      <c r="V30" s="6"/>
    </row>
    <row r="31" spans="1:22" x14ac:dyDescent="0.2">
      <c r="A31" s="17" t="s">
        <v>67</v>
      </c>
      <c r="B31" s="81" t="str">
        <f t="shared" si="1"/>
        <v>Q2/2020</v>
      </c>
      <c r="C31" s="82">
        <f t="shared" si="6"/>
        <v>43922</v>
      </c>
      <c r="D31" s="82">
        <f t="shared" si="2"/>
        <v>44012</v>
      </c>
      <c r="E31" s="81">
        <f t="shared" si="3"/>
        <v>91</v>
      </c>
      <c r="F31" s="83">
        <f>VLOOKUP(D31,'FERC Interest Rate'!$A:$B,2,TRUE)</f>
        <v>6.3055559999999997E-2</v>
      </c>
      <c r="G31" s="84">
        <f t="shared" si="11"/>
        <v>890594.36918079923</v>
      </c>
      <c r="H31" s="84">
        <v>0</v>
      </c>
      <c r="I31" s="109">
        <f t="shared" si="8"/>
        <v>3559.7305258284168</v>
      </c>
      <c r="J31" s="85">
        <f t="shared" si="13"/>
        <v>13962.514557432582</v>
      </c>
      <c r="K31" s="129">
        <f t="shared" si="4"/>
        <v>17522.245083260997</v>
      </c>
      <c r="L31" s="85">
        <f t="shared" si="10"/>
        <v>123668.0365</v>
      </c>
      <c r="M31" s="130">
        <f t="shared" si="12"/>
        <v>141190.28158326101</v>
      </c>
      <c r="N31" s="8">
        <f t="shared" si="5"/>
        <v>904556.88373823185</v>
      </c>
      <c r="O31" s="84">
        <f t="shared" si="7"/>
        <v>763366.60215497087</v>
      </c>
      <c r="U31" s="6"/>
      <c r="V31" s="6"/>
    </row>
    <row r="32" spans="1:22" x14ac:dyDescent="0.2">
      <c r="A32" s="17" t="s">
        <v>68</v>
      </c>
      <c r="B32" s="81" t="str">
        <f t="shared" si="1"/>
        <v>Q3/2020</v>
      </c>
      <c r="C32" s="82">
        <f t="shared" si="6"/>
        <v>44013</v>
      </c>
      <c r="D32" s="82">
        <f t="shared" si="2"/>
        <v>44104</v>
      </c>
      <c r="E32" s="81">
        <f t="shared" si="3"/>
        <v>92</v>
      </c>
      <c r="F32" s="83">
        <f>VLOOKUP(D32,'FERC Interest Rate'!$A:$B,2,TRUE)</f>
        <v>6.5000000000000002E-2</v>
      </c>
      <c r="G32" s="84">
        <f t="shared" si="11"/>
        <v>763366.60215497087</v>
      </c>
      <c r="H32" s="84">
        <v>0</v>
      </c>
      <c r="I32" s="109">
        <f t="shared" si="8"/>
        <v>3559.7305258284168</v>
      </c>
      <c r="J32" s="85">
        <f t="shared" si="13"/>
        <v>12472.49257072876</v>
      </c>
      <c r="K32" s="129">
        <f t="shared" si="4"/>
        <v>16032.223096557176</v>
      </c>
      <c r="L32" s="85">
        <f t="shared" si="10"/>
        <v>123668.0365</v>
      </c>
      <c r="M32" s="130">
        <f t="shared" si="12"/>
        <v>139700.25959655718</v>
      </c>
      <c r="N32" s="8">
        <f t="shared" si="5"/>
        <v>775839.09472569963</v>
      </c>
      <c r="O32" s="84">
        <f t="shared" si="7"/>
        <v>636138.83512914251</v>
      </c>
      <c r="U32" s="6"/>
      <c r="V32" s="6"/>
    </row>
    <row r="33" spans="1:22" x14ac:dyDescent="0.2">
      <c r="A33" s="17" t="s">
        <v>69</v>
      </c>
      <c r="B33" s="81" t="str">
        <f t="shared" si="1"/>
        <v>Q4/2020</v>
      </c>
      <c r="C33" s="82">
        <f t="shared" si="6"/>
        <v>44105</v>
      </c>
      <c r="D33" s="82">
        <f t="shared" si="2"/>
        <v>44196</v>
      </c>
      <c r="E33" s="81">
        <f t="shared" si="3"/>
        <v>92</v>
      </c>
      <c r="F33" s="83">
        <f>VLOOKUP(D33,'FERC Interest Rate'!$A:$B,2,TRUE)</f>
        <v>6.5000000000000002E-2</v>
      </c>
      <c r="G33" s="84">
        <f t="shared" si="11"/>
        <v>636138.83512914251</v>
      </c>
      <c r="H33" s="84">
        <v>0</v>
      </c>
      <c r="I33" s="109">
        <f t="shared" si="8"/>
        <v>3559.7305258284168</v>
      </c>
      <c r="J33" s="85">
        <f t="shared" si="13"/>
        <v>10393.743808940633</v>
      </c>
      <c r="K33" s="129">
        <f t="shared" si="4"/>
        <v>13953.474334769049</v>
      </c>
      <c r="L33" s="85">
        <f t="shared" si="10"/>
        <v>123668.0365</v>
      </c>
      <c r="M33" s="130">
        <f t="shared" si="12"/>
        <v>137621.51083476905</v>
      </c>
      <c r="N33" s="8">
        <f t="shared" si="5"/>
        <v>646532.57893808314</v>
      </c>
      <c r="O33" s="84">
        <f t="shared" si="7"/>
        <v>508911.06810331409</v>
      </c>
      <c r="U33" s="6"/>
      <c r="V33" s="6"/>
    </row>
    <row r="34" spans="1:22" x14ac:dyDescent="0.2">
      <c r="A34" s="17" t="s">
        <v>70</v>
      </c>
      <c r="B34" s="81" t="str">
        <f t="shared" si="1"/>
        <v>Q1/2021</v>
      </c>
      <c r="C34" s="82">
        <f t="shared" si="6"/>
        <v>44197</v>
      </c>
      <c r="D34" s="82">
        <f t="shared" si="2"/>
        <v>44286</v>
      </c>
      <c r="E34" s="81">
        <f t="shared" si="3"/>
        <v>90</v>
      </c>
      <c r="F34" s="83">
        <f>VLOOKUP(D34,'FERC Interest Rate'!$A:$B,2,TRUE)</f>
        <v>6.5000000000000002E-2</v>
      </c>
      <c r="G34" s="84">
        <f t="shared" si="11"/>
        <v>508911.06810331409</v>
      </c>
      <c r="H34" s="84">
        <v>0</v>
      </c>
      <c r="I34" s="109">
        <f t="shared" si="8"/>
        <v>3559.7305258284168</v>
      </c>
      <c r="J34" s="85">
        <f t="shared" si="13"/>
        <v>8156.5198586421575</v>
      </c>
      <c r="K34" s="129">
        <f t="shared" si="4"/>
        <v>11716.250384470575</v>
      </c>
      <c r="L34" s="85">
        <f t="shared" si="10"/>
        <v>123668.0365</v>
      </c>
      <c r="M34" s="130">
        <f t="shared" si="12"/>
        <v>135384.28688447058</v>
      </c>
      <c r="N34" s="8">
        <f t="shared" si="5"/>
        <v>517067.58796195622</v>
      </c>
      <c r="O34" s="84">
        <f t="shared" si="7"/>
        <v>381683.30107748567</v>
      </c>
      <c r="U34" s="6"/>
      <c r="V34" s="6"/>
    </row>
    <row r="35" spans="1:22" x14ac:dyDescent="0.2">
      <c r="A35" s="17" t="s">
        <v>71</v>
      </c>
      <c r="B35" s="81" t="str">
        <f t="shared" si="1"/>
        <v>Q2/2021</v>
      </c>
      <c r="C35" s="82">
        <f t="shared" si="6"/>
        <v>44287</v>
      </c>
      <c r="D35" s="82">
        <f t="shared" si="2"/>
        <v>44377</v>
      </c>
      <c r="E35" s="81">
        <f t="shared" si="3"/>
        <v>91</v>
      </c>
      <c r="F35" s="83">
        <f>VLOOKUP(D35,'FERC Interest Rate'!$A:$B,2,TRUE)</f>
        <v>6.5000000000000002E-2</v>
      </c>
      <c r="G35" s="84">
        <f t="shared" si="11"/>
        <v>381683.30107748567</v>
      </c>
      <c r="H35" s="84">
        <v>0</v>
      </c>
      <c r="I35" s="109">
        <f t="shared" si="8"/>
        <v>3559.7305258284168</v>
      </c>
      <c r="J35" s="85">
        <f t="shared" si="13"/>
        <v>6185.3608928036383</v>
      </c>
      <c r="K35" s="129">
        <f>+SUM(I35:J35)</f>
        <v>9745.0914186320551</v>
      </c>
      <c r="L35" s="85">
        <f t="shared" si="10"/>
        <v>123668.0365</v>
      </c>
      <c r="M35" s="130">
        <f>+SUM(K35:L35)</f>
        <v>133413.12791863206</v>
      </c>
      <c r="N35" s="8">
        <f t="shared" si="5"/>
        <v>387868.66197028931</v>
      </c>
      <c r="O35" s="84">
        <f t="shared" si="7"/>
        <v>254455.53405165725</v>
      </c>
      <c r="U35" s="6"/>
      <c r="V35" s="6"/>
    </row>
    <row r="36" spans="1:22" x14ac:dyDescent="0.2">
      <c r="A36" s="17" t="s">
        <v>72</v>
      </c>
      <c r="B36" s="81" t="str">
        <f t="shared" ref="B36:B37" si="14">+IF(MONTH(C36)&lt;4,"Q1",IF(MONTH(C36)&lt;7,"Q2",IF(MONTH(C36)&lt;10,"Q3","Q4")))&amp;"/"&amp;YEAR(C36)</f>
        <v>Q3/2021</v>
      </c>
      <c r="C36" s="82">
        <f t="shared" ref="C36:C37" si="15">D35+1</f>
        <v>44378</v>
      </c>
      <c r="D36" s="82">
        <f t="shared" ref="D36:D37" si="16">DATE(YEAR(C36),IF(MONTH(C36)&lt;=3,3,IF(MONTH(C36)&lt;=6,6,IF(MONTH(C36)&lt;=9,9,12))),IF(OR(MONTH(C36)&lt;=3,MONTH(C36)&gt;=10),31,30))</f>
        <v>44469</v>
      </c>
      <c r="E36" s="81">
        <f t="shared" ref="E36:E37" si="17">D36-C36+1</f>
        <v>92</v>
      </c>
      <c r="F36" s="83">
        <f>VLOOKUP(D36,'FERC Interest Rate'!$A:$B,2,TRUE)</f>
        <v>6.5000000000000002E-2</v>
      </c>
      <c r="G36" s="84">
        <f t="shared" ref="G36:G37" si="18">O35</f>
        <v>254455.53405165725</v>
      </c>
      <c r="H36" s="84">
        <v>0</v>
      </c>
      <c r="I36" s="109">
        <f t="shared" si="8"/>
        <v>3559.7305258284168</v>
      </c>
      <c r="J36" s="85">
        <f t="shared" ref="J36:J37" si="19">G36*F36*(E36/(DATE(YEAR(D36),12,31)-DATE(YEAR(D36),1,1)+1))</f>
        <v>4168.8879277504393</v>
      </c>
      <c r="K36" s="129">
        <f>+SUM(I36:J36)</f>
        <v>7728.6184535788561</v>
      </c>
      <c r="L36" s="85">
        <f t="shared" si="10"/>
        <v>123668.0365</v>
      </c>
      <c r="M36" s="130">
        <f>+SUM(K36:L36)</f>
        <v>131396.65495357887</v>
      </c>
      <c r="N36" s="8">
        <f t="shared" ref="N36:N37" si="20">+G36+H36+J36</f>
        <v>258624.42197940769</v>
      </c>
      <c r="O36" s="84">
        <f t="shared" ref="O36:O37" si="21">+N36-M36</f>
        <v>127227.76702582883</v>
      </c>
      <c r="U36" s="6"/>
      <c r="V36" s="6"/>
    </row>
    <row r="37" spans="1:22" x14ac:dyDescent="0.2">
      <c r="A37" s="17" t="s">
        <v>73</v>
      </c>
      <c r="B37" s="81" t="str">
        <f t="shared" si="14"/>
        <v>Q4/2021</v>
      </c>
      <c r="C37" s="82">
        <f t="shared" si="15"/>
        <v>44470</v>
      </c>
      <c r="D37" s="82">
        <f t="shared" si="16"/>
        <v>44561</v>
      </c>
      <c r="E37" s="81">
        <f t="shared" si="17"/>
        <v>92</v>
      </c>
      <c r="F37" s="83">
        <f>VLOOKUP(D37,'FERC Interest Rate'!$A:$B,2,TRUE)</f>
        <v>6.5000000000000002E-2</v>
      </c>
      <c r="G37" s="84">
        <f t="shared" si="18"/>
        <v>127227.76702582883</v>
      </c>
      <c r="H37" s="84">
        <v>0</v>
      </c>
      <c r="I37" s="109">
        <f t="shared" si="8"/>
        <v>3559.7305258284168</v>
      </c>
      <c r="J37" s="85">
        <f t="shared" si="19"/>
        <v>2084.4439638752233</v>
      </c>
      <c r="K37" s="129">
        <f>+SUM(I37:J37)</f>
        <v>5644.1744897036406</v>
      </c>
      <c r="L37" s="85">
        <f t="shared" si="10"/>
        <v>123668.0365</v>
      </c>
      <c r="M37" s="130">
        <f>+SUM(K37:L37)</f>
        <v>129312.21098970364</v>
      </c>
      <c r="N37" s="8">
        <f t="shared" si="20"/>
        <v>129312.21098970405</v>
      </c>
      <c r="O37" s="84">
        <f t="shared" si="21"/>
        <v>4.0745362639427185E-10</v>
      </c>
      <c r="U37" s="6"/>
      <c r="V37" s="6"/>
    </row>
    <row r="38" spans="1:22" x14ac:dyDescent="0.2">
      <c r="B38" s="11"/>
      <c r="C38" s="125"/>
      <c r="D38" s="125"/>
      <c r="E38" s="10"/>
      <c r="F38" s="11"/>
      <c r="G38" s="85"/>
      <c r="H38" s="12"/>
      <c r="I38" s="115"/>
      <c r="J38" s="85"/>
      <c r="K38" s="117"/>
      <c r="L38" s="70"/>
      <c r="M38" s="131"/>
      <c r="O38" s="85"/>
      <c r="U38" s="6"/>
      <c r="V38" s="6"/>
    </row>
    <row r="39" spans="1:22" ht="13.5" thickBot="1" x14ac:dyDescent="0.25">
      <c r="A39" s="151"/>
      <c r="B39" s="152"/>
      <c r="C39" s="155"/>
      <c r="D39" s="155"/>
      <c r="E39" s="154"/>
      <c r="F39" s="152"/>
      <c r="G39" s="140">
        <f t="shared" ref="G39:O39" si="22">+SUM(G15:G38)</f>
        <v>34149174.219246738</v>
      </c>
      <c r="H39" s="140">
        <f t="shared" si="22"/>
        <v>71194.61051656834</v>
      </c>
      <c r="I39" s="141">
        <f t="shared" si="22"/>
        <v>71194.61051656834</v>
      </c>
      <c r="J39" s="140">
        <f t="shared" si="22"/>
        <v>306241.95438994153</v>
      </c>
      <c r="K39" s="140">
        <f t="shared" si="22"/>
        <v>377436.56490650994</v>
      </c>
      <c r="L39" s="140">
        <f t="shared" si="22"/>
        <v>2473360.7299999995</v>
      </c>
      <c r="M39" s="142">
        <f t="shared" si="22"/>
        <v>2850797.2949065096</v>
      </c>
      <c r="N39" s="140">
        <f t="shared" si="22"/>
        <v>34526610.784153253</v>
      </c>
      <c r="O39" s="140">
        <f t="shared" si="22"/>
        <v>31675813.489246741</v>
      </c>
      <c r="U39" s="6"/>
      <c r="V39" s="6"/>
    </row>
    <row r="40" spans="1:22" ht="14.25" thickTop="1" thickBot="1" x14ac:dyDescent="0.25">
      <c r="A40" s="174"/>
      <c r="B40" s="184"/>
      <c r="C40" s="185"/>
      <c r="D40" s="185"/>
      <c r="E40" s="186"/>
      <c r="F40" s="184"/>
      <c r="G40" s="175"/>
      <c r="H40" s="175"/>
      <c r="I40" s="187"/>
      <c r="J40" s="175"/>
      <c r="K40" s="175"/>
      <c r="L40" s="175"/>
      <c r="M40" s="188"/>
      <c r="N40" s="175"/>
      <c r="O40" s="175"/>
      <c r="U40" s="6"/>
      <c r="V40" s="6"/>
    </row>
    <row r="41" spans="1:22" x14ac:dyDescent="0.2">
      <c r="A41" s="310" t="s">
        <v>16</v>
      </c>
      <c r="B41" s="310"/>
      <c r="C41" s="310"/>
      <c r="D41" s="310"/>
      <c r="E41" s="310"/>
      <c r="F41" s="310"/>
      <c r="G41" s="175"/>
      <c r="H41" s="175"/>
      <c r="I41" s="262"/>
      <c r="J41" s="262"/>
      <c r="K41" s="262"/>
      <c r="L41" s="262"/>
      <c r="M41" s="262"/>
      <c r="N41" s="175"/>
      <c r="O41" s="175"/>
      <c r="U41" s="6"/>
      <c r="V41" s="6"/>
    </row>
    <row r="42" spans="1:22" ht="63.75" x14ac:dyDescent="0.2">
      <c r="A42" s="106" t="s">
        <v>4</v>
      </c>
      <c r="B42" s="106" t="s">
        <v>5</v>
      </c>
      <c r="C42" s="106" t="s">
        <v>95</v>
      </c>
      <c r="D42" s="106" t="s">
        <v>96</v>
      </c>
      <c r="E42" s="106" t="s">
        <v>97</v>
      </c>
      <c r="F42" s="106" t="s">
        <v>98</v>
      </c>
      <c r="G42" s="175"/>
      <c r="H42" s="175"/>
      <c r="I42" s="175"/>
      <c r="J42" s="175"/>
      <c r="K42" s="175"/>
      <c r="L42" s="175"/>
      <c r="M42" s="175"/>
      <c r="N42" s="175"/>
      <c r="O42" s="175"/>
      <c r="U42" s="6"/>
      <c r="V42" s="6"/>
    </row>
    <row r="43" spans="1:22" x14ac:dyDescent="0.2">
      <c r="A43" s="82">
        <f>+C18</f>
        <v>42736</v>
      </c>
      <c r="B43" s="82">
        <f>DATE(YEAR(A43),IF(MONTH(A43)&lt;=3,3,IF(MONTH(A43)&lt;=6,6,IF(MONTH(A43)&lt;=9,9,12))),IF(OR(MONTH(A43)&lt;=3,MONTH(A43)&gt;=10),31,30))</f>
        <v>42825</v>
      </c>
      <c r="C43" s="85">
        <f t="shared" ref="C43:C62" si="23">+I78+I111+I143+I174+I204+I233</f>
        <v>36.954252912263364</v>
      </c>
      <c r="D43" s="85">
        <f t="shared" ref="D43:D62" si="24">+J78+J111+J143+J174+J204+J233</f>
        <v>0</v>
      </c>
      <c r="E43" s="85">
        <f t="shared" ref="E43:E62" si="25">+K78+K111+K143+K174+K204+K233</f>
        <v>36.954252912263364</v>
      </c>
      <c r="F43" s="85">
        <f t="shared" ref="F43:F62" si="26">+L78+L111+L143+L174+L204+L233</f>
        <v>557.70900000000006</v>
      </c>
      <c r="G43" s="175"/>
      <c r="H43" s="175"/>
      <c r="I43" s="175"/>
      <c r="J43" s="175"/>
      <c r="K43" s="175"/>
      <c r="L43" s="175"/>
      <c r="M43" s="175"/>
      <c r="N43" s="175"/>
      <c r="O43" s="175"/>
      <c r="U43" s="6"/>
      <c r="V43" s="6"/>
    </row>
    <row r="44" spans="1:22" x14ac:dyDescent="0.2">
      <c r="A44" s="82">
        <f>B43+1</f>
        <v>42826</v>
      </c>
      <c r="B44" s="82">
        <f>EOMONTH(B43,3)</f>
        <v>42916</v>
      </c>
      <c r="C44" s="85">
        <f t="shared" si="23"/>
        <v>36.954252912263364</v>
      </c>
      <c r="D44" s="85">
        <f t="shared" si="24"/>
        <v>104.50742343831442</v>
      </c>
      <c r="E44" s="85">
        <f t="shared" si="25"/>
        <v>141.46167635057776</v>
      </c>
      <c r="F44" s="85">
        <f t="shared" si="26"/>
        <v>557.70900000000006</v>
      </c>
      <c r="G44" s="175"/>
      <c r="H44" s="175"/>
      <c r="I44" s="175"/>
      <c r="J44" s="175"/>
      <c r="K44" s="175"/>
      <c r="L44" s="175"/>
      <c r="M44" s="175"/>
      <c r="N44" s="175"/>
      <c r="O44" s="175"/>
      <c r="U44" s="6"/>
      <c r="V44" s="6"/>
    </row>
    <row r="45" spans="1:22" x14ac:dyDescent="0.2">
      <c r="A45" s="82">
        <f t="shared" ref="A45:A62" si="27">B44+1</f>
        <v>42917</v>
      </c>
      <c r="B45" s="82">
        <f t="shared" ref="B45:B62" si="28">EOMONTH(B44,3)</f>
        <v>43008</v>
      </c>
      <c r="C45" s="85">
        <f t="shared" si="23"/>
        <v>36.954252912263364</v>
      </c>
      <c r="D45" s="85">
        <f t="shared" si="24"/>
        <v>106.83996968268288</v>
      </c>
      <c r="E45" s="85">
        <f t="shared" si="25"/>
        <v>143.79422259494626</v>
      </c>
      <c r="F45" s="85">
        <f t="shared" si="26"/>
        <v>557.70900000000006</v>
      </c>
      <c r="G45" s="175"/>
      <c r="H45" s="175"/>
      <c r="I45" s="175"/>
      <c r="J45" s="175"/>
      <c r="K45" s="175"/>
      <c r="L45" s="175"/>
      <c r="M45" s="175"/>
      <c r="N45" s="175"/>
      <c r="O45" s="175"/>
      <c r="U45" s="6"/>
      <c r="V45" s="6"/>
    </row>
    <row r="46" spans="1:22" x14ac:dyDescent="0.2">
      <c r="A46" s="82">
        <f t="shared" si="27"/>
        <v>43009</v>
      </c>
      <c r="B46" s="82">
        <f t="shared" si="28"/>
        <v>43100</v>
      </c>
      <c r="C46" s="85">
        <f t="shared" si="23"/>
        <v>36.954252912263364</v>
      </c>
      <c r="D46" s="85">
        <f t="shared" si="24"/>
        <v>107.27464408234587</v>
      </c>
      <c r="E46" s="85">
        <f t="shared" si="25"/>
        <v>144.22889699460924</v>
      </c>
      <c r="F46" s="85">
        <f t="shared" si="26"/>
        <v>557.70900000000006</v>
      </c>
      <c r="G46" s="175"/>
      <c r="H46" s="175"/>
      <c r="I46" s="175"/>
      <c r="J46" s="175"/>
      <c r="K46" s="175"/>
      <c r="L46" s="175"/>
      <c r="M46" s="175"/>
      <c r="N46" s="175"/>
      <c r="O46" s="175"/>
      <c r="U46" s="6"/>
      <c r="V46" s="6"/>
    </row>
    <row r="47" spans="1:22" x14ac:dyDescent="0.2">
      <c r="A47" s="82">
        <f t="shared" si="27"/>
        <v>43101</v>
      </c>
      <c r="B47" s="82">
        <f t="shared" si="28"/>
        <v>43190</v>
      </c>
      <c r="C47" s="85">
        <f t="shared" si="23"/>
        <v>36.954252912263364</v>
      </c>
      <c r="D47" s="85">
        <f t="shared" si="24"/>
        <v>99.707920762275393</v>
      </c>
      <c r="E47" s="85">
        <f t="shared" si="25"/>
        <v>136.66217367453876</v>
      </c>
      <c r="F47" s="85">
        <f t="shared" si="26"/>
        <v>557.70900000000006</v>
      </c>
      <c r="G47" s="175"/>
      <c r="H47" s="175"/>
      <c r="I47" s="175"/>
      <c r="J47" s="175"/>
      <c r="K47" s="175"/>
      <c r="L47" s="175"/>
      <c r="M47" s="175"/>
      <c r="N47" s="175"/>
      <c r="O47" s="175"/>
      <c r="U47" s="6"/>
      <c r="V47" s="6"/>
    </row>
    <row r="48" spans="1:22" x14ac:dyDescent="0.2">
      <c r="A48" s="82">
        <f t="shared" si="27"/>
        <v>43191</v>
      </c>
      <c r="B48" s="82">
        <f t="shared" si="28"/>
        <v>43281</v>
      </c>
      <c r="C48" s="85">
        <f t="shared" si="23"/>
        <v>36.954252912263364</v>
      </c>
      <c r="D48" s="85">
        <f t="shared" si="24"/>
        <v>99.407330707036181</v>
      </c>
      <c r="E48" s="85">
        <f t="shared" si="25"/>
        <v>136.36158361929955</v>
      </c>
      <c r="F48" s="85">
        <f t="shared" si="26"/>
        <v>557.70900000000006</v>
      </c>
      <c r="G48" s="175"/>
      <c r="H48" s="175"/>
      <c r="I48" s="175"/>
      <c r="J48" s="175"/>
      <c r="K48" s="175"/>
      <c r="L48" s="175"/>
      <c r="M48" s="175"/>
      <c r="N48" s="175"/>
      <c r="O48" s="175"/>
      <c r="U48" s="6"/>
      <c r="V48" s="6"/>
    </row>
    <row r="49" spans="1:22" x14ac:dyDescent="0.2">
      <c r="A49" s="82">
        <f t="shared" si="27"/>
        <v>43282</v>
      </c>
      <c r="B49" s="82">
        <f t="shared" si="28"/>
        <v>43373</v>
      </c>
      <c r="C49" s="85">
        <f t="shared" si="23"/>
        <v>36.954252912263364</v>
      </c>
      <c r="D49" s="85">
        <f t="shared" si="24"/>
        <v>105.15456316542958</v>
      </c>
      <c r="E49" s="85">
        <f t="shared" si="25"/>
        <v>142.10881607769295</v>
      </c>
      <c r="F49" s="85">
        <f t="shared" si="26"/>
        <v>557.70900000000006</v>
      </c>
      <c r="G49" s="175"/>
      <c r="H49" s="175"/>
      <c r="I49" s="175"/>
      <c r="J49" s="175"/>
      <c r="K49" s="175"/>
      <c r="L49" s="175"/>
      <c r="M49" s="175"/>
      <c r="N49" s="175"/>
      <c r="O49" s="175"/>
      <c r="U49" s="6"/>
      <c r="V49" s="6"/>
    </row>
    <row r="50" spans="1:22" x14ac:dyDescent="0.2">
      <c r="A50" s="82">
        <f t="shared" si="27"/>
        <v>43374</v>
      </c>
      <c r="B50" s="82">
        <f t="shared" si="28"/>
        <v>43465</v>
      </c>
      <c r="C50" s="85">
        <f t="shared" si="23"/>
        <v>36.954252912263364</v>
      </c>
      <c r="D50" s="85">
        <f t="shared" si="24"/>
        <v>102.92693181101876</v>
      </c>
      <c r="E50" s="85">
        <f t="shared" si="25"/>
        <v>139.88118472328213</v>
      </c>
      <c r="F50" s="85">
        <f t="shared" si="26"/>
        <v>557.70900000000006</v>
      </c>
      <c r="G50" s="175"/>
      <c r="H50" s="175"/>
      <c r="I50" s="175"/>
      <c r="J50" s="175"/>
      <c r="K50" s="175"/>
      <c r="L50" s="175"/>
      <c r="M50" s="175"/>
      <c r="N50" s="175"/>
      <c r="O50" s="175"/>
      <c r="U50" s="6"/>
      <c r="V50" s="6"/>
    </row>
    <row r="51" spans="1:22" x14ac:dyDescent="0.2">
      <c r="A51" s="82">
        <f t="shared" si="27"/>
        <v>43466</v>
      </c>
      <c r="B51" s="82">
        <f t="shared" si="28"/>
        <v>43555</v>
      </c>
      <c r="C51" s="85">
        <f t="shared" si="23"/>
        <v>36.954252912263364</v>
      </c>
      <c r="D51" s="85">
        <f t="shared" si="24"/>
        <v>97.297516968878256</v>
      </c>
      <c r="E51" s="85">
        <f t="shared" si="25"/>
        <v>134.2517698811416</v>
      </c>
      <c r="F51" s="85">
        <f t="shared" si="26"/>
        <v>557.70900000000006</v>
      </c>
      <c r="G51" s="175"/>
      <c r="H51" s="175"/>
      <c r="I51" s="175"/>
      <c r="J51" s="175"/>
      <c r="K51" s="175"/>
      <c r="L51" s="175"/>
      <c r="M51" s="175"/>
      <c r="N51" s="175"/>
      <c r="O51" s="175"/>
      <c r="U51" s="6"/>
      <c r="V51" s="6"/>
    </row>
    <row r="52" spans="1:22" x14ac:dyDescent="0.2">
      <c r="A52" s="82">
        <f t="shared" si="27"/>
        <v>43556</v>
      </c>
      <c r="B52" s="82">
        <f t="shared" si="28"/>
        <v>43646</v>
      </c>
      <c r="C52" s="85">
        <f t="shared" si="23"/>
        <v>36.954252912263364</v>
      </c>
      <c r="D52" s="85">
        <f t="shared" si="24"/>
        <v>94.5889291440553</v>
      </c>
      <c r="E52" s="85">
        <f t="shared" si="25"/>
        <v>131.54318205631867</v>
      </c>
      <c r="F52" s="85">
        <f t="shared" si="26"/>
        <v>557.70900000000006</v>
      </c>
      <c r="G52" s="175"/>
      <c r="H52" s="175"/>
      <c r="I52" s="175"/>
      <c r="J52" s="175"/>
      <c r="K52" s="175"/>
      <c r="L52" s="175"/>
      <c r="M52" s="175"/>
      <c r="N52" s="175"/>
      <c r="O52" s="175"/>
      <c r="U52" s="6"/>
      <c r="V52" s="6"/>
    </row>
    <row r="53" spans="1:22" x14ac:dyDescent="0.2">
      <c r="A53" s="82">
        <f t="shared" si="27"/>
        <v>43647</v>
      </c>
      <c r="B53" s="82">
        <f t="shared" si="28"/>
        <v>43738</v>
      </c>
      <c r="C53" s="85">
        <f t="shared" si="23"/>
        <v>36.954252912263364</v>
      </c>
      <c r="D53" s="85">
        <f t="shared" si="24"/>
        <v>89.932634413032716</v>
      </c>
      <c r="E53" s="85">
        <f t="shared" si="25"/>
        <v>126.88688732529607</v>
      </c>
      <c r="F53" s="85">
        <f t="shared" si="26"/>
        <v>557.70900000000006</v>
      </c>
      <c r="G53" s="175"/>
      <c r="H53" s="175"/>
      <c r="I53" s="175"/>
      <c r="J53" s="175"/>
      <c r="K53" s="175"/>
      <c r="L53" s="175"/>
      <c r="M53" s="175"/>
      <c r="N53" s="175"/>
      <c r="O53" s="175"/>
      <c r="U53" s="6"/>
      <c r="V53" s="6"/>
    </row>
    <row r="54" spans="1:22" x14ac:dyDescent="0.2">
      <c r="A54" s="82">
        <f t="shared" si="27"/>
        <v>43739</v>
      </c>
      <c r="B54" s="82">
        <f t="shared" si="28"/>
        <v>43830</v>
      </c>
      <c r="C54" s="85">
        <f t="shared" si="23"/>
        <v>36.954252912263364</v>
      </c>
      <c r="D54" s="85">
        <f t="shared" si="24"/>
        <v>81.410788848059113</v>
      </c>
      <c r="E54" s="85">
        <f t="shared" si="25"/>
        <v>118.36504176032247</v>
      </c>
      <c r="F54" s="85">
        <f t="shared" si="26"/>
        <v>557.70900000000006</v>
      </c>
      <c r="G54" s="175"/>
      <c r="H54" s="175"/>
      <c r="I54" s="175"/>
      <c r="J54" s="175"/>
      <c r="K54" s="175"/>
      <c r="L54" s="175"/>
      <c r="M54" s="175"/>
      <c r="N54" s="175"/>
      <c r="O54" s="175"/>
      <c r="U54" s="6"/>
      <c r="V54" s="6"/>
    </row>
    <row r="55" spans="1:22" x14ac:dyDescent="0.2">
      <c r="A55" s="82">
        <f t="shared" si="27"/>
        <v>43831</v>
      </c>
      <c r="B55" s="82">
        <f t="shared" si="28"/>
        <v>43921</v>
      </c>
      <c r="C55" s="85">
        <f t="shared" si="23"/>
        <v>36.954252912263364</v>
      </c>
      <c r="D55" s="85">
        <f t="shared" si="24"/>
        <v>73.927946008060204</v>
      </c>
      <c r="E55" s="85">
        <f t="shared" si="25"/>
        <v>110.88219892032356</v>
      </c>
      <c r="F55" s="85">
        <f t="shared" si="26"/>
        <v>557.70900000000006</v>
      </c>
      <c r="G55" s="175"/>
      <c r="H55" s="175"/>
      <c r="I55" s="175"/>
      <c r="J55" s="175"/>
      <c r="K55" s="175"/>
      <c r="L55" s="175"/>
      <c r="M55" s="175"/>
      <c r="N55" s="175"/>
      <c r="O55" s="175"/>
      <c r="U55" s="6"/>
      <c r="V55" s="6"/>
    </row>
    <row r="56" spans="1:22" x14ac:dyDescent="0.2">
      <c r="A56" s="82">
        <f t="shared" si="27"/>
        <v>43922</v>
      </c>
      <c r="B56" s="82">
        <f t="shared" si="28"/>
        <v>44012</v>
      </c>
      <c r="C56" s="85">
        <f t="shared" si="23"/>
        <v>36.954252912263364</v>
      </c>
      <c r="D56" s="85">
        <f t="shared" si="24"/>
        <v>65.260866551812555</v>
      </c>
      <c r="E56" s="85">
        <f t="shared" si="25"/>
        <v>102.21511946407593</v>
      </c>
      <c r="F56" s="85">
        <f t="shared" si="26"/>
        <v>557.70900000000006</v>
      </c>
      <c r="G56" s="175"/>
      <c r="H56" s="175"/>
      <c r="I56" s="175"/>
      <c r="J56" s="175"/>
      <c r="K56" s="175"/>
      <c r="L56" s="175"/>
      <c r="M56" s="175"/>
      <c r="N56" s="175"/>
      <c r="O56" s="175"/>
      <c r="U56" s="6"/>
      <c r="V56" s="6"/>
    </row>
    <row r="57" spans="1:22" x14ac:dyDescent="0.2">
      <c r="A57" s="82">
        <f t="shared" si="27"/>
        <v>44013</v>
      </c>
      <c r="B57" s="82">
        <f t="shared" si="28"/>
        <v>44104</v>
      </c>
      <c r="C57" s="85">
        <f t="shared" si="23"/>
        <v>36.954252912263364</v>
      </c>
      <c r="D57" s="85">
        <f t="shared" si="24"/>
        <v>58.296495941235001</v>
      </c>
      <c r="E57" s="85">
        <f t="shared" si="25"/>
        <v>95.250748853498365</v>
      </c>
      <c r="F57" s="85">
        <f t="shared" si="26"/>
        <v>557.70900000000006</v>
      </c>
      <c r="G57" s="175"/>
      <c r="H57" s="175"/>
      <c r="I57" s="175"/>
      <c r="J57" s="175"/>
      <c r="K57" s="175"/>
      <c r="L57" s="175"/>
      <c r="M57" s="175"/>
      <c r="N57" s="175"/>
      <c r="O57" s="175"/>
      <c r="U57" s="6"/>
      <c r="V57" s="6"/>
    </row>
    <row r="58" spans="1:22" x14ac:dyDescent="0.2">
      <c r="A58" s="82">
        <f t="shared" si="27"/>
        <v>44105</v>
      </c>
      <c r="B58" s="82">
        <f t="shared" si="28"/>
        <v>44196</v>
      </c>
      <c r="C58" s="85">
        <f t="shared" si="23"/>
        <v>36.954252912263364</v>
      </c>
      <c r="D58" s="85">
        <f t="shared" si="24"/>
        <v>48.580413284362493</v>
      </c>
      <c r="E58" s="85">
        <f t="shared" si="25"/>
        <v>85.534666196625864</v>
      </c>
      <c r="F58" s="85">
        <f t="shared" si="26"/>
        <v>557.70900000000006</v>
      </c>
      <c r="G58" s="175"/>
      <c r="H58" s="175"/>
      <c r="I58" s="175"/>
      <c r="J58" s="175"/>
      <c r="K58" s="175"/>
      <c r="L58" s="175"/>
      <c r="M58" s="175"/>
      <c r="N58" s="175"/>
      <c r="O58" s="175"/>
      <c r="U58" s="6"/>
      <c r="V58" s="6"/>
    </row>
    <row r="59" spans="1:22" x14ac:dyDescent="0.2">
      <c r="A59" s="82">
        <f t="shared" si="27"/>
        <v>44197</v>
      </c>
      <c r="B59" s="82">
        <f t="shared" si="28"/>
        <v>44286</v>
      </c>
      <c r="C59" s="85">
        <f t="shared" si="23"/>
        <v>36.954252912263364</v>
      </c>
      <c r="D59" s="85">
        <f t="shared" si="24"/>
        <v>38.123616762046467</v>
      </c>
      <c r="E59" s="85">
        <f t="shared" si="25"/>
        <v>75.077869674309838</v>
      </c>
      <c r="F59" s="85">
        <f t="shared" si="26"/>
        <v>557.70900000000006</v>
      </c>
      <c r="G59" s="175"/>
      <c r="H59" s="175"/>
      <c r="I59" s="175"/>
      <c r="J59" s="175"/>
      <c r="K59" s="175"/>
      <c r="L59" s="175"/>
      <c r="M59" s="175"/>
      <c r="N59" s="175"/>
      <c r="O59" s="175"/>
      <c r="U59" s="6"/>
      <c r="V59" s="6"/>
    </row>
    <row r="60" spans="1:22" x14ac:dyDescent="0.2">
      <c r="A60" s="82">
        <f t="shared" si="27"/>
        <v>44287</v>
      </c>
      <c r="B60" s="82">
        <f t="shared" si="28"/>
        <v>44377</v>
      </c>
      <c r="C60" s="85">
        <f t="shared" si="23"/>
        <v>36.954252912263364</v>
      </c>
      <c r="D60" s="85">
        <f t="shared" si="24"/>
        <v>28.910409377885237</v>
      </c>
      <c r="E60" s="85">
        <f t="shared" si="25"/>
        <v>65.864662290148601</v>
      </c>
      <c r="F60" s="85">
        <f t="shared" si="26"/>
        <v>557.70900000000006</v>
      </c>
      <c r="G60" s="175"/>
      <c r="H60" s="175"/>
      <c r="I60" s="175"/>
      <c r="J60" s="175"/>
      <c r="K60" s="175"/>
      <c r="L60" s="175"/>
      <c r="M60" s="175"/>
      <c r="N60" s="175"/>
      <c r="O60" s="175"/>
      <c r="U60" s="6"/>
      <c r="V60" s="6"/>
    </row>
    <row r="61" spans="1:22" x14ac:dyDescent="0.2">
      <c r="A61" s="82">
        <f t="shared" si="27"/>
        <v>44378</v>
      </c>
      <c r="B61" s="82">
        <f t="shared" si="28"/>
        <v>44469</v>
      </c>
      <c r="C61" s="85">
        <f t="shared" si="23"/>
        <v>36.954252912263364</v>
      </c>
      <c r="D61" s="85">
        <f t="shared" si="24"/>
        <v>19.485404122823748</v>
      </c>
      <c r="E61" s="85">
        <f t="shared" si="25"/>
        <v>56.439657035087109</v>
      </c>
      <c r="F61" s="85">
        <f t="shared" si="26"/>
        <v>557.70900000000006</v>
      </c>
      <c r="G61" s="175"/>
      <c r="H61" s="175"/>
      <c r="I61" s="175"/>
      <c r="J61" s="175"/>
      <c r="K61" s="175"/>
      <c r="L61" s="175"/>
      <c r="M61" s="175"/>
      <c r="N61" s="175"/>
      <c r="O61" s="175"/>
      <c r="U61" s="6"/>
      <c r="V61" s="6"/>
    </row>
    <row r="62" spans="1:22" x14ac:dyDescent="0.2">
      <c r="A62" s="82">
        <f t="shared" si="27"/>
        <v>44470</v>
      </c>
      <c r="B62" s="82">
        <f t="shared" si="28"/>
        <v>44561</v>
      </c>
      <c r="C62" s="85">
        <f t="shared" si="23"/>
        <v>36.954252912263364</v>
      </c>
      <c r="D62" s="85">
        <f t="shared" si="24"/>
        <v>9.7427020614118742</v>
      </c>
      <c r="E62" s="85">
        <f t="shared" si="25"/>
        <v>46.69695497367524</v>
      </c>
      <c r="F62" s="85">
        <f t="shared" si="26"/>
        <v>557.70900000000006</v>
      </c>
      <c r="G62" s="175"/>
      <c r="H62" s="175"/>
      <c r="I62" s="175"/>
      <c r="J62" s="175"/>
      <c r="K62" s="175"/>
      <c r="L62" s="175"/>
      <c r="M62" s="175"/>
      <c r="N62" s="175"/>
      <c r="O62" s="175"/>
      <c r="U62" s="6"/>
      <c r="V62" s="6"/>
    </row>
    <row r="63" spans="1:22" x14ac:dyDescent="0.2">
      <c r="A63" s="82"/>
      <c r="B63" s="82"/>
      <c r="C63" s="85"/>
      <c r="D63" s="85"/>
      <c r="E63" s="85"/>
      <c r="F63" s="85"/>
      <c r="G63" s="175"/>
      <c r="H63" s="175"/>
      <c r="I63" s="175"/>
      <c r="J63" s="175"/>
      <c r="K63" s="175"/>
      <c r="L63" s="175"/>
      <c r="M63" s="175"/>
      <c r="N63" s="175"/>
      <c r="O63" s="175"/>
      <c r="U63" s="6"/>
      <c r="V63" s="6"/>
    </row>
    <row r="64" spans="1:22" ht="13.5" thickBot="1" x14ac:dyDescent="0.25">
      <c r="A64" s="140"/>
      <c r="B64" s="140"/>
      <c r="C64" s="140">
        <f>+SUM(C43:C63)</f>
        <v>739.08505824526696</v>
      </c>
      <c r="D64" s="140">
        <f>+SUM(D43:D63)</f>
        <v>1431.3765071327662</v>
      </c>
      <c r="E64" s="140">
        <f>+SUM(E43:E63)</f>
        <v>2170.4615653780338</v>
      </c>
      <c r="F64" s="140">
        <f>+SUM(F43:F63)</f>
        <v>11154.180000000002</v>
      </c>
      <c r="G64" s="175"/>
      <c r="H64" s="175"/>
      <c r="I64" s="175"/>
      <c r="J64" s="175"/>
      <c r="K64" s="175"/>
      <c r="L64" s="175"/>
      <c r="M64" s="175"/>
      <c r="N64" s="175"/>
      <c r="O64" s="175"/>
      <c r="U64" s="6"/>
      <c r="V64" s="6"/>
    </row>
    <row r="65" spans="1:22" ht="14.25" thickTop="1" thickBot="1" x14ac:dyDescent="0.25">
      <c r="A65" s="82"/>
      <c r="B65" s="82"/>
      <c r="C65" s="85"/>
      <c r="D65" s="85"/>
      <c r="E65" s="85"/>
      <c r="F65" s="85"/>
      <c r="G65" s="175"/>
      <c r="H65" s="175"/>
      <c r="I65" s="263"/>
      <c r="J65" s="263"/>
      <c r="K65" s="263"/>
      <c r="L65" s="263"/>
      <c r="M65" s="263"/>
      <c r="N65" s="175"/>
      <c r="O65" s="175"/>
      <c r="U65" s="6"/>
      <c r="V65" s="6"/>
    </row>
    <row r="66" spans="1:22" x14ac:dyDescent="0.2">
      <c r="B66" s="117"/>
      <c r="C66" s="117"/>
      <c r="D66" s="117"/>
      <c r="E66" s="117"/>
      <c r="F66" s="117"/>
      <c r="G66" s="117"/>
      <c r="H66" s="117"/>
      <c r="I66" s="180"/>
      <c r="J66" s="317" t="s">
        <v>15</v>
      </c>
      <c r="K66" s="317"/>
      <c r="L66" s="150" t="s">
        <v>54</v>
      </c>
      <c r="M66" s="181"/>
      <c r="O66" s="117"/>
      <c r="U66" s="6"/>
      <c r="V66" s="6"/>
    </row>
    <row r="67" spans="1:22" ht="38.25" x14ac:dyDescent="0.2">
      <c r="A67" s="90" t="s">
        <v>53</v>
      </c>
      <c r="B67" s="90" t="s">
        <v>3</v>
      </c>
      <c r="C67" s="90" t="s">
        <v>4</v>
      </c>
      <c r="D67" s="90" t="s">
        <v>5</v>
      </c>
      <c r="E67" s="90" t="s">
        <v>6</v>
      </c>
      <c r="F67" s="90" t="s">
        <v>7</v>
      </c>
      <c r="G67" s="90" t="s">
        <v>93</v>
      </c>
      <c r="H67" s="90" t="s">
        <v>94</v>
      </c>
      <c r="I67" s="105" t="s">
        <v>95</v>
      </c>
      <c r="J67" s="106" t="s">
        <v>96</v>
      </c>
      <c r="K67" s="106" t="s">
        <v>97</v>
      </c>
      <c r="L67" s="106" t="s">
        <v>98</v>
      </c>
      <c r="M67" s="107" t="s">
        <v>99</v>
      </c>
      <c r="N67" s="90" t="s">
        <v>100</v>
      </c>
      <c r="O67" s="90" t="s">
        <v>101</v>
      </c>
    </row>
    <row r="68" spans="1:22" x14ac:dyDescent="0.2">
      <c r="A68" s="17" t="s">
        <v>22</v>
      </c>
      <c r="B68" s="81" t="str">
        <f t="shared" ref="B68:B74" si="29">+IF(MONTH(C68)&lt;4,"Q1",IF(MONTH(C68)&lt;7,"Q2",IF(MONTH(C68)&lt;10,"Q3","Q4")))&amp;"/"&amp;YEAR(C68)</f>
        <v>Q3/2014</v>
      </c>
      <c r="C68" s="82">
        <f>VLOOKUP(L66,A$1:F$11,2,FALSE)</f>
        <v>41876</v>
      </c>
      <c r="D68" s="82">
        <f>DATE(YEAR(C68),IF(MONTH(C68)&lt;=3,3,IF(MONTH(C68)&lt;=6,6,IF(MONTH(C68)&lt;=9,9,12))),IF(OR(MONTH(C68)&lt;=3,MONTH(C68)&gt;=10),31,30))</f>
        <v>41912</v>
      </c>
      <c r="E68" s="81">
        <f>D68-C68+1</f>
        <v>37</v>
      </c>
      <c r="F68" s="83">
        <f>VLOOKUP(D68,'FERC Interest Rate'!$A:$B,2,TRUE)</f>
        <v>3.2500000000000001E-2</v>
      </c>
      <c r="G68" s="84">
        <f>VLOOKUP(L66,$A$1:$F$11,5,FALSE)</f>
        <v>551.59</v>
      </c>
      <c r="H68" s="84">
        <f t="shared" ref="H68:H78" si="30">G68*F68*(E68/(DATE(YEAR(D68),12,31)-DATE(YEAR(D68),1,1)+1))</f>
        <v>1.8172245890410963</v>
      </c>
      <c r="I68" s="173">
        <v>0</v>
      </c>
      <c r="J68" s="85">
        <v>0</v>
      </c>
      <c r="K68" s="85">
        <f t="shared" ref="K68:K95" si="31">+SUM(I68:J68)</f>
        <v>0</v>
      </c>
      <c r="L68" s="85">
        <v>0</v>
      </c>
      <c r="M68" s="110">
        <f t="shared" ref="M68:M95" si="32">+SUM(K68:L68)</f>
        <v>0</v>
      </c>
      <c r="N68" s="85">
        <f t="shared" ref="N68:N95" si="33">+G68+H68+J68</f>
        <v>553.40722458904111</v>
      </c>
      <c r="O68" s="84">
        <f t="shared" ref="O68:O95" si="34">G68+H68-L68-I68</f>
        <v>553.40722458904111</v>
      </c>
    </row>
    <row r="69" spans="1:22" x14ac:dyDescent="0.2">
      <c r="A69" s="17" t="s">
        <v>22</v>
      </c>
      <c r="B69" s="81" t="str">
        <f t="shared" si="29"/>
        <v>Q4/2014</v>
      </c>
      <c r="C69" s="82">
        <f>D68+1</f>
        <v>41913</v>
      </c>
      <c r="D69" s="82">
        <f>EOMONTH(D68,3)</f>
        <v>42004</v>
      </c>
      <c r="E69" s="81">
        <f t="shared" ref="E69:E95" si="35">D69-C69+1</f>
        <v>92</v>
      </c>
      <c r="F69" s="83">
        <f>VLOOKUP(D69,'FERC Interest Rate'!$A:$B,2,TRUE)</f>
        <v>3.2500000000000001E-2</v>
      </c>
      <c r="G69" s="84">
        <f t="shared" ref="G69:G95" si="36">O68</f>
        <v>553.40722458904111</v>
      </c>
      <c r="H69" s="84">
        <f t="shared" si="30"/>
        <v>4.533390689099269</v>
      </c>
      <c r="I69" s="173">
        <v>0</v>
      </c>
      <c r="J69" s="85">
        <v>0</v>
      </c>
      <c r="K69" s="85">
        <f t="shared" si="31"/>
        <v>0</v>
      </c>
      <c r="L69" s="85">
        <v>0</v>
      </c>
      <c r="M69" s="110">
        <f t="shared" si="32"/>
        <v>0</v>
      </c>
      <c r="N69" s="85">
        <f t="shared" si="33"/>
        <v>557.9406152781404</v>
      </c>
      <c r="O69" s="84">
        <f t="shared" si="34"/>
        <v>557.9406152781404</v>
      </c>
    </row>
    <row r="70" spans="1:22" x14ac:dyDescent="0.2">
      <c r="A70" s="17" t="s">
        <v>22</v>
      </c>
      <c r="B70" s="81" t="str">
        <f t="shared" si="29"/>
        <v>Q1/2015</v>
      </c>
      <c r="C70" s="82">
        <f t="shared" ref="C70:C95" si="37">D69+1</f>
        <v>42005</v>
      </c>
      <c r="D70" s="82">
        <f t="shared" ref="D70:D97" si="38">EOMONTH(D69,3)</f>
        <v>42094</v>
      </c>
      <c r="E70" s="81">
        <f t="shared" si="35"/>
        <v>90</v>
      </c>
      <c r="F70" s="83">
        <f>VLOOKUP(D70,'FERC Interest Rate'!$A:$B,2,TRUE)</f>
        <v>3.2500000000000001E-2</v>
      </c>
      <c r="G70" s="84">
        <f t="shared" si="36"/>
        <v>557.9406152781404</v>
      </c>
      <c r="H70" s="84">
        <f t="shared" si="30"/>
        <v>4.4711679443522208</v>
      </c>
      <c r="I70" s="173">
        <v>0</v>
      </c>
      <c r="J70" s="85">
        <v>0</v>
      </c>
      <c r="K70" s="85">
        <f t="shared" si="31"/>
        <v>0</v>
      </c>
      <c r="L70" s="85">
        <v>0</v>
      </c>
      <c r="M70" s="110">
        <f t="shared" si="32"/>
        <v>0</v>
      </c>
      <c r="N70" s="85">
        <f t="shared" si="33"/>
        <v>562.41178322249266</v>
      </c>
      <c r="O70" s="84">
        <f t="shared" si="34"/>
        <v>562.41178322249266</v>
      </c>
    </row>
    <row r="71" spans="1:22" x14ac:dyDescent="0.2">
      <c r="A71" s="17" t="s">
        <v>22</v>
      </c>
      <c r="B71" s="81" t="str">
        <f t="shared" si="29"/>
        <v>Q2/2015</v>
      </c>
      <c r="C71" s="82">
        <f t="shared" si="37"/>
        <v>42095</v>
      </c>
      <c r="D71" s="82">
        <f t="shared" si="38"/>
        <v>42185</v>
      </c>
      <c r="E71" s="81">
        <f t="shared" si="35"/>
        <v>91</v>
      </c>
      <c r="F71" s="83">
        <f>VLOOKUP(D71,'FERC Interest Rate'!$A:$B,2,TRUE)</f>
        <v>3.2500000000000001E-2</v>
      </c>
      <c r="G71" s="84">
        <f t="shared" si="36"/>
        <v>562.41178322249266</v>
      </c>
      <c r="H71" s="84">
        <f t="shared" si="30"/>
        <v>4.5570762983027997</v>
      </c>
      <c r="I71" s="173">
        <v>0</v>
      </c>
      <c r="J71" s="85">
        <v>0</v>
      </c>
      <c r="K71" s="85">
        <f t="shared" si="31"/>
        <v>0</v>
      </c>
      <c r="L71" s="85">
        <v>0</v>
      </c>
      <c r="M71" s="110">
        <f t="shared" si="32"/>
        <v>0</v>
      </c>
      <c r="N71" s="85">
        <f t="shared" si="33"/>
        <v>566.96885952079549</v>
      </c>
      <c r="O71" s="84">
        <f t="shared" si="34"/>
        <v>566.96885952079549</v>
      </c>
    </row>
    <row r="72" spans="1:22" x14ac:dyDescent="0.2">
      <c r="A72" s="17" t="s">
        <v>22</v>
      </c>
      <c r="B72" s="81" t="str">
        <f t="shared" si="29"/>
        <v>Q3/2015</v>
      </c>
      <c r="C72" s="82">
        <f t="shared" si="37"/>
        <v>42186</v>
      </c>
      <c r="D72" s="82">
        <f t="shared" si="38"/>
        <v>42277</v>
      </c>
      <c r="E72" s="81">
        <f t="shared" si="35"/>
        <v>92</v>
      </c>
      <c r="F72" s="83">
        <f>VLOOKUP(D72,'FERC Interest Rate'!$A:$B,2,TRUE)</f>
        <v>3.2500000000000001E-2</v>
      </c>
      <c r="G72" s="84">
        <f t="shared" si="36"/>
        <v>566.96885952079549</v>
      </c>
      <c r="H72" s="84">
        <f t="shared" si="30"/>
        <v>4.6444846300470646</v>
      </c>
      <c r="I72" s="173">
        <v>0</v>
      </c>
      <c r="J72" s="85">
        <v>0</v>
      </c>
      <c r="K72" s="85">
        <f t="shared" si="31"/>
        <v>0</v>
      </c>
      <c r="L72" s="85">
        <v>0</v>
      </c>
      <c r="M72" s="110">
        <f t="shared" si="32"/>
        <v>0</v>
      </c>
      <c r="N72" s="85">
        <f t="shared" si="33"/>
        <v>571.61334415084252</v>
      </c>
      <c r="O72" s="84">
        <f t="shared" si="34"/>
        <v>571.61334415084252</v>
      </c>
    </row>
    <row r="73" spans="1:22" x14ac:dyDescent="0.2">
      <c r="A73" s="17" t="s">
        <v>22</v>
      </c>
      <c r="B73" s="81" t="str">
        <f t="shared" si="29"/>
        <v>Q4/2015</v>
      </c>
      <c r="C73" s="82">
        <f t="shared" si="37"/>
        <v>42278</v>
      </c>
      <c r="D73" s="82">
        <f t="shared" si="38"/>
        <v>42369</v>
      </c>
      <c r="E73" s="81">
        <f t="shared" si="35"/>
        <v>92</v>
      </c>
      <c r="F73" s="83">
        <f>VLOOKUP(D73,'FERC Interest Rate'!$A:$B,2,TRUE)</f>
        <v>3.2500000000000001E-2</v>
      </c>
      <c r="G73" s="84">
        <f t="shared" si="36"/>
        <v>571.61334415084252</v>
      </c>
      <c r="H73" s="84">
        <f t="shared" si="30"/>
        <v>4.682531230167176</v>
      </c>
      <c r="I73" s="173">
        <v>0</v>
      </c>
      <c r="J73" s="85">
        <v>0</v>
      </c>
      <c r="K73" s="85">
        <f t="shared" si="31"/>
        <v>0</v>
      </c>
      <c r="L73" s="85">
        <v>0</v>
      </c>
      <c r="M73" s="110">
        <f t="shared" si="32"/>
        <v>0</v>
      </c>
      <c r="N73" s="85">
        <f t="shared" si="33"/>
        <v>576.29587538100975</v>
      </c>
      <c r="O73" s="84">
        <f t="shared" si="34"/>
        <v>576.29587538100975</v>
      </c>
    </row>
    <row r="74" spans="1:22" x14ac:dyDescent="0.2">
      <c r="A74" s="17" t="s">
        <v>22</v>
      </c>
      <c r="B74" s="81" t="str">
        <f t="shared" si="29"/>
        <v>Q1/2016</v>
      </c>
      <c r="C74" s="82">
        <f t="shared" si="37"/>
        <v>42370</v>
      </c>
      <c r="D74" s="82">
        <f t="shared" si="38"/>
        <v>42460</v>
      </c>
      <c r="E74" s="81">
        <f t="shared" si="35"/>
        <v>91</v>
      </c>
      <c r="F74" s="83">
        <f>VLOOKUP(D74,'FERC Interest Rate'!$A:$B,2,TRUE)</f>
        <v>3.2500000000000001E-2</v>
      </c>
      <c r="G74" s="84">
        <f t="shared" si="36"/>
        <v>576.29587538100975</v>
      </c>
      <c r="H74" s="84">
        <f t="shared" si="30"/>
        <v>4.6568170804353448</v>
      </c>
      <c r="I74" s="173">
        <v>0</v>
      </c>
      <c r="J74" s="85">
        <v>0</v>
      </c>
      <c r="K74" s="85">
        <f t="shared" si="31"/>
        <v>0</v>
      </c>
      <c r="L74" s="85">
        <v>0</v>
      </c>
      <c r="M74" s="110">
        <f t="shared" si="32"/>
        <v>0</v>
      </c>
      <c r="N74" s="85">
        <f t="shared" si="33"/>
        <v>580.95269246144505</v>
      </c>
      <c r="O74" s="84">
        <f t="shared" si="34"/>
        <v>580.95269246144505</v>
      </c>
    </row>
    <row r="75" spans="1:22" x14ac:dyDescent="0.2">
      <c r="A75" s="17" t="s">
        <v>22</v>
      </c>
      <c r="B75" s="81" t="str">
        <f>+IF(MONTH(C75)&lt;4,"Q1",IF(MONTH(C75)&lt;7,"Q2",IF(MONTH(C75)&lt;10,"Q3","Q4")))&amp;"/"&amp;YEAR(C75)</f>
        <v>Q2/2016</v>
      </c>
      <c r="C75" s="82">
        <f t="shared" si="37"/>
        <v>42461</v>
      </c>
      <c r="D75" s="82">
        <f t="shared" si="38"/>
        <v>42551</v>
      </c>
      <c r="E75" s="81">
        <f t="shared" si="35"/>
        <v>91</v>
      </c>
      <c r="F75" s="83">
        <f>VLOOKUP(D75,'FERC Interest Rate'!$A:$B,2,TRUE)</f>
        <v>3.4599999999999999E-2</v>
      </c>
      <c r="G75" s="84">
        <f t="shared" si="36"/>
        <v>580.95269246144505</v>
      </c>
      <c r="H75" s="84">
        <f t="shared" si="30"/>
        <v>4.9977804576068472</v>
      </c>
      <c r="I75" s="173">
        <v>0</v>
      </c>
      <c r="J75" s="85">
        <v>0</v>
      </c>
      <c r="K75" s="85">
        <f t="shared" si="31"/>
        <v>0</v>
      </c>
      <c r="L75" s="85">
        <v>0</v>
      </c>
      <c r="M75" s="110">
        <f t="shared" si="32"/>
        <v>0</v>
      </c>
      <c r="N75" s="85">
        <f t="shared" si="33"/>
        <v>585.95047291905189</v>
      </c>
      <c r="O75" s="84">
        <f t="shared" si="34"/>
        <v>585.95047291905189</v>
      </c>
    </row>
    <row r="76" spans="1:22" x14ac:dyDescent="0.2">
      <c r="A76" s="96" t="s">
        <v>22</v>
      </c>
      <c r="B76" s="81" t="str">
        <f>+IF(MONTH(C76)&lt;4,"Q1",IF(MONTH(C76)&lt;7,"Q2",IF(MONTH(C76)&lt;10,"Q3","Q4")))&amp;"/"&amp;YEAR(C76)</f>
        <v>Q3/2016</v>
      </c>
      <c r="C76" s="82">
        <f t="shared" si="37"/>
        <v>42552</v>
      </c>
      <c r="D76" s="82">
        <f t="shared" si="38"/>
        <v>42643</v>
      </c>
      <c r="E76" s="81">
        <f t="shared" si="35"/>
        <v>92</v>
      </c>
      <c r="F76" s="83">
        <f>VLOOKUP(D76,'FERC Interest Rate'!$A:$B,2,TRUE)</f>
        <v>3.5000000000000003E-2</v>
      </c>
      <c r="G76" s="84">
        <f t="shared" si="36"/>
        <v>585.95047291905189</v>
      </c>
      <c r="H76" s="84">
        <f t="shared" si="30"/>
        <v>5.1550833956266322</v>
      </c>
      <c r="I76" s="109">
        <v>0</v>
      </c>
      <c r="J76" s="85">
        <v>0</v>
      </c>
      <c r="K76" s="85">
        <f t="shared" si="31"/>
        <v>0</v>
      </c>
      <c r="L76" s="85">
        <v>0</v>
      </c>
      <c r="M76" s="110">
        <f t="shared" si="32"/>
        <v>0</v>
      </c>
      <c r="N76" s="85">
        <f t="shared" si="33"/>
        <v>591.10555631467855</v>
      </c>
      <c r="O76" s="84">
        <f t="shared" si="34"/>
        <v>591.10555631467855</v>
      </c>
    </row>
    <row r="77" spans="1:22" x14ac:dyDescent="0.2">
      <c r="A77" s="96" t="s">
        <v>22</v>
      </c>
      <c r="B77" s="81" t="str">
        <f t="shared" ref="B77:B95" si="39">+IF(MONTH(C77)&lt;4,"Q1",IF(MONTH(C77)&lt;7,"Q2",IF(MONTH(C77)&lt;10,"Q3","Q4")))&amp;"/"&amp;YEAR(C77)</f>
        <v>Q4/2016</v>
      </c>
      <c r="C77" s="82">
        <f t="shared" si="37"/>
        <v>42644</v>
      </c>
      <c r="D77" s="82">
        <f t="shared" si="38"/>
        <v>42735</v>
      </c>
      <c r="E77" s="81">
        <f t="shared" si="35"/>
        <v>92</v>
      </c>
      <c r="F77" s="83">
        <f>VLOOKUP(D77,'FERC Interest Rate'!$A:$B,2,TRUE)</f>
        <v>3.5000000000000003E-2</v>
      </c>
      <c r="G77" s="84">
        <f t="shared" si="36"/>
        <v>591.10555631467855</v>
      </c>
      <c r="H77" s="84">
        <f t="shared" si="30"/>
        <v>5.2004368615662981</v>
      </c>
      <c r="I77" s="109">
        <v>0</v>
      </c>
      <c r="J77" s="85">
        <v>0</v>
      </c>
      <c r="K77" s="85">
        <f t="shared" si="31"/>
        <v>0</v>
      </c>
      <c r="L77" s="85">
        <v>0</v>
      </c>
      <c r="M77" s="110">
        <f t="shared" si="32"/>
        <v>0</v>
      </c>
      <c r="N77" s="85">
        <f t="shared" si="33"/>
        <v>596.3059931762449</v>
      </c>
      <c r="O77" s="84">
        <f t="shared" si="34"/>
        <v>596.3059931762449</v>
      </c>
    </row>
    <row r="78" spans="1:22" x14ac:dyDescent="0.2">
      <c r="A78" s="96" t="s">
        <v>54</v>
      </c>
      <c r="B78" s="81" t="str">
        <f t="shared" si="39"/>
        <v>Q1/2017</v>
      </c>
      <c r="C78" s="82">
        <f t="shared" si="37"/>
        <v>42736</v>
      </c>
      <c r="D78" s="82">
        <f t="shared" si="38"/>
        <v>42825</v>
      </c>
      <c r="E78" s="81">
        <f t="shared" si="35"/>
        <v>90</v>
      </c>
      <c r="F78" s="83">
        <f>VLOOKUP(D78,'FERC Interest Rate'!$A:$B,2,TRUE)</f>
        <v>3.5000000000000003E-2</v>
      </c>
      <c r="G78" s="84">
        <f t="shared" si="36"/>
        <v>596.3059931762449</v>
      </c>
      <c r="H78" s="84">
        <f t="shared" si="30"/>
        <v>5.146202406863484</v>
      </c>
      <c r="I78" s="109">
        <f>(SUM($H$68:$H$95)/20)</f>
        <v>2.4931097791554118</v>
      </c>
      <c r="J78" s="85">
        <v>0</v>
      </c>
      <c r="K78" s="85">
        <f t="shared" si="31"/>
        <v>2.4931097791554118</v>
      </c>
      <c r="L78" s="85">
        <f t="shared" ref="L78:L97" si="40">VLOOKUP($L$66,A$1:F$11,5,FALSE)/20</f>
        <v>27.579500000000003</v>
      </c>
      <c r="M78" s="110">
        <f t="shared" si="32"/>
        <v>30.072609779155414</v>
      </c>
      <c r="N78" s="85">
        <f t="shared" si="33"/>
        <v>601.45219558310839</v>
      </c>
      <c r="O78" s="84">
        <f t="shared" si="34"/>
        <v>571.37958580395298</v>
      </c>
    </row>
    <row r="79" spans="1:22" x14ac:dyDescent="0.2">
      <c r="A79" s="96" t="s">
        <v>55</v>
      </c>
      <c r="B79" s="81" t="str">
        <f t="shared" si="39"/>
        <v>Q2/2017</v>
      </c>
      <c r="C79" s="82">
        <f t="shared" si="37"/>
        <v>42826</v>
      </c>
      <c r="D79" s="82">
        <f t="shared" si="38"/>
        <v>42916</v>
      </c>
      <c r="E79" s="81">
        <f t="shared" si="35"/>
        <v>91</v>
      </c>
      <c r="F79" s="83">
        <f>VLOOKUP(D79,'FERC Interest Rate'!$A:$B,2,TRUE)</f>
        <v>3.7100000000000001E-2</v>
      </c>
      <c r="G79" s="84">
        <f t="shared" si="36"/>
        <v>571.37958580395298</v>
      </c>
      <c r="H79" s="84">
        <v>0</v>
      </c>
      <c r="I79" s="109">
        <f t="shared" ref="I79:I97" si="41">(SUM($H$68:$H$95)/20)</f>
        <v>2.4931097791554118</v>
      </c>
      <c r="J79" s="85">
        <f t="shared" ref="J79:J95" si="42">G79*F79*(E79/(DATE(YEAR(D79),12,31)-DATE(YEAR(D79),1,1)+1))</f>
        <v>5.2850263551581529</v>
      </c>
      <c r="K79" s="129">
        <f t="shared" si="31"/>
        <v>7.7781361343135647</v>
      </c>
      <c r="L79" s="85">
        <f t="shared" si="40"/>
        <v>27.579500000000003</v>
      </c>
      <c r="M79" s="130">
        <f t="shared" si="32"/>
        <v>35.357636134313566</v>
      </c>
      <c r="N79" s="8">
        <f t="shared" si="33"/>
        <v>576.66461215911113</v>
      </c>
      <c r="O79" s="84">
        <f t="shared" si="34"/>
        <v>541.30697602479756</v>
      </c>
    </row>
    <row r="80" spans="1:22" x14ac:dyDescent="0.2">
      <c r="A80" s="96" t="s">
        <v>56</v>
      </c>
      <c r="B80" s="81" t="str">
        <f t="shared" si="39"/>
        <v>Q3/2017</v>
      </c>
      <c r="C80" s="82">
        <f t="shared" si="37"/>
        <v>42917</v>
      </c>
      <c r="D80" s="82">
        <f t="shared" si="38"/>
        <v>43008</v>
      </c>
      <c r="E80" s="81">
        <f t="shared" si="35"/>
        <v>92</v>
      </c>
      <c r="F80" s="83">
        <f>VLOOKUP(D80,'FERC Interest Rate'!$A:$B,2,TRUE)</f>
        <v>3.9600000000000003E-2</v>
      </c>
      <c r="G80" s="84">
        <f t="shared" si="36"/>
        <v>541.30697602479756</v>
      </c>
      <c r="H80" s="84">
        <v>0</v>
      </c>
      <c r="I80" s="109">
        <f t="shared" si="41"/>
        <v>2.4931097791554118</v>
      </c>
      <c r="J80" s="85">
        <f t="shared" si="42"/>
        <v>5.402985137132994</v>
      </c>
      <c r="K80" s="129">
        <f t="shared" si="31"/>
        <v>7.8960949162884058</v>
      </c>
      <c r="L80" s="85">
        <f t="shared" si="40"/>
        <v>27.579500000000003</v>
      </c>
      <c r="M80" s="130">
        <f t="shared" si="32"/>
        <v>35.475594916288408</v>
      </c>
      <c r="N80" s="8">
        <f t="shared" si="33"/>
        <v>546.70996116193055</v>
      </c>
      <c r="O80" s="84">
        <f t="shared" si="34"/>
        <v>511.23436624564209</v>
      </c>
    </row>
    <row r="81" spans="1:15" x14ac:dyDescent="0.2">
      <c r="A81" s="17" t="s">
        <v>57</v>
      </c>
      <c r="B81" s="81" t="str">
        <f t="shared" si="39"/>
        <v>Q4/2017</v>
      </c>
      <c r="C81" s="82">
        <f t="shared" si="37"/>
        <v>43009</v>
      </c>
      <c r="D81" s="82">
        <f t="shared" si="38"/>
        <v>43100</v>
      </c>
      <c r="E81" s="81">
        <f t="shared" si="35"/>
        <v>92</v>
      </c>
      <c r="F81" s="83">
        <f>VLOOKUP(D81,'FERC Interest Rate'!$A:$B,2,TRUE)</f>
        <v>4.2099999999999999E-2</v>
      </c>
      <c r="G81" s="84">
        <f t="shared" si="36"/>
        <v>511.23436624564209</v>
      </c>
      <c r="H81" s="84">
        <v>0</v>
      </c>
      <c r="I81" s="109">
        <f t="shared" si="41"/>
        <v>2.4931097791554118</v>
      </c>
      <c r="J81" s="85">
        <f t="shared" si="42"/>
        <v>5.424966979020879</v>
      </c>
      <c r="K81" s="129">
        <f t="shared" si="31"/>
        <v>7.9180767581762908</v>
      </c>
      <c r="L81" s="85">
        <f t="shared" si="40"/>
        <v>27.579500000000003</v>
      </c>
      <c r="M81" s="130">
        <f t="shared" si="32"/>
        <v>35.497576758176294</v>
      </c>
      <c r="N81" s="8">
        <f t="shared" si="33"/>
        <v>516.65933322466299</v>
      </c>
      <c r="O81" s="84">
        <f t="shared" si="34"/>
        <v>481.16175646648668</v>
      </c>
    </row>
    <row r="82" spans="1:15" x14ac:dyDescent="0.2">
      <c r="A82" s="17" t="s">
        <v>58</v>
      </c>
      <c r="B82" s="81" t="str">
        <f t="shared" si="39"/>
        <v>Q1/2018</v>
      </c>
      <c r="C82" s="82">
        <f t="shared" si="37"/>
        <v>43101</v>
      </c>
      <c r="D82" s="82">
        <f t="shared" si="38"/>
        <v>43190</v>
      </c>
      <c r="E82" s="81">
        <f t="shared" si="35"/>
        <v>90</v>
      </c>
      <c r="F82" s="83">
        <f>VLOOKUP(D82,'FERC Interest Rate'!$A:$B,2,TRUE)</f>
        <v>4.2500000000000003E-2</v>
      </c>
      <c r="G82" s="84">
        <f t="shared" si="36"/>
        <v>481.16175646648668</v>
      </c>
      <c r="H82" s="84">
        <v>0</v>
      </c>
      <c r="I82" s="109">
        <f t="shared" si="41"/>
        <v>2.4931097791554118</v>
      </c>
      <c r="J82" s="85">
        <f t="shared" si="42"/>
        <v>5.0423115574912645</v>
      </c>
      <c r="K82" s="129">
        <f t="shared" si="31"/>
        <v>7.5354213366466762</v>
      </c>
      <c r="L82" s="85">
        <f t="shared" si="40"/>
        <v>27.579500000000003</v>
      </c>
      <c r="M82" s="130">
        <f t="shared" si="32"/>
        <v>35.114921336646681</v>
      </c>
      <c r="N82" s="8">
        <f t="shared" si="33"/>
        <v>486.20406802397792</v>
      </c>
      <c r="O82" s="84">
        <f t="shared" si="34"/>
        <v>451.08914668733127</v>
      </c>
    </row>
    <row r="83" spans="1:15" x14ac:dyDescent="0.2">
      <c r="A83" s="17" t="s">
        <v>59</v>
      </c>
      <c r="B83" s="81" t="str">
        <f t="shared" si="39"/>
        <v>Q2/2018</v>
      </c>
      <c r="C83" s="82">
        <f t="shared" si="37"/>
        <v>43191</v>
      </c>
      <c r="D83" s="82">
        <f t="shared" si="38"/>
        <v>43281</v>
      </c>
      <c r="E83" s="81">
        <f t="shared" si="35"/>
        <v>91</v>
      </c>
      <c r="F83" s="83">
        <f>VLOOKUP(D83,'FERC Interest Rate'!$A:$B,2,TRUE)</f>
        <v>4.4699999999999997E-2</v>
      </c>
      <c r="G83" s="84">
        <f t="shared" si="36"/>
        <v>451.08914668733127</v>
      </c>
      <c r="H83" s="84">
        <v>0</v>
      </c>
      <c r="I83" s="109">
        <f t="shared" si="41"/>
        <v>2.4931097791554118</v>
      </c>
      <c r="J83" s="85">
        <f t="shared" si="42"/>
        <v>5.0271104711782391</v>
      </c>
      <c r="K83" s="129">
        <f t="shared" si="31"/>
        <v>7.5202202503336508</v>
      </c>
      <c r="L83" s="85">
        <f t="shared" si="40"/>
        <v>27.579500000000003</v>
      </c>
      <c r="M83" s="130">
        <f t="shared" si="32"/>
        <v>35.099720250333654</v>
      </c>
      <c r="N83" s="8">
        <f t="shared" si="33"/>
        <v>456.11625715850948</v>
      </c>
      <c r="O83" s="84">
        <f t="shared" si="34"/>
        <v>421.01653690817585</v>
      </c>
    </row>
    <row r="84" spans="1:15" x14ac:dyDescent="0.2">
      <c r="A84" s="17" t="s">
        <v>60</v>
      </c>
      <c r="B84" s="81" t="str">
        <f t="shared" si="39"/>
        <v>Q3/2018</v>
      </c>
      <c r="C84" s="82">
        <f t="shared" si="37"/>
        <v>43282</v>
      </c>
      <c r="D84" s="82">
        <f t="shared" si="38"/>
        <v>43373</v>
      </c>
      <c r="E84" s="81">
        <f t="shared" si="35"/>
        <v>92</v>
      </c>
      <c r="F84" s="83">
        <f>VLOOKUP(D84,'FERC Interest Rate'!$A:$B,2,TRUE)</f>
        <v>5.011111E-2</v>
      </c>
      <c r="G84" s="84">
        <f t="shared" si="36"/>
        <v>421.01653690817585</v>
      </c>
      <c r="H84" s="84">
        <v>0</v>
      </c>
      <c r="I84" s="109">
        <f t="shared" si="41"/>
        <v>2.4931097791554118</v>
      </c>
      <c r="J84" s="85">
        <f t="shared" si="42"/>
        <v>5.317752743396901</v>
      </c>
      <c r="K84" s="129">
        <f t="shared" si="31"/>
        <v>7.8108625225523127</v>
      </c>
      <c r="L84" s="85">
        <f t="shared" si="40"/>
        <v>27.579500000000003</v>
      </c>
      <c r="M84" s="130">
        <f t="shared" si="32"/>
        <v>35.390362522552316</v>
      </c>
      <c r="N84" s="8">
        <f t="shared" si="33"/>
        <v>426.33428965157276</v>
      </c>
      <c r="O84" s="84">
        <f t="shared" si="34"/>
        <v>390.94392712902044</v>
      </c>
    </row>
    <row r="85" spans="1:15" x14ac:dyDescent="0.2">
      <c r="A85" s="17" t="s">
        <v>61</v>
      </c>
      <c r="B85" s="81" t="str">
        <f t="shared" si="39"/>
        <v>Q4/2018</v>
      </c>
      <c r="C85" s="82">
        <f t="shared" si="37"/>
        <v>43374</v>
      </c>
      <c r="D85" s="82">
        <f t="shared" si="38"/>
        <v>43465</v>
      </c>
      <c r="E85" s="81">
        <f t="shared" si="35"/>
        <v>92</v>
      </c>
      <c r="F85" s="83">
        <f>VLOOKUP(D85,'FERC Interest Rate'!$A:$B,2,TRUE)</f>
        <v>5.2822580000000001E-2</v>
      </c>
      <c r="G85" s="84">
        <f t="shared" si="36"/>
        <v>390.94392712902044</v>
      </c>
      <c r="H85" s="84">
        <v>0</v>
      </c>
      <c r="I85" s="109">
        <f t="shared" si="41"/>
        <v>2.4931097791554118</v>
      </c>
      <c r="J85" s="85">
        <f t="shared" si="42"/>
        <v>5.2050995936942206</v>
      </c>
      <c r="K85" s="129">
        <f t="shared" si="31"/>
        <v>7.6982093728496324</v>
      </c>
      <c r="L85" s="85">
        <f t="shared" si="40"/>
        <v>27.579500000000003</v>
      </c>
      <c r="M85" s="130">
        <f t="shared" si="32"/>
        <v>35.277709372849635</v>
      </c>
      <c r="N85" s="8">
        <f t="shared" si="33"/>
        <v>396.14902672271467</v>
      </c>
      <c r="O85" s="84">
        <f t="shared" si="34"/>
        <v>360.87131734986502</v>
      </c>
    </row>
    <row r="86" spans="1:15" x14ac:dyDescent="0.2">
      <c r="A86" s="17" t="s">
        <v>62</v>
      </c>
      <c r="B86" s="81" t="str">
        <f t="shared" si="39"/>
        <v>Q1/2019</v>
      </c>
      <c r="C86" s="82">
        <f t="shared" si="37"/>
        <v>43466</v>
      </c>
      <c r="D86" s="82">
        <f t="shared" si="38"/>
        <v>43555</v>
      </c>
      <c r="E86" s="81">
        <f t="shared" si="35"/>
        <v>90</v>
      </c>
      <c r="F86" s="83">
        <f>VLOOKUP(D86,'FERC Interest Rate'!$A:$B,2,TRUE)</f>
        <v>5.5296770000000002E-2</v>
      </c>
      <c r="G86" s="84">
        <f t="shared" si="36"/>
        <v>360.87131734986502</v>
      </c>
      <c r="H86" s="84">
        <v>0</v>
      </c>
      <c r="I86" s="109">
        <f t="shared" si="41"/>
        <v>2.4931097791554118</v>
      </c>
      <c r="J86" s="85">
        <f t="shared" si="42"/>
        <v>4.9204154552282864</v>
      </c>
      <c r="K86" s="129">
        <f t="shared" si="31"/>
        <v>7.4135252343836981</v>
      </c>
      <c r="L86" s="85">
        <f t="shared" si="40"/>
        <v>27.579500000000003</v>
      </c>
      <c r="M86" s="130">
        <f t="shared" si="32"/>
        <v>34.993025234383701</v>
      </c>
      <c r="N86" s="8">
        <f t="shared" si="33"/>
        <v>365.79173280509332</v>
      </c>
      <c r="O86" s="84">
        <f t="shared" si="34"/>
        <v>330.79870757070961</v>
      </c>
    </row>
    <row r="87" spans="1:15" x14ac:dyDescent="0.2">
      <c r="A87" s="17" t="s">
        <v>63</v>
      </c>
      <c r="B87" s="81" t="str">
        <f t="shared" si="39"/>
        <v>Q2/2019</v>
      </c>
      <c r="C87" s="82">
        <f t="shared" si="37"/>
        <v>43556</v>
      </c>
      <c r="D87" s="82">
        <f t="shared" si="38"/>
        <v>43646</v>
      </c>
      <c r="E87" s="81">
        <f t="shared" si="35"/>
        <v>91</v>
      </c>
      <c r="F87" s="83">
        <f>VLOOKUP(D87,'FERC Interest Rate'!$A:$B,2,TRUE)</f>
        <v>5.7999999999999996E-2</v>
      </c>
      <c r="G87" s="84">
        <f t="shared" si="36"/>
        <v>330.79870757070961</v>
      </c>
      <c r="H87" s="84">
        <v>0</v>
      </c>
      <c r="I87" s="109">
        <f t="shared" si="41"/>
        <v>2.4931097791554118</v>
      </c>
      <c r="J87" s="85">
        <f t="shared" si="42"/>
        <v>4.7834399412553568</v>
      </c>
      <c r="K87" s="129">
        <f t="shared" si="31"/>
        <v>7.2765497204107685</v>
      </c>
      <c r="L87" s="85">
        <f t="shared" si="40"/>
        <v>27.579500000000003</v>
      </c>
      <c r="M87" s="130">
        <f t="shared" si="32"/>
        <v>34.856049720410773</v>
      </c>
      <c r="N87" s="8">
        <f t="shared" si="33"/>
        <v>335.58214751196499</v>
      </c>
      <c r="O87" s="84">
        <f t="shared" si="34"/>
        <v>300.7260977915542</v>
      </c>
    </row>
    <row r="88" spans="1:15" x14ac:dyDescent="0.2">
      <c r="A88" s="17" t="s">
        <v>64</v>
      </c>
      <c r="B88" s="81" t="str">
        <f t="shared" si="39"/>
        <v>Q3/2019</v>
      </c>
      <c r="C88" s="82">
        <f t="shared" si="37"/>
        <v>43647</v>
      </c>
      <c r="D88" s="82">
        <f t="shared" si="38"/>
        <v>43738</v>
      </c>
      <c r="E88" s="81">
        <f t="shared" si="35"/>
        <v>92</v>
      </c>
      <c r="F88" s="83">
        <f>VLOOKUP(D88,'FERC Interest Rate'!$A:$B,2,TRUE)</f>
        <v>0.06</v>
      </c>
      <c r="G88" s="84">
        <f t="shared" si="36"/>
        <v>300.7260977915542</v>
      </c>
      <c r="H88" s="84">
        <v>0</v>
      </c>
      <c r="I88" s="109">
        <f t="shared" si="41"/>
        <v>2.4931097791554118</v>
      </c>
      <c r="J88" s="85">
        <f t="shared" si="42"/>
        <v>4.5479672871489836</v>
      </c>
      <c r="K88" s="129">
        <f t="shared" si="31"/>
        <v>7.0410770663043953</v>
      </c>
      <c r="L88" s="85">
        <f t="shared" si="40"/>
        <v>27.579500000000003</v>
      </c>
      <c r="M88" s="130">
        <f t="shared" si="32"/>
        <v>34.620577066304399</v>
      </c>
      <c r="N88" s="8">
        <f t="shared" si="33"/>
        <v>305.27406507870319</v>
      </c>
      <c r="O88" s="84">
        <f t="shared" si="34"/>
        <v>270.65348801239878</v>
      </c>
    </row>
    <row r="89" spans="1:15" x14ac:dyDescent="0.2">
      <c r="A89" s="17" t="s">
        <v>65</v>
      </c>
      <c r="B89" s="81" t="str">
        <f t="shared" si="39"/>
        <v>Q4/2019</v>
      </c>
      <c r="C89" s="82">
        <f t="shared" si="37"/>
        <v>43739</v>
      </c>
      <c r="D89" s="82">
        <f t="shared" si="38"/>
        <v>43830</v>
      </c>
      <c r="E89" s="81">
        <f t="shared" si="35"/>
        <v>92</v>
      </c>
      <c r="F89" s="83">
        <f>VLOOKUP(D89,'FERC Interest Rate'!$A:$B,2,TRUE)</f>
        <v>6.0349460000000001E-2</v>
      </c>
      <c r="G89" s="84">
        <f t="shared" si="36"/>
        <v>270.65348801239878</v>
      </c>
      <c r="H89" s="84">
        <v>0</v>
      </c>
      <c r="I89" s="109">
        <f t="shared" si="41"/>
        <v>2.4931097791554118</v>
      </c>
      <c r="J89" s="85">
        <f t="shared" si="42"/>
        <v>4.1170105481565917</v>
      </c>
      <c r="K89" s="129">
        <f t="shared" si="31"/>
        <v>6.6101203273120035</v>
      </c>
      <c r="L89" s="85">
        <f t="shared" si="40"/>
        <v>27.579500000000003</v>
      </c>
      <c r="M89" s="130">
        <f t="shared" si="32"/>
        <v>34.189620327312007</v>
      </c>
      <c r="N89" s="8">
        <f t="shared" si="33"/>
        <v>274.77049856055538</v>
      </c>
      <c r="O89" s="84">
        <f t="shared" si="34"/>
        <v>240.58087823324337</v>
      </c>
    </row>
    <row r="90" spans="1:15" x14ac:dyDescent="0.2">
      <c r="A90" s="17" t="s">
        <v>66</v>
      </c>
      <c r="B90" s="81" t="str">
        <f t="shared" si="39"/>
        <v>Q1/2020</v>
      </c>
      <c r="C90" s="82">
        <f t="shared" si="37"/>
        <v>43831</v>
      </c>
      <c r="D90" s="82">
        <f t="shared" si="38"/>
        <v>43921</v>
      </c>
      <c r="E90" s="81">
        <f t="shared" si="35"/>
        <v>91</v>
      </c>
      <c r="F90" s="83">
        <f>VLOOKUP(D90,'FERC Interest Rate'!$A:$B,2,TRUE)</f>
        <v>6.2501040000000008E-2</v>
      </c>
      <c r="G90" s="84">
        <f t="shared" si="36"/>
        <v>240.58087823324337</v>
      </c>
      <c r="H90" s="84">
        <v>0</v>
      </c>
      <c r="I90" s="109">
        <f t="shared" si="41"/>
        <v>2.4931097791554118</v>
      </c>
      <c r="J90" s="85">
        <f t="shared" si="42"/>
        <v>3.7385970314914965</v>
      </c>
      <c r="K90" s="129">
        <f t="shared" si="31"/>
        <v>6.2317068106469087</v>
      </c>
      <c r="L90" s="85">
        <f t="shared" si="40"/>
        <v>27.579500000000003</v>
      </c>
      <c r="M90" s="130">
        <f t="shared" si="32"/>
        <v>33.811206810646908</v>
      </c>
      <c r="N90" s="8">
        <f t="shared" si="33"/>
        <v>244.31947526473488</v>
      </c>
      <c r="O90" s="84">
        <f t="shared" si="34"/>
        <v>210.50826845408795</v>
      </c>
    </row>
    <row r="91" spans="1:15" x14ac:dyDescent="0.2">
      <c r="A91" s="17" t="s">
        <v>67</v>
      </c>
      <c r="B91" s="81" t="str">
        <f t="shared" si="39"/>
        <v>Q2/2020</v>
      </c>
      <c r="C91" s="82">
        <f t="shared" si="37"/>
        <v>43922</v>
      </c>
      <c r="D91" s="82">
        <f t="shared" si="38"/>
        <v>44012</v>
      </c>
      <c r="E91" s="81">
        <f t="shared" si="35"/>
        <v>91</v>
      </c>
      <c r="F91" s="83">
        <f>VLOOKUP(D91,'FERC Interest Rate'!$A:$B,2,TRUE)</f>
        <v>6.3055559999999997E-2</v>
      </c>
      <c r="G91" s="84">
        <f t="shared" si="36"/>
        <v>210.50826845408795</v>
      </c>
      <c r="H91" s="84">
        <v>0</v>
      </c>
      <c r="I91" s="109">
        <f t="shared" si="41"/>
        <v>2.4931097791554118</v>
      </c>
      <c r="J91" s="85">
        <f t="shared" si="42"/>
        <v>3.3002956951701075</v>
      </c>
      <c r="K91" s="129">
        <f t="shared" si="31"/>
        <v>5.7934054743255192</v>
      </c>
      <c r="L91" s="85">
        <f t="shared" si="40"/>
        <v>27.579500000000003</v>
      </c>
      <c r="M91" s="130">
        <f t="shared" si="32"/>
        <v>33.37290547432552</v>
      </c>
      <c r="N91" s="8">
        <f t="shared" si="33"/>
        <v>213.80856414925807</v>
      </c>
      <c r="O91" s="84">
        <f t="shared" si="34"/>
        <v>180.43565867493254</v>
      </c>
    </row>
    <row r="92" spans="1:15" x14ac:dyDescent="0.2">
      <c r="A92" s="17" t="s">
        <v>68</v>
      </c>
      <c r="B92" s="81" t="str">
        <f t="shared" si="39"/>
        <v>Q3/2020</v>
      </c>
      <c r="C92" s="82">
        <f t="shared" si="37"/>
        <v>44013</v>
      </c>
      <c r="D92" s="82">
        <f t="shared" si="38"/>
        <v>44104</v>
      </c>
      <c r="E92" s="81">
        <f t="shared" si="35"/>
        <v>92</v>
      </c>
      <c r="F92" s="83">
        <f>VLOOKUP(D92,'FERC Interest Rate'!$A:$B,2,TRUE)</f>
        <v>6.5000000000000002E-2</v>
      </c>
      <c r="G92" s="84">
        <f t="shared" si="36"/>
        <v>180.43565867493254</v>
      </c>
      <c r="H92" s="84">
        <v>0</v>
      </c>
      <c r="I92" s="109">
        <f t="shared" si="41"/>
        <v>2.4931097791554118</v>
      </c>
      <c r="J92" s="85">
        <f t="shared" si="42"/>
        <v>2.9481017455631058</v>
      </c>
      <c r="K92" s="129">
        <f t="shared" si="31"/>
        <v>5.4412115247185175</v>
      </c>
      <c r="L92" s="85">
        <f t="shared" si="40"/>
        <v>27.579500000000003</v>
      </c>
      <c r="M92" s="130">
        <f t="shared" si="32"/>
        <v>33.020711524718521</v>
      </c>
      <c r="N92" s="8">
        <f t="shared" si="33"/>
        <v>183.38376042049563</v>
      </c>
      <c r="O92" s="84">
        <f t="shared" si="34"/>
        <v>150.36304889577713</v>
      </c>
    </row>
    <row r="93" spans="1:15" x14ac:dyDescent="0.2">
      <c r="A93" s="17" t="s">
        <v>69</v>
      </c>
      <c r="B93" s="81" t="str">
        <f t="shared" si="39"/>
        <v>Q4/2020</v>
      </c>
      <c r="C93" s="82">
        <f t="shared" si="37"/>
        <v>44105</v>
      </c>
      <c r="D93" s="82">
        <f t="shared" si="38"/>
        <v>44196</v>
      </c>
      <c r="E93" s="81">
        <f t="shared" si="35"/>
        <v>92</v>
      </c>
      <c r="F93" s="83">
        <f>VLOOKUP(D93,'FERC Interest Rate'!$A:$B,2,TRUE)</f>
        <v>6.5000000000000002E-2</v>
      </c>
      <c r="G93" s="84">
        <f t="shared" si="36"/>
        <v>150.36304889577713</v>
      </c>
      <c r="H93" s="84">
        <v>0</v>
      </c>
      <c r="I93" s="109">
        <f t="shared" si="41"/>
        <v>2.4931097791554118</v>
      </c>
      <c r="J93" s="85">
        <f t="shared" si="42"/>
        <v>2.4567514546359215</v>
      </c>
      <c r="K93" s="129">
        <f t="shared" si="31"/>
        <v>4.9498612337913332</v>
      </c>
      <c r="L93" s="85">
        <f t="shared" si="40"/>
        <v>27.579500000000003</v>
      </c>
      <c r="M93" s="130">
        <f t="shared" si="32"/>
        <v>32.529361233791334</v>
      </c>
      <c r="N93" s="8">
        <f t="shared" si="33"/>
        <v>152.81980035041306</v>
      </c>
      <c r="O93" s="84">
        <f t="shared" si="34"/>
        <v>120.29043911662171</v>
      </c>
    </row>
    <row r="94" spans="1:15" x14ac:dyDescent="0.2">
      <c r="A94" s="17" t="s">
        <v>70</v>
      </c>
      <c r="B94" s="81" t="str">
        <f t="shared" si="39"/>
        <v>Q1/2021</v>
      </c>
      <c r="C94" s="82">
        <f t="shared" si="37"/>
        <v>44197</v>
      </c>
      <c r="D94" s="82">
        <f t="shared" si="38"/>
        <v>44286</v>
      </c>
      <c r="E94" s="81">
        <f t="shared" si="35"/>
        <v>90</v>
      </c>
      <c r="F94" s="83">
        <f>VLOOKUP(D94,'FERC Interest Rate'!$A:$B,2,TRUE)</f>
        <v>6.5000000000000002E-2</v>
      </c>
      <c r="G94" s="84">
        <f t="shared" si="36"/>
        <v>120.29043911662171</v>
      </c>
      <c r="H94" s="84">
        <v>0</v>
      </c>
      <c r="I94" s="109">
        <f t="shared" si="41"/>
        <v>2.4931097791554118</v>
      </c>
      <c r="J94" s="85">
        <f t="shared" si="42"/>
        <v>1.9279426543348959</v>
      </c>
      <c r="K94" s="129">
        <f t="shared" si="31"/>
        <v>4.4210524334903081</v>
      </c>
      <c r="L94" s="85">
        <f t="shared" si="40"/>
        <v>27.579500000000003</v>
      </c>
      <c r="M94" s="130">
        <f t="shared" si="32"/>
        <v>32.000552433490313</v>
      </c>
      <c r="N94" s="8">
        <f t="shared" si="33"/>
        <v>122.21838177095661</v>
      </c>
      <c r="O94" s="84">
        <f t="shared" si="34"/>
        <v>90.217829337466299</v>
      </c>
    </row>
    <row r="95" spans="1:15" x14ac:dyDescent="0.2">
      <c r="A95" s="17" t="s">
        <v>71</v>
      </c>
      <c r="B95" s="81" t="str">
        <f t="shared" si="39"/>
        <v>Q2/2021</v>
      </c>
      <c r="C95" s="82">
        <f t="shared" si="37"/>
        <v>44287</v>
      </c>
      <c r="D95" s="82">
        <f t="shared" si="38"/>
        <v>44377</v>
      </c>
      <c r="E95" s="81">
        <f t="shared" si="35"/>
        <v>91</v>
      </c>
      <c r="F95" s="83">
        <f>VLOOKUP(D95,'FERC Interest Rate'!$A:$B,2,TRUE)</f>
        <v>6.5000000000000002E-2</v>
      </c>
      <c r="G95" s="84">
        <f t="shared" si="36"/>
        <v>90.217829337466299</v>
      </c>
      <c r="H95" s="84">
        <v>0</v>
      </c>
      <c r="I95" s="109">
        <f t="shared" si="41"/>
        <v>2.4931097791554118</v>
      </c>
      <c r="J95" s="85">
        <f t="shared" si="42"/>
        <v>1.4620231795372964</v>
      </c>
      <c r="K95" s="129">
        <f t="shared" si="31"/>
        <v>3.9551329586927082</v>
      </c>
      <c r="L95" s="85">
        <f t="shared" si="40"/>
        <v>27.579500000000003</v>
      </c>
      <c r="M95" s="130">
        <f t="shared" si="32"/>
        <v>31.534632958692711</v>
      </c>
      <c r="N95" s="8">
        <f t="shared" si="33"/>
        <v>91.679852517003596</v>
      </c>
      <c r="O95" s="84">
        <f t="shared" si="34"/>
        <v>60.145219558310885</v>
      </c>
    </row>
    <row r="96" spans="1:15" x14ac:dyDescent="0.2">
      <c r="A96" s="17" t="s">
        <v>72</v>
      </c>
      <c r="B96" s="81" t="str">
        <f t="shared" ref="B96:B97" si="43">+IF(MONTH(C96)&lt;4,"Q1",IF(MONTH(C96)&lt;7,"Q2",IF(MONTH(C96)&lt;10,"Q3","Q4")))&amp;"/"&amp;YEAR(C96)</f>
        <v>Q3/2021</v>
      </c>
      <c r="C96" s="82">
        <f t="shared" ref="C96:C97" si="44">D95+1</f>
        <v>44378</v>
      </c>
      <c r="D96" s="82">
        <f t="shared" si="38"/>
        <v>44469</v>
      </c>
      <c r="E96" s="81">
        <f t="shared" ref="E96:E97" si="45">D96-C96+1</f>
        <v>92</v>
      </c>
      <c r="F96" s="83">
        <f>VLOOKUP(D96,'FERC Interest Rate'!$A:$B,2,TRUE)</f>
        <v>6.5000000000000002E-2</v>
      </c>
      <c r="G96" s="84">
        <f t="shared" ref="G96:G97" si="46">O95</f>
        <v>60.145219558310885</v>
      </c>
      <c r="H96" s="84">
        <v>0</v>
      </c>
      <c r="I96" s="109">
        <f t="shared" si="41"/>
        <v>2.4931097791554118</v>
      </c>
      <c r="J96" s="85">
        <f t="shared" ref="J96:J97" si="47">G96*F96*(E96/(DATE(YEAR(D96),12,31)-DATE(YEAR(D96),1,1)+1))</f>
        <v>0.98539291221561398</v>
      </c>
      <c r="K96" s="129">
        <f t="shared" ref="K96:K97" si="48">+SUM(I96:J96)</f>
        <v>3.478502691371026</v>
      </c>
      <c r="L96" s="85">
        <f t="shared" si="40"/>
        <v>27.579500000000003</v>
      </c>
      <c r="M96" s="130">
        <f t="shared" ref="M96:M97" si="49">+SUM(K96:L96)</f>
        <v>31.05800269137103</v>
      </c>
      <c r="N96" s="8">
        <f t="shared" ref="N96:N97" si="50">+G96+H96+J96</f>
        <v>61.130612470526501</v>
      </c>
      <c r="O96" s="84">
        <f t="shared" ref="O96:O97" si="51">G96+H96-L96-I96</f>
        <v>30.072609779155471</v>
      </c>
    </row>
    <row r="97" spans="1:15" x14ac:dyDescent="0.2">
      <c r="A97" s="17" t="s">
        <v>73</v>
      </c>
      <c r="B97" s="81" t="str">
        <f t="shared" si="43"/>
        <v>Q4/2021</v>
      </c>
      <c r="C97" s="82">
        <f t="shared" si="44"/>
        <v>44470</v>
      </c>
      <c r="D97" s="82">
        <f t="shared" si="38"/>
        <v>44561</v>
      </c>
      <c r="E97" s="81">
        <f t="shared" si="45"/>
        <v>92</v>
      </c>
      <c r="F97" s="83">
        <f>VLOOKUP(D97,'FERC Interest Rate'!$A:$B,2,TRUE)</f>
        <v>6.5000000000000002E-2</v>
      </c>
      <c r="G97" s="84">
        <f t="shared" si="46"/>
        <v>30.072609779155471</v>
      </c>
      <c r="H97" s="84">
        <v>0</v>
      </c>
      <c r="I97" s="109">
        <f t="shared" si="41"/>
        <v>2.4931097791554118</v>
      </c>
      <c r="J97" s="85">
        <f t="shared" si="47"/>
        <v>0.49269645610780749</v>
      </c>
      <c r="K97" s="129">
        <f t="shared" si="48"/>
        <v>2.9858062352632193</v>
      </c>
      <c r="L97" s="85">
        <f t="shared" si="40"/>
        <v>27.579500000000003</v>
      </c>
      <c r="M97" s="130">
        <f t="shared" si="49"/>
        <v>30.565306235263222</v>
      </c>
      <c r="N97" s="8">
        <f t="shared" si="50"/>
        <v>30.565306235263279</v>
      </c>
      <c r="O97" s="84">
        <f t="shared" si="51"/>
        <v>5.595524044110789E-14</v>
      </c>
    </row>
    <row r="98" spans="1:15" x14ac:dyDescent="0.2">
      <c r="B98" s="81"/>
      <c r="C98" s="82"/>
      <c r="D98" s="82"/>
      <c r="E98" s="81"/>
      <c r="F98" s="83"/>
      <c r="G98" s="84"/>
      <c r="H98" s="84"/>
      <c r="I98" s="109"/>
      <c r="J98" s="85"/>
      <c r="K98" s="129"/>
      <c r="L98" s="85"/>
      <c r="M98" s="130"/>
      <c r="N98" s="8"/>
      <c r="O98" s="84"/>
    </row>
    <row r="99" spans="1:15" ht="13.5" thickBot="1" x14ac:dyDescent="0.25">
      <c r="A99" s="151"/>
      <c r="B99" s="152"/>
      <c r="C99" s="153"/>
      <c r="D99" s="153"/>
      <c r="E99" s="154"/>
      <c r="F99" s="152"/>
      <c r="G99" s="144">
        <f t="shared" ref="G99:O99" si="52">+SUM(G68:G98)</f>
        <v>12008.338275053273</v>
      </c>
      <c r="H99" s="144">
        <f t="shared" si="52"/>
        <v>49.862195583108232</v>
      </c>
      <c r="I99" s="138">
        <f t="shared" si="52"/>
        <v>49.862195583108225</v>
      </c>
      <c r="J99" s="137">
        <f t="shared" si="52"/>
        <v>72.385887197918123</v>
      </c>
      <c r="K99" s="137">
        <f t="shared" si="52"/>
        <v>122.24808278102635</v>
      </c>
      <c r="L99" s="137">
        <f t="shared" si="52"/>
        <v>551.59</v>
      </c>
      <c r="M99" s="139">
        <f t="shared" si="52"/>
        <v>673.83808278102629</v>
      </c>
      <c r="N99" s="137">
        <f t="shared" si="52"/>
        <v>12130.586357834301</v>
      </c>
      <c r="O99" s="137">
        <f t="shared" si="52"/>
        <v>11456.748275053273</v>
      </c>
    </row>
    <row r="100" spans="1:15" ht="13.5" thickTop="1" x14ac:dyDescent="0.2">
      <c r="B100" s="11"/>
      <c r="C100" s="98"/>
      <c r="D100" s="98"/>
      <c r="E100" s="10"/>
      <c r="F100" s="11"/>
      <c r="G100" s="85"/>
      <c r="H100" s="85"/>
      <c r="I100" s="182"/>
      <c r="J100" s="317" t="s">
        <v>15</v>
      </c>
      <c r="K100" s="317"/>
      <c r="L100" s="150" t="s">
        <v>55</v>
      </c>
      <c r="M100" s="183"/>
      <c r="N100" s="8"/>
    </row>
    <row r="101" spans="1:15" ht="38.25" x14ac:dyDescent="0.2">
      <c r="A101" s="90" t="s">
        <v>53</v>
      </c>
      <c r="B101" s="90" t="s">
        <v>3</v>
      </c>
      <c r="C101" s="90" t="s">
        <v>4</v>
      </c>
      <c r="D101" s="90" t="s">
        <v>5</v>
      </c>
      <c r="E101" s="90" t="s">
        <v>6</v>
      </c>
      <c r="F101" s="90" t="s">
        <v>7</v>
      </c>
      <c r="G101" s="90" t="s">
        <v>93</v>
      </c>
      <c r="H101" s="90" t="s">
        <v>94</v>
      </c>
      <c r="I101" s="105" t="s">
        <v>95</v>
      </c>
      <c r="J101" s="106" t="s">
        <v>96</v>
      </c>
      <c r="K101" s="106" t="s">
        <v>97</v>
      </c>
      <c r="L101" s="106" t="s">
        <v>98</v>
      </c>
      <c r="M101" s="107" t="s">
        <v>99</v>
      </c>
      <c r="N101" s="90" t="s">
        <v>100</v>
      </c>
      <c r="O101" s="90" t="s">
        <v>101</v>
      </c>
    </row>
    <row r="102" spans="1:15" x14ac:dyDescent="0.2">
      <c r="A102" s="17" t="s">
        <v>22</v>
      </c>
      <c r="B102" s="81" t="str">
        <f t="shared" ref="B102:B108" si="53">+IF(MONTH(C102)&lt;4,"Q1",IF(MONTH(C102)&lt;7,"Q2",IF(MONTH(C102)&lt;10,"Q3","Q4")))&amp;"/"&amp;YEAR(C102)</f>
        <v>Q4/2014</v>
      </c>
      <c r="C102" s="82">
        <f>VLOOKUP(L100,A$1:F$11,2,FALSE)</f>
        <v>41934</v>
      </c>
      <c r="D102" s="82">
        <f>DATE(YEAR(C102),IF(MONTH(C102)&lt;=3,3,IF(MONTH(C102)&lt;=6,6,IF(MONTH(C102)&lt;=9,9,12))),IF(OR(MONTH(C102)&lt;=3,MONTH(C102)&gt;=10),31,30))</f>
        <v>42004</v>
      </c>
      <c r="E102" s="81">
        <f>D102-C102+1</f>
        <v>71</v>
      </c>
      <c r="F102" s="83">
        <f>VLOOKUP(D102,'FERC Interest Rate'!$A:$B,2,TRUE)</f>
        <v>3.2500000000000001E-2</v>
      </c>
      <c r="G102" s="84">
        <f>VLOOKUP(L100,$A$1:$F$15,5,FALSE)</f>
        <v>1103.98</v>
      </c>
      <c r="H102" s="84">
        <f t="shared" ref="H102:H111" si="54">G102*F102*(E102/(DATE(YEAR(D102),12,31)-DATE(YEAR(D102),1,1)+1))</f>
        <v>6.979270821917809</v>
      </c>
      <c r="I102" s="173">
        <v>0</v>
      </c>
      <c r="J102" s="85">
        <v>0</v>
      </c>
      <c r="K102" s="129">
        <f>+SUM(I102:J102)</f>
        <v>0</v>
      </c>
      <c r="L102" s="85">
        <v>0</v>
      </c>
      <c r="M102" s="130">
        <f>+SUM(K102:L102)</f>
        <v>0</v>
      </c>
      <c r="N102" s="8">
        <f>+G102+H102+J102</f>
        <v>1110.9592708219179</v>
      </c>
      <c r="O102" s="84">
        <f t="shared" ref="O102:O128" si="55">G102+H102-L102-I102</f>
        <v>1110.9592708219179</v>
      </c>
    </row>
    <row r="103" spans="1:15" x14ac:dyDescent="0.2">
      <c r="A103" s="17" t="s">
        <v>22</v>
      </c>
      <c r="B103" s="81" t="str">
        <f t="shared" si="53"/>
        <v>Q1/2015</v>
      </c>
      <c r="C103" s="82">
        <f>D102+1</f>
        <v>42005</v>
      </c>
      <c r="D103" s="82">
        <f>EOMONTH(D102,3)</f>
        <v>42094</v>
      </c>
      <c r="E103" s="81">
        <f t="shared" ref="E103:E128" si="56">D103-C103+1</f>
        <v>90</v>
      </c>
      <c r="F103" s="83">
        <f>VLOOKUP(D103,'FERC Interest Rate'!$A:$B,2,TRUE)</f>
        <v>3.2500000000000001E-2</v>
      </c>
      <c r="G103" s="84">
        <f t="shared" ref="G103:G128" si="57">O102</f>
        <v>1110.9592708219179</v>
      </c>
      <c r="H103" s="84">
        <f t="shared" si="54"/>
        <v>8.9028927867235872</v>
      </c>
      <c r="I103" s="173">
        <v>0</v>
      </c>
      <c r="J103" s="85">
        <v>0</v>
      </c>
      <c r="K103" s="129">
        <f t="shared" ref="K103:K128" si="58">+SUM(I103:J103)</f>
        <v>0</v>
      </c>
      <c r="L103" s="85">
        <v>0</v>
      </c>
      <c r="M103" s="130">
        <f t="shared" ref="M103:M128" si="59">+SUM(K103:L103)</f>
        <v>0</v>
      </c>
      <c r="N103" s="8">
        <f t="shared" ref="N103:N128" si="60">+G103+H103+J103</f>
        <v>1119.8621636086416</v>
      </c>
      <c r="O103" s="84">
        <f t="shared" si="55"/>
        <v>1119.8621636086416</v>
      </c>
    </row>
    <row r="104" spans="1:15" x14ac:dyDescent="0.2">
      <c r="A104" s="17" t="s">
        <v>22</v>
      </c>
      <c r="B104" s="81" t="str">
        <f t="shared" si="53"/>
        <v>Q2/2015</v>
      </c>
      <c r="C104" s="82">
        <f t="shared" ref="C104:C128" si="61">D103+1</f>
        <v>42095</v>
      </c>
      <c r="D104" s="82">
        <f t="shared" ref="D104:D130" si="62">EOMONTH(D103,3)</f>
        <v>42185</v>
      </c>
      <c r="E104" s="81">
        <f t="shared" si="56"/>
        <v>91</v>
      </c>
      <c r="F104" s="83">
        <f>VLOOKUP(D104,'FERC Interest Rate'!$A:$B,2,TRUE)</f>
        <v>3.2500000000000001E-2</v>
      </c>
      <c r="G104" s="84">
        <f t="shared" si="57"/>
        <v>1119.8621636086416</v>
      </c>
      <c r="H104" s="84">
        <f t="shared" si="54"/>
        <v>9.0739516407467331</v>
      </c>
      <c r="I104" s="173">
        <v>0</v>
      </c>
      <c r="J104" s="85">
        <v>0</v>
      </c>
      <c r="K104" s="129">
        <f t="shared" si="58"/>
        <v>0</v>
      </c>
      <c r="L104" s="85">
        <v>0</v>
      </c>
      <c r="M104" s="130">
        <f t="shared" si="59"/>
        <v>0</v>
      </c>
      <c r="N104" s="8">
        <f t="shared" si="60"/>
        <v>1128.9361152493884</v>
      </c>
      <c r="O104" s="84">
        <f t="shared" si="55"/>
        <v>1128.9361152493884</v>
      </c>
    </row>
    <row r="105" spans="1:15" x14ac:dyDescent="0.2">
      <c r="A105" s="17" t="s">
        <v>22</v>
      </c>
      <c r="B105" s="81" t="str">
        <f t="shared" si="53"/>
        <v>Q3/2015</v>
      </c>
      <c r="C105" s="82">
        <f t="shared" si="61"/>
        <v>42186</v>
      </c>
      <c r="D105" s="82">
        <f t="shared" si="62"/>
        <v>42277</v>
      </c>
      <c r="E105" s="81">
        <f t="shared" si="56"/>
        <v>92</v>
      </c>
      <c r="F105" s="83">
        <f>VLOOKUP(D105,'FERC Interest Rate'!$A:$B,2,TRUE)</f>
        <v>3.2500000000000001E-2</v>
      </c>
      <c r="G105" s="84">
        <f t="shared" si="57"/>
        <v>1128.9361152493884</v>
      </c>
      <c r="H105" s="84">
        <f t="shared" si="54"/>
        <v>9.2479972180703331</v>
      </c>
      <c r="I105" s="173">
        <v>0</v>
      </c>
      <c r="J105" s="85">
        <v>0</v>
      </c>
      <c r="K105" s="129">
        <f t="shared" si="58"/>
        <v>0</v>
      </c>
      <c r="L105" s="85">
        <v>0</v>
      </c>
      <c r="M105" s="130">
        <f t="shared" si="59"/>
        <v>0</v>
      </c>
      <c r="N105" s="8">
        <f t="shared" si="60"/>
        <v>1138.1841124674588</v>
      </c>
      <c r="O105" s="84">
        <f t="shared" si="55"/>
        <v>1138.1841124674588</v>
      </c>
    </row>
    <row r="106" spans="1:15" x14ac:dyDescent="0.2">
      <c r="A106" s="17" t="s">
        <v>22</v>
      </c>
      <c r="B106" s="81" t="str">
        <f t="shared" si="53"/>
        <v>Q4/2015</v>
      </c>
      <c r="C106" s="82">
        <f t="shared" si="61"/>
        <v>42278</v>
      </c>
      <c r="D106" s="82">
        <f t="shared" si="62"/>
        <v>42369</v>
      </c>
      <c r="E106" s="81">
        <f t="shared" si="56"/>
        <v>92</v>
      </c>
      <c r="F106" s="83">
        <f>VLOOKUP(D106,'FERC Interest Rate'!$A:$B,2,TRUE)</f>
        <v>3.2500000000000001E-2</v>
      </c>
      <c r="G106" s="84">
        <f t="shared" si="57"/>
        <v>1138.1841124674588</v>
      </c>
      <c r="H106" s="84">
        <f t="shared" si="54"/>
        <v>9.3237547843224728</v>
      </c>
      <c r="I106" s="173">
        <v>0</v>
      </c>
      <c r="J106" s="85">
        <v>0</v>
      </c>
      <c r="K106" s="129">
        <f t="shared" si="58"/>
        <v>0</v>
      </c>
      <c r="L106" s="85">
        <v>0</v>
      </c>
      <c r="M106" s="130">
        <f t="shared" si="59"/>
        <v>0</v>
      </c>
      <c r="N106" s="8">
        <f t="shared" si="60"/>
        <v>1147.5078672517814</v>
      </c>
      <c r="O106" s="84">
        <f t="shared" si="55"/>
        <v>1147.5078672517814</v>
      </c>
    </row>
    <row r="107" spans="1:15" x14ac:dyDescent="0.2">
      <c r="A107" s="17" t="s">
        <v>22</v>
      </c>
      <c r="B107" s="81" t="str">
        <f t="shared" si="53"/>
        <v>Q1/2016</v>
      </c>
      <c r="C107" s="82">
        <f t="shared" si="61"/>
        <v>42370</v>
      </c>
      <c r="D107" s="82">
        <f t="shared" si="62"/>
        <v>42460</v>
      </c>
      <c r="E107" s="81">
        <f t="shared" si="56"/>
        <v>91</v>
      </c>
      <c r="F107" s="83">
        <f>VLOOKUP(D107,'FERC Interest Rate'!$A:$B,2,TRUE)</f>
        <v>3.2500000000000001E-2</v>
      </c>
      <c r="G107" s="84">
        <f t="shared" si="57"/>
        <v>1147.5078672517814</v>
      </c>
      <c r="H107" s="84">
        <f t="shared" si="54"/>
        <v>9.2725533262217041</v>
      </c>
      <c r="I107" s="173">
        <v>0</v>
      </c>
      <c r="J107" s="85">
        <v>0</v>
      </c>
      <c r="K107" s="129">
        <f t="shared" si="58"/>
        <v>0</v>
      </c>
      <c r="L107" s="85">
        <v>0</v>
      </c>
      <c r="M107" s="130">
        <f t="shared" si="59"/>
        <v>0</v>
      </c>
      <c r="N107" s="8">
        <f t="shared" si="60"/>
        <v>1156.780420578003</v>
      </c>
      <c r="O107" s="84">
        <f t="shared" si="55"/>
        <v>1156.780420578003</v>
      </c>
    </row>
    <row r="108" spans="1:15" x14ac:dyDescent="0.2">
      <c r="A108" s="17" t="s">
        <v>22</v>
      </c>
      <c r="B108" s="81" t="str">
        <f t="shared" si="53"/>
        <v>Q2/2016</v>
      </c>
      <c r="C108" s="82">
        <f t="shared" si="61"/>
        <v>42461</v>
      </c>
      <c r="D108" s="82">
        <f t="shared" si="62"/>
        <v>42551</v>
      </c>
      <c r="E108" s="81">
        <f t="shared" si="56"/>
        <v>91</v>
      </c>
      <c r="F108" s="83">
        <f>VLOOKUP(D108,'FERC Interest Rate'!$A:$B,2,TRUE)</f>
        <v>3.4599999999999999E-2</v>
      </c>
      <c r="G108" s="84">
        <f t="shared" si="57"/>
        <v>1156.780420578003</v>
      </c>
      <c r="H108" s="84">
        <f t="shared" si="54"/>
        <v>9.9514722192128424</v>
      </c>
      <c r="I108" s="173">
        <v>0</v>
      </c>
      <c r="J108" s="85">
        <v>0</v>
      </c>
      <c r="K108" s="129">
        <f t="shared" si="58"/>
        <v>0</v>
      </c>
      <c r="L108" s="85">
        <v>0</v>
      </c>
      <c r="M108" s="130">
        <f t="shared" si="59"/>
        <v>0</v>
      </c>
      <c r="N108" s="8">
        <f t="shared" si="60"/>
        <v>1166.7318927972158</v>
      </c>
      <c r="O108" s="84">
        <f t="shared" si="55"/>
        <v>1166.7318927972158</v>
      </c>
    </row>
    <row r="109" spans="1:15" x14ac:dyDescent="0.2">
      <c r="A109" s="17" t="s">
        <v>22</v>
      </c>
      <c r="B109" s="81" t="str">
        <f>+IF(MONTH(C109)&lt;4,"Q1",IF(MONTH(C109)&lt;7,"Q2",IF(MONTH(C109)&lt;10,"Q3","Q4")))&amp;"/"&amp;YEAR(C109)</f>
        <v>Q3/2016</v>
      </c>
      <c r="C109" s="82">
        <f t="shared" si="61"/>
        <v>42552</v>
      </c>
      <c r="D109" s="82">
        <f t="shared" si="62"/>
        <v>42643</v>
      </c>
      <c r="E109" s="81">
        <f t="shared" si="56"/>
        <v>92</v>
      </c>
      <c r="F109" s="83">
        <f>VLOOKUP(D109,'FERC Interest Rate'!$A:$B,2,TRUE)</f>
        <v>3.5000000000000003E-2</v>
      </c>
      <c r="G109" s="84">
        <f t="shared" si="57"/>
        <v>1166.7318927972158</v>
      </c>
      <c r="H109" s="84">
        <f t="shared" si="54"/>
        <v>10.264690422970041</v>
      </c>
      <c r="I109" s="173">
        <v>0</v>
      </c>
      <c r="J109" s="85">
        <v>0</v>
      </c>
      <c r="K109" s="129">
        <f t="shared" si="58"/>
        <v>0</v>
      </c>
      <c r="L109" s="85">
        <v>0</v>
      </c>
      <c r="M109" s="130">
        <f t="shared" si="59"/>
        <v>0</v>
      </c>
      <c r="N109" s="8">
        <f t="shared" si="60"/>
        <v>1176.9965832201858</v>
      </c>
      <c r="O109" s="84">
        <f t="shared" si="55"/>
        <v>1176.9965832201858</v>
      </c>
    </row>
    <row r="110" spans="1:15" x14ac:dyDescent="0.2">
      <c r="A110" s="17" t="s">
        <v>22</v>
      </c>
      <c r="B110" s="81" t="str">
        <f>+IF(MONTH(C110)&lt;4,"Q1",IF(MONTH(C110)&lt;7,"Q2",IF(MONTH(C110)&lt;10,"Q3","Q4")))&amp;"/"&amp;YEAR(C110)</f>
        <v>Q4/2016</v>
      </c>
      <c r="C110" s="82">
        <f t="shared" si="61"/>
        <v>42644</v>
      </c>
      <c r="D110" s="82">
        <f t="shared" si="62"/>
        <v>42735</v>
      </c>
      <c r="E110" s="81">
        <f t="shared" si="56"/>
        <v>92</v>
      </c>
      <c r="F110" s="83">
        <f>VLOOKUP(D110,'FERC Interest Rate'!$A:$B,2,TRUE)</f>
        <v>3.5000000000000003E-2</v>
      </c>
      <c r="G110" s="84">
        <f t="shared" si="57"/>
        <v>1176.9965832201858</v>
      </c>
      <c r="H110" s="84">
        <f t="shared" si="54"/>
        <v>10.354997262210381</v>
      </c>
      <c r="I110" s="173">
        <v>0</v>
      </c>
      <c r="J110" s="85">
        <v>0</v>
      </c>
      <c r="K110" s="129">
        <f t="shared" si="58"/>
        <v>0</v>
      </c>
      <c r="L110" s="85">
        <v>0</v>
      </c>
      <c r="M110" s="130">
        <f t="shared" si="59"/>
        <v>0</v>
      </c>
      <c r="N110" s="8">
        <f t="shared" si="60"/>
        <v>1187.3515804823962</v>
      </c>
      <c r="O110" s="84">
        <f t="shared" si="55"/>
        <v>1187.3515804823962</v>
      </c>
    </row>
    <row r="111" spans="1:15" x14ac:dyDescent="0.2">
      <c r="A111" s="96" t="s">
        <v>54</v>
      </c>
      <c r="B111" s="81" t="str">
        <f t="shared" ref="B111:B128" si="63">+IF(MONTH(C111)&lt;4,"Q1",IF(MONTH(C111)&lt;7,"Q2",IF(MONTH(C111)&lt;10,"Q3","Q4")))&amp;"/"&amp;YEAR(C111)</f>
        <v>Q1/2017</v>
      </c>
      <c r="C111" s="82">
        <f t="shared" si="61"/>
        <v>42736</v>
      </c>
      <c r="D111" s="82">
        <f t="shared" si="62"/>
        <v>42825</v>
      </c>
      <c r="E111" s="81">
        <f t="shared" si="56"/>
        <v>90</v>
      </c>
      <c r="F111" s="83">
        <f>VLOOKUP(D111,'FERC Interest Rate'!$A:$B,2,TRUE)</f>
        <v>3.5000000000000003E-2</v>
      </c>
      <c r="G111" s="84">
        <f t="shared" si="57"/>
        <v>1187.3515804823962</v>
      </c>
      <c r="H111" s="84">
        <f t="shared" si="54"/>
        <v>10.247006790464516</v>
      </c>
      <c r="I111" s="173">
        <f>(SUM($H$102:$H$128)/20)</f>
        <v>4.6809293636430196</v>
      </c>
      <c r="J111" s="85">
        <v>0</v>
      </c>
      <c r="K111" s="129">
        <f t="shared" si="58"/>
        <v>4.6809293636430196</v>
      </c>
      <c r="L111" s="85">
        <f t="shared" ref="L111:L130" si="64">VLOOKUP($L$100,A$1:F$11,5,FALSE)/20</f>
        <v>55.198999999999998</v>
      </c>
      <c r="M111" s="130">
        <f t="shared" si="59"/>
        <v>59.879929363643015</v>
      </c>
      <c r="N111" s="8">
        <f t="shared" si="60"/>
        <v>1197.5985872728606</v>
      </c>
      <c r="O111" s="84">
        <f t="shared" si="55"/>
        <v>1137.7186579092177</v>
      </c>
    </row>
    <row r="112" spans="1:15" x14ac:dyDescent="0.2">
      <c r="A112" s="96" t="s">
        <v>55</v>
      </c>
      <c r="B112" s="81" t="str">
        <f t="shared" si="63"/>
        <v>Q2/2017</v>
      </c>
      <c r="C112" s="82">
        <f t="shared" si="61"/>
        <v>42826</v>
      </c>
      <c r="D112" s="82">
        <f t="shared" si="62"/>
        <v>42916</v>
      </c>
      <c r="E112" s="81">
        <f t="shared" si="56"/>
        <v>91</v>
      </c>
      <c r="F112" s="83">
        <f>VLOOKUP(D112,'FERC Interest Rate'!$A:$B,2,TRUE)</f>
        <v>3.7100000000000001E-2</v>
      </c>
      <c r="G112" s="84">
        <f t="shared" si="57"/>
        <v>1137.7186579092177</v>
      </c>
      <c r="H112" s="84">
        <v>0</v>
      </c>
      <c r="I112" s="109">
        <f t="shared" ref="I112:I130" si="65">(SUM($H$102:$H$128)/20)</f>
        <v>4.6809293636430196</v>
      </c>
      <c r="J112" s="85">
        <f t="shared" ref="J112:J128" si="66">G112*F112*(E112/(DATE(YEAR(D112),12,31)-DATE(YEAR(D112),1,1)+1))</f>
        <v>10.523430030047424</v>
      </c>
      <c r="K112" s="129">
        <f t="shared" si="58"/>
        <v>15.204359393690442</v>
      </c>
      <c r="L112" s="85">
        <f t="shared" si="64"/>
        <v>55.198999999999998</v>
      </c>
      <c r="M112" s="130">
        <f t="shared" si="59"/>
        <v>70.403359393690437</v>
      </c>
      <c r="N112" s="8">
        <f t="shared" si="60"/>
        <v>1148.242087939265</v>
      </c>
      <c r="O112" s="84">
        <f t="shared" si="55"/>
        <v>1077.8387285455747</v>
      </c>
    </row>
    <row r="113" spans="1:15" x14ac:dyDescent="0.2">
      <c r="A113" s="96" t="s">
        <v>56</v>
      </c>
      <c r="B113" s="81" t="str">
        <f t="shared" si="63"/>
        <v>Q3/2017</v>
      </c>
      <c r="C113" s="82">
        <f t="shared" si="61"/>
        <v>42917</v>
      </c>
      <c r="D113" s="82">
        <f t="shared" si="62"/>
        <v>43008</v>
      </c>
      <c r="E113" s="81">
        <f t="shared" si="56"/>
        <v>92</v>
      </c>
      <c r="F113" s="83">
        <f>VLOOKUP(D113,'FERC Interest Rate'!$A:$B,2,TRUE)</f>
        <v>3.9600000000000003E-2</v>
      </c>
      <c r="G113" s="84">
        <f t="shared" si="57"/>
        <v>1077.8387285455747</v>
      </c>
      <c r="H113" s="84">
        <v>0</v>
      </c>
      <c r="I113" s="109">
        <f t="shared" si="65"/>
        <v>4.6809293636430196</v>
      </c>
      <c r="J113" s="85">
        <f t="shared" si="66"/>
        <v>10.758307002293805</v>
      </c>
      <c r="K113" s="129">
        <f t="shared" si="58"/>
        <v>15.439236365936825</v>
      </c>
      <c r="L113" s="85">
        <f t="shared" si="64"/>
        <v>55.198999999999998</v>
      </c>
      <c r="M113" s="130">
        <f t="shared" si="59"/>
        <v>70.63823636593682</v>
      </c>
      <c r="N113" s="8">
        <f t="shared" si="60"/>
        <v>1088.5970355478685</v>
      </c>
      <c r="O113" s="84">
        <f t="shared" si="55"/>
        <v>1017.9587991819317</v>
      </c>
    </row>
    <row r="114" spans="1:15" x14ac:dyDescent="0.2">
      <c r="A114" s="17" t="s">
        <v>57</v>
      </c>
      <c r="B114" s="81" t="str">
        <f t="shared" si="63"/>
        <v>Q4/2017</v>
      </c>
      <c r="C114" s="82">
        <f t="shared" si="61"/>
        <v>43009</v>
      </c>
      <c r="D114" s="82">
        <f t="shared" si="62"/>
        <v>43100</v>
      </c>
      <c r="E114" s="81">
        <f t="shared" si="56"/>
        <v>92</v>
      </c>
      <c r="F114" s="83">
        <f>VLOOKUP(D114,'FERC Interest Rate'!$A:$B,2,TRUE)</f>
        <v>4.2099999999999999E-2</v>
      </c>
      <c r="G114" s="84">
        <f t="shared" si="57"/>
        <v>1017.9587991819317</v>
      </c>
      <c r="H114" s="84">
        <v>0</v>
      </c>
      <c r="I114" s="109">
        <f t="shared" si="65"/>
        <v>4.6809293636430196</v>
      </c>
      <c r="J114" s="85">
        <f t="shared" si="66"/>
        <v>10.802076769839612</v>
      </c>
      <c r="K114" s="129">
        <f t="shared" si="58"/>
        <v>15.483006133482633</v>
      </c>
      <c r="L114" s="85">
        <f t="shared" si="64"/>
        <v>55.198999999999998</v>
      </c>
      <c r="M114" s="130">
        <f t="shared" si="59"/>
        <v>70.682006133482631</v>
      </c>
      <c r="N114" s="8">
        <f t="shared" si="60"/>
        <v>1028.7608759517714</v>
      </c>
      <c r="O114" s="84">
        <f t="shared" si="55"/>
        <v>958.07886981828869</v>
      </c>
    </row>
    <row r="115" spans="1:15" x14ac:dyDescent="0.2">
      <c r="A115" s="17" t="s">
        <v>58</v>
      </c>
      <c r="B115" s="81" t="str">
        <f t="shared" si="63"/>
        <v>Q1/2018</v>
      </c>
      <c r="C115" s="82">
        <f t="shared" si="61"/>
        <v>43101</v>
      </c>
      <c r="D115" s="82">
        <f t="shared" si="62"/>
        <v>43190</v>
      </c>
      <c r="E115" s="81">
        <f t="shared" si="56"/>
        <v>90</v>
      </c>
      <c r="F115" s="83">
        <f>VLOOKUP(D115,'FERC Interest Rate'!$A:$B,2,TRUE)</f>
        <v>4.2500000000000003E-2</v>
      </c>
      <c r="G115" s="84">
        <f t="shared" si="57"/>
        <v>958.07886981828869</v>
      </c>
      <c r="H115" s="84">
        <v>0</v>
      </c>
      <c r="I115" s="109">
        <f t="shared" si="65"/>
        <v>4.6809293636430196</v>
      </c>
      <c r="J115" s="85">
        <f t="shared" si="66"/>
        <v>10.040141580972477</v>
      </c>
      <c r="K115" s="129">
        <f t="shared" si="58"/>
        <v>14.721070944615498</v>
      </c>
      <c r="L115" s="85">
        <f t="shared" si="64"/>
        <v>55.198999999999998</v>
      </c>
      <c r="M115" s="130">
        <f t="shared" si="59"/>
        <v>69.920070944615503</v>
      </c>
      <c r="N115" s="8">
        <f t="shared" si="60"/>
        <v>968.11901139926113</v>
      </c>
      <c r="O115" s="84">
        <f t="shared" si="55"/>
        <v>898.19894045464571</v>
      </c>
    </row>
    <row r="116" spans="1:15" x14ac:dyDescent="0.2">
      <c r="A116" s="17" t="s">
        <v>59</v>
      </c>
      <c r="B116" s="81" t="str">
        <f t="shared" si="63"/>
        <v>Q2/2018</v>
      </c>
      <c r="C116" s="82">
        <f t="shared" si="61"/>
        <v>43191</v>
      </c>
      <c r="D116" s="82">
        <f t="shared" si="62"/>
        <v>43281</v>
      </c>
      <c r="E116" s="81">
        <f t="shared" si="56"/>
        <v>91</v>
      </c>
      <c r="F116" s="83">
        <f>VLOOKUP(D116,'FERC Interest Rate'!$A:$B,2,TRUE)</f>
        <v>4.4699999999999997E-2</v>
      </c>
      <c r="G116" s="84">
        <f t="shared" si="57"/>
        <v>898.19894045464571</v>
      </c>
      <c r="H116" s="84">
        <v>0</v>
      </c>
      <c r="I116" s="109">
        <f t="shared" si="65"/>
        <v>4.6809293636430196</v>
      </c>
      <c r="J116" s="85">
        <f t="shared" si="66"/>
        <v>10.009873507088663</v>
      </c>
      <c r="K116" s="129">
        <f t="shared" si="58"/>
        <v>14.690802870731684</v>
      </c>
      <c r="L116" s="85">
        <f t="shared" si="64"/>
        <v>55.198999999999998</v>
      </c>
      <c r="M116" s="130">
        <f t="shared" si="59"/>
        <v>69.889802870731685</v>
      </c>
      <c r="N116" s="8">
        <f t="shared" si="60"/>
        <v>908.20881396173434</v>
      </c>
      <c r="O116" s="84">
        <f t="shared" si="55"/>
        <v>838.31901109100272</v>
      </c>
    </row>
    <row r="117" spans="1:15" x14ac:dyDescent="0.2">
      <c r="A117" s="17" t="s">
        <v>60</v>
      </c>
      <c r="B117" s="81" t="str">
        <f t="shared" si="63"/>
        <v>Q3/2018</v>
      </c>
      <c r="C117" s="82">
        <f t="shared" si="61"/>
        <v>43282</v>
      </c>
      <c r="D117" s="82">
        <f t="shared" si="62"/>
        <v>43373</v>
      </c>
      <c r="E117" s="81">
        <f t="shared" si="56"/>
        <v>92</v>
      </c>
      <c r="F117" s="83">
        <f>VLOOKUP(D117,'FERC Interest Rate'!$A:$B,2,TRUE)</f>
        <v>5.011111E-2</v>
      </c>
      <c r="G117" s="84">
        <f t="shared" si="57"/>
        <v>838.31901109100272</v>
      </c>
      <c r="H117" s="84">
        <v>0</v>
      </c>
      <c r="I117" s="109">
        <f t="shared" si="65"/>
        <v>4.6809293636430196</v>
      </c>
      <c r="J117" s="85">
        <f t="shared" si="66"/>
        <v>10.588594105611689</v>
      </c>
      <c r="K117" s="129">
        <f t="shared" si="58"/>
        <v>15.269523469254707</v>
      </c>
      <c r="L117" s="85">
        <f t="shared" si="64"/>
        <v>55.198999999999998</v>
      </c>
      <c r="M117" s="130">
        <f t="shared" si="59"/>
        <v>70.468523469254706</v>
      </c>
      <c r="N117" s="8">
        <f t="shared" si="60"/>
        <v>848.90760519661444</v>
      </c>
      <c r="O117" s="84">
        <f t="shared" si="55"/>
        <v>778.43908172735973</v>
      </c>
    </row>
    <row r="118" spans="1:15" x14ac:dyDescent="0.2">
      <c r="A118" s="17" t="s">
        <v>61</v>
      </c>
      <c r="B118" s="81" t="str">
        <f t="shared" si="63"/>
        <v>Q4/2018</v>
      </c>
      <c r="C118" s="82">
        <f t="shared" si="61"/>
        <v>43374</v>
      </c>
      <c r="D118" s="82">
        <f t="shared" si="62"/>
        <v>43465</v>
      </c>
      <c r="E118" s="81">
        <f t="shared" si="56"/>
        <v>92</v>
      </c>
      <c r="F118" s="83">
        <f>VLOOKUP(D118,'FERC Interest Rate'!$A:$B,2,TRUE)</f>
        <v>5.2822580000000001E-2</v>
      </c>
      <c r="G118" s="84">
        <f t="shared" si="57"/>
        <v>778.43908172735973</v>
      </c>
      <c r="H118" s="84">
        <v>0</v>
      </c>
      <c r="I118" s="109">
        <f t="shared" si="65"/>
        <v>4.6809293636430196</v>
      </c>
      <c r="J118" s="85">
        <f t="shared" si="66"/>
        <v>10.36428159345107</v>
      </c>
      <c r="K118" s="129">
        <f t="shared" si="58"/>
        <v>15.045210957094088</v>
      </c>
      <c r="L118" s="85">
        <f t="shared" si="64"/>
        <v>55.198999999999998</v>
      </c>
      <c r="M118" s="130">
        <f t="shared" si="59"/>
        <v>70.244210957094083</v>
      </c>
      <c r="N118" s="8">
        <f t="shared" si="60"/>
        <v>788.80336332081083</v>
      </c>
      <c r="O118" s="84">
        <f t="shared" si="55"/>
        <v>718.55915236371675</v>
      </c>
    </row>
    <row r="119" spans="1:15" x14ac:dyDescent="0.2">
      <c r="A119" s="17" t="s">
        <v>62</v>
      </c>
      <c r="B119" s="81" t="str">
        <f t="shared" si="63"/>
        <v>Q1/2019</v>
      </c>
      <c r="C119" s="82">
        <f t="shared" si="61"/>
        <v>43466</v>
      </c>
      <c r="D119" s="82">
        <f t="shared" si="62"/>
        <v>43555</v>
      </c>
      <c r="E119" s="81">
        <f t="shared" si="56"/>
        <v>90</v>
      </c>
      <c r="F119" s="83">
        <f>VLOOKUP(D119,'FERC Interest Rate'!$A:$B,2,TRUE)</f>
        <v>5.5296770000000002E-2</v>
      </c>
      <c r="G119" s="84">
        <f t="shared" si="57"/>
        <v>718.55915236371675</v>
      </c>
      <c r="H119" s="84">
        <v>0</v>
      </c>
      <c r="I119" s="109">
        <f t="shared" si="65"/>
        <v>4.6809293636430196</v>
      </c>
      <c r="J119" s="85">
        <f t="shared" si="66"/>
        <v>9.7974247018318525</v>
      </c>
      <c r="K119" s="129">
        <f t="shared" si="58"/>
        <v>14.478354065474871</v>
      </c>
      <c r="L119" s="85">
        <f t="shared" si="64"/>
        <v>55.198999999999998</v>
      </c>
      <c r="M119" s="130">
        <f t="shared" si="59"/>
        <v>69.677354065474873</v>
      </c>
      <c r="N119" s="8">
        <f t="shared" si="60"/>
        <v>728.35657706554855</v>
      </c>
      <c r="O119" s="84">
        <f t="shared" si="55"/>
        <v>658.67922300007376</v>
      </c>
    </row>
    <row r="120" spans="1:15" x14ac:dyDescent="0.2">
      <c r="A120" s="17" t="s">
        <v>63</v>
      </c>
      <c r="B120" s="81" t="str">
        <f t="shared" si="63"/>
        <v>Q2/2019</v>
      </c>
      <c r="C120" s="82">
        <f t="shared" si="61"/>
        <v>43556</v>
      </c>
      <c r="D120" s="82">
        <f t="shared" si="62"/>
        <v>43646</v>
      </c>
      <c r="E120" s="81">
        <f t="shared" si="56"/>
        <v>91</v>
      </c>
      <c r="F120" s="83">
        <f>VLOOKUP(D120,'FERC Interest Rate'!$A:$B,2,TRUE)</f>
        <v>5.7999999999999996E-2</v>
      </c>
      <c r="G120" s="84">
        <f t="shared" si="57"/>
        <v>658.67922300007376</v>
      </c>
      <c r="H120" s="84">
        <v>0</v>
      </c>
      <c r="I120" s="109">
        <f t="shared" si="65"/>
        <v>4.6809293636430196</v>
      </c>
      <c r="J120" s="85">
        <f t="shared" si="66"/>
        <v>9.5246820246421606</v>
      </c>
      <c r="K120" s="129">
        <f t="shared" si="58"/>
        <v>14.205611388285181</v>
      </c>
      <c r="L120" s="85">
        <f t="shared" si="64"/>
        <v>55.198999999999998</v>
      </c>
      <c r="M120" s="130">
        <f t="shared" si="59"/>
        <v>69.404611388285176</v>
      </c>
      <c r="N120" s="8">
        <f t="shared" si="60"/>
        <v>668.20390502471594</v>
      </c>
      <c r="O120" s="84">
        <f t="shared" si="55"/>
        <v>598.79929363643078</v>
      </c>
    </row>
    <row r="121" spans="1:15" x14ac:dyDescent="0.2">
      <c r="A121" s="17" t="s">
        <v>64</v>
      </c>
      <c r="B121" s="81" t="str">
        <f t="shared" si="63"/>
        <v>Q3/2019</v>
      </c>
      <c r="C121" s="82">
        <f t="shared" si="61"/>
        <v>43647</v>
      </c>
      <c r="D121" s="82">
        <f t="shared" si="62"/>
        <v>43738</v>
      </c>
      <c r="E121" s="81">
        <f t="shared" si="56"/>
        <v>92</v>
      </c>
      <c r="F121" s="83">
        <f>VLOOKUP(D121,'FERC Interest Rate'!$A:$B,2,TRUE)</f>
        <v>0.06</v>
      </c>
      <c r="G121" s="84">
        <f t="shared" si="57"/>
        <v>598.79929363643078</v>
      </c>
      <c r="H121" s="84">
        <v>0</v>
      </c>
      <c r="I121" s="109">
        <f t="shared" si="65"/>
        <v>4.6809293636430196</v>
      </c>
      <c r="J121" s="85">
        <f t="shared" si="66"/>
        <v>9.0558139749947877</v>
      </c>
      <c r="K121" s="129">
        <f t="shared" si="58"/>
        <v>13.736743338637808</v>
      </c>
      <c r="L121" s="85">
        <f t="shared" si="64"/>
        <v>55.198999999999998</v>
      </c>
      <c r="M121" s="130">
        <f t="shared" si="59"/>
        <v>68.935743338637806</v>
      </c>
      <c r="N121" s="8">
        <f t="shared" si="60"/>
        <v>607.85510761142552</v>
      </c>
      <c r="O121" s="84">
        <f t="shared" si="55"/>
        <v>538.91936427278779</v>
      </c>
    </row>
    <row r="122" spans="1:15" x14ac:dyDescent="0.2">
      <c r="A122" s="17" t="s">
        <v>65</v>
      </c>
      <c r="B122" s="81" t="str">
        <f t="shared" si="63"/>
        <v>Q4/2019</v>
      </c>
      <c r="C122" s="82">
        <f t="shared" si="61"/>
        <v>43739</v>
      </c>
      <c r="D122" s="82">
        <f t="shared" si="62"/>
        <v>43830</v>
      </c>
      <c r="E122" s="81">
        <f t="shared" si="56"/>
        <v>92</v>
      </c>
      <c r="F122" s="83">
        <f>VLOOKUP(D122,'FERC Interest Rate'!$A:$B,2,TRUE)</f>
        <v>6.0349460000000001E-2</v>
      </c>
      <c r="G122" s="84">
        <f t="shared" si="57"/>
        <v>538.91936427278779</v>
      </c>
      <c r="H122" s="84">
        <v>0</v>
      </c>
      <c r="I122" s="109">
        <f t="shared" si="65"/>
        <v>4.6809293636430196</v>
      </c>
      <c r="J122" s="85">
        <f t="shared" si="66"/>
        <v>8.1977022487708364</v>
      </c>
      <c r="K122" s="129">
        <f t="shared" si="58"/>
        <v>12.878631612413855</v>
      </c>
      <c r="L122" s="85">
        <f t="shared" si="64"/>
        <v>55.198999999999998</v>
      </c>
      <c r="M122" s="130">
        <f t="shared" si="59"/>
        <v>68.077631612413853</v>
      </c>
      <c r="N122" s="8">
        <f t="shared" si="60"/>
        <v>547.11706652155863</v>
      </c>
      <c r="O122" s="84">
        <f t="shared" si="55"/>
        <v>479.03943490914475</v>
      </c>
    </row>
    <row r="123" spans="1:15" x14ac:dyDescent="0.2">
      <c r="A123" s="17" t="s">
        <v>66</v>
      </c>
      <c r="B123" s="81" t="str">
        <f t="shared" si="63"/>
        <v>Q1/2020</v>
      </c>
      <c r="C123" s="82">
        <f t="shared" si="61"/>
        <v>43831</v>
      </c>
      <c r="D123" s="82">
        <f t="shared" si="62"/>
        <v>43921</v>
      </c>
      <c r="E123" s="81">
        <f t="shared" si="56"/>
        <v>91</v>
      </c>
      <c r="F123" s="83">
        <f>VLOOKUP(D123,'FERC Interest Rate'!$A:$B,2,TRUE)</f>
        <v>6.2501040000000008E-2</v>
      </c>
      <c r="G123" s="84">
        <f t="shared" si="57"/>
        <v>479.03943490914475</v>
      </c>
      <c r="H123" s="84">
        <v>0</v>
      </c>
      <c r="I123" s="109">
        <f t="shared" si="65"/>
        <v>4.6809293636430196</v>
      </c>
      <c r="J123" s="85">
        <f t="shared" si="66"/>
        <v>7.4442134490106033</v>
      </c>
      <c r="K123" s="129">
        <f t="shared" si="58"/>
        <v>12.125142812653623</v>
      </c>
      <c r="L123" s="85">
        <f t="shared" si="64"/>
        <v>55.198999999999998</v>
      </c>
      <c r="M123" s="130">
        <f t="shared" si="59"/>
        <v>67.324142812653619</v>
      </c>
      <c r="N123" s="8">
        <f t="shared" si="60"/>
        <v>486.48364835815534</v>
      </c>
      <c r="O123" s="84">
        <f t="shared" si="55"/>
        <v>419.1595055455017</v>
      </c>
    </row>
    <row r="124" spans="1:15" x14ac:dyDescent="0.2">
      <c r="A124" s="17" t="s">
        <v>67</v>
      </c>
      <c r="B124" s="81" t="str">
        <f t="shared" si="63"/>
        <v>Q2/2020</v>
      </c>
      <c r="C124" s="82">
        <f t="shared" si="61"/>
        <v>43922</v>
      </c>
      <c r="D124" s="82">
        <f t="shared" si="62"/>
        <v>44012</v>
      </c>
      <c r="E124" s="81">
        <f t="shared" si="56"/>
        <v>91</v>
      </c>
      <c r="F124" s="83">
        <f>VLOOKUP(D124,'FERC Interest Rate'!$A:$B,2,TRUE)</f>
        <v>6.3055559999999997E-2</v>
      </c>
      <c r="G124" s="84">
        <f t="shared" si="57"/>
        <v>419.1595055455017</v>
      </c>
      <c r="H124" s="84">
        <v>0</v>
      </c>
      <c r="I124" s="109">
        <f t="shared" si="65"/>
        <v>4.6809293636430196</v>
      </c>
      <c r="J124" s="85">
        <f t="shared" si="66"/>
        <v>6.5714773196339316</v>
      </c>
      <c r="K124" s="129">
        <f t="shared" si="58"/>
        <v>11.252406683276952</v>
      </c>
      <c r="L124" s="85">
        <f t="shared" si="64"/>
        <v>55.198999999999998</v>
      </c>
      <c r="M124" s="130">
        <f t="shared" si="59"/>
        <v>66.451406683276957</v>
      </c>
      <c r="N124" s="8">
        <f t="shared" si="60"/>
        <v>425.73098286513562</v>
      </c>
      <c r="O124" s="84">
        <f t="shared" si="55"/>
        <v>359.27957618185866</v>
      </c>
    </row>
    <row r="125" spans="1:15" x14ac:dyDescent="0.2">
      <c r="A125" s="17" t="s">
        <v>68</v>
      </c>
      <c r="B125" s="81" t="str">
        <f t="shared" si="63"/>
        <v>Q3/2020</v>
      </c>
      <c r="C125" s="82">
        <f t="shared" si="61"/>
        <v>44013</v>
      </c>
      <c r="D125" s="82">
        <f t="shared" si="62"/>
        <v>44104</v>
      </c>
      <c r="E125" s="81">
        <f t="shared" si="56"/>
        <v>92</v>
      </c>
      <c r="F125" s="83">
        <f>VLOOKUP(D125,'FERC Interest Rate'!$A:$B,2,TRUE)</f>
        <v>6.5000000000000002E-2</v>
      </c>
      <c r="G125" s="84">
        <f t="shared" si="57"/>
        <v>359.27957618185866</v>
      </c>
      <c r="H125" s="84">
        <v>0</v>
      </c>
      <c r="I125" s="109">
        <f t="shared" si="65"/>
        <v>4.6809293636430196</v>
      </c>
      <c r="J125" s="85">
        <f t="shared" si="66"/>
        <v>5.8701963540096038</v>
      </c>
      <c r="K125" s="129">
        <f t="shared" si="58"/>
        <v>10.551125717652624</v>
      </c>
      <c r="L125" s="85">
        <f t="shared" si="64"/>
        <v>55.198999999999998</v>
      </c>
      <c r="M125" s="130">
        <f t="shared" si="59"/>
        <v>65.750125717652622</v>
      </c>
      <c r="N125" s="8">
        <f t="shared" si="60"/>
        <v>365.14977253586824</v>
      </c>
      <c r="O125" s="84">
        <f t="shared" si="55"/>
        <v>299.39964681821561</v>
      </c>
    </row>
    <row r="126" spans="1:15" x14ac:dyDescent="0.2">
      <c r="A126" s="17" t="s">
        <v>69</v>
      </c>
      <c r="B126" s="81" t="str">
        <f t="shared" si="63"/>
        <v>Q4/2020</v>
      </c>
      <c r="C126" s="82">
        <f t="shared" si="61"/>
        <v>44105</v>
      </c>
      <c r="D126" s="82">
        <f t="shared" si="62"/>
        <v>44196</v>
      </c>
      <c r="E126" s="81">
        <f t="shared" si="56"/>
        <v>92</v>
      </c>
      <c r="F126" s="83">
        <f>VLOOKUP(D126,'FERC Interest Rate'!$A:$B,2,TRUE)</f>
        <v>6.5000000000000002E-2</v>
      </c>
      <c r="G126" s="84">
        <f t="shared" si="57"/>
        <v>299.39964681821561</v>
      </c>
      <c r="H126" s="84">
        <v>0</v>
      </c>
      <c r="I126" s="109">
        <f t="shared" si="65"/>
        <v>4.6809293636430196</v>
      </c>
      <c r="J126" s="85">
        <f t="shared" si="66"/>
        <v>4.8918302950080044</v>
      </c>
      <c r="K126" s="129">
        <f t="shared" si="58"/>
        <v>9.5727596586510231</v>
      </c>
      <c r="L126" s="85">
        <f t="shared" si="64"/>
        <v>55.198999999999998</v>
      </c>
      <c r="M126" s="130">
        <f t="shared" si="59"/>
        <v>64.771759658651021</v>
      </c>
      <c r="N126" s="8">
        <f t="shared" si="60"/>
        <v>304.29147711322361</v>
      </c>
      <c r="O126" s="84">
        <f t="shared" si="55"/>
        <v>239.51971745457257</v>
      </c>
    </row>
    <row r="127" spans="1:15" x14ac:dyDescent="0.2">
      <c r="A127" s="17" t="s">
        <v>70</v>
      </c>
      <c r="B127" s="81" t="str">
        <f t="shared" si="63"/>
        <v>Q1/2021</v>
      </c>
      <c r="C127" s="82">
        <f t="shared" si="61"/>
        <v>44197</v>
      </c>
      <c r="D127" s="82">
        <f t="shared" si="62"/>
        <v>44286</v>
      </c>
      <c r="E127" s="81">
        <f t="shared" si="56"/>
        <v>90</v>
      </c>
      <c r="F127" s="83">
        <f>VLOOKUP(D127,'FERC Interest Rate'!$A:$B,2,TRUE)</f>
        <v>6.5000000000000002E-2</v>
      </c>
      <c r="G127" s="84">
        <f t="shared" si="57"/>
        <v>239.51971745457257</v>
      </c>
      <c r="H127" s="84">
        <v>0</v>
      </c>
      <c r="I127" s="109">
        <f t="shared" si="65"/>
        <v>4.6809293636430196</v>
      </c>
      <c r="J127" s="85">
        <f t="shared" si="66"/>
        <v>3.8388776633130126</v>
      </c>
      <c r="K127" s="129">
        <f t="shared" si="58"/>
        <v>8.5198070269560322</v>
      </c>
      <c r="L127" s="85">
        <f t="shared" si="64"/>
        <v>55.198999999999998</v>
      </c>
      <c r="M127" s="130">
        <f t="shared" si="59"/>
        <v>63.718807026956028</v>
      </c>
      <c r="N127" s="8">
        <f t="shared" si="60"/>
        <v>243.35859511788559</v>
      </c>
      <c r="O127" s="84">
        <f t="shared" si="55"/>
        <v>179.63978809092953</v>
      </c>
    </row>
    <row r="128" spans="1:15" x14ac:dyDescent="0.2">
      <c r="A128" s="17" t="s">
        <v>71</v>
      </c>
      <c r="B128" s="81" t="str">
        <f t="shared" si="63"/>
        <v>Q2/2021</v>
      </c>
      <c r="C128" s="82">
        <f t="shared" si="61"/>
        <v>44287</v>
      </c>
      <c r="D128" s="82">
        <f t="shared" si="62"/>
        <v>44377</v>
      </c>
      <c r="E128" s="81">
        <f t="shared" si="56"/>
        <v>91</v>
      </c>
      <c r="F128" s="83">
        <f>VLOOKUP(D128,'FERC Interest Rate'!$A:$B,2,TRUE)</f>
        <v>6.5000000000000002E-2</v>
      </c>
      <c r="G128" s="84">
        <f t="shared" si="57"/>
        <v>179.63978809092953</v>
      </c>
      <c r="H128" s="84">
        <v>0</v>
      </c>
      <c r="I128" s="109">
        <f t="shared" si="65"/>
        <v>4.6809293636430196</v>
      </c>
      <c r="J128" s="85">
        <f t="shared" si="66"/>
        <v>2.911148894679036</v>
      </c>
      <c r="K128" s="129">
        <f t="shared" si="58"/>
        <v>7.5920782583220561</v>
      </c>
      <c r="L128" s="85">
        <f t="shared" si="64"/>
        <v>55.198999999999998</v>
      </c>
      <c r="M128" s="130">
        <f t="shared" si="59"/>
        <v>62.791078258322052</v>
      </c>
      <c r="N128" s="8">
        <f t="shared" si="60"/>
        <v>182.55093698560856</v>
      </c>
      <c r="O128" s="84">
        <f t="shared" si="55"/>
        <v>119.75985872728651</v>
      </c>
    </row>
    <row r="129" spans="1:15" x14ac:dyDescent="0.2">
      <c r="A129" s="17" t="s">
        <v>72</v>
      </c>
      <c r="B129" s="81" t="str">
        <f t="shared" ref="B129:B130" si="67">+IF(MONTH(C129)&lt;4,"Q1",IF(MONTH(C129)&lt;7,"Q2",IF(MONTH(C129)&lt;10,"Q3","Q4")))&amp;"/"&amp;YEAR(C129)</f>
        <v>Q3/2021</v>
      </c>
      <c r="C129" s="82">
        <f t="shared" ref="C129:C130" si="68">D128+1</f>
        <v>44378</v>
      </c>
      <c r="D129" s="82">
        <f t="shared" si="62"/>
        <v>44469</v>
      </c>
      <c r="E129" s="81">
        <f t="shared" ref="E129:E130" si="69">D129-C129+1</f>
        <v>92</v>
      </c>
      <c r="F129" s="83">
        <f>VLOOKUP(D129,'FERC Interest Rate'!$A:$B,2,TRUE)</f>
        <v>6.5000000000000002E-2</v>
      </c>
      <c r="G129" s="84">
        <f t="shared" ref="G129:G130" si="70">O128</f>
        <v>119.75985872728651</v>
      </c>
      <c r="H129" s="84">
        <v>0</v>
      </c>
      <c r="I129" s="109">
        <f t="shared" si="65"/>
        <v>4.6809293636430196</v>
      </c>
      <c r="J129" s="85">
        <f t="shared" ref="J129:J130" si="71">G129*F129*(E129/(DATE(YEAR(D129),12,31)-DATE(YEAR(D129),1,1)+1))</f>
        <v>1.9620930279155437</v>
      </c>
      <c r="K129" s="129">
        <f t="shared" ref="K129:K130" si="72">+SUM(I129:J129)</f>
        <v>6.6430223915585636</v>
      </c>
      <c r="L129" s="85">
        <f t="shared" si="64"/>
        <v>55.198999999999998</v>
      </c>
      <c r="M129" s="130">
        <f t="shared" ref="M129:M130" si="73">+SUM(K129:L129)</f>
        <v>61.842022391558558</v>
      </c>
      <c r="N129" s="8">
        <f t="shared" ref="N129:N130" si="74">+G129+H129+J129</f>
        <v>121.72195175520206</v>
      </c>
      <c r="O129" s="84">
        <f t="shared" ref="O129:O130" si="75">G129+H129-L129-I129</f>
        <v>59.879929363643498</v>
      </c>
    </row>
    <row r="130" spans="1:15" x14ac:dyDescent="0.2">
      <c r="A130" s="17" t="s">
        <v>73</v>
      </c>
      <c r="B130" s="81" t="str">
        <f t="shared" si="67"/>
        <v>Q4/2021</v>
      </c>
      <c r="C130" s="82">
        <f t="shared" si="68"/>
        <v>44470</v>
      </c>
      <c r="D130" s="82">
        <f t="shared" si="62"/>
        <v>44561</v>
      </c>
      <c r="E130" s="81">
        <f t="shared" si="69"/>
        <v>92</v>
      </c>
      <c r="F130" s="83">
        <f>VLOOKUP(D130,'FERC Interest Rate'!$A:$B,2,TRUE)</f>
        <v>6.5000000000000002E-2</v>
      </c>
      <c r="G130" s="84">
        <f t="shared" si="70"/>
        <v>59.879929363643498</v>
      </c>
      <c r="H130" s="84">
        <v>0</v>
      </c>
      <c r="I130" s="109">
        <f t="shared" si="65"/>
        <v>4.6809293636430196</v>
      </c>
      <c r="J130" s="85">
        <f t="shared" si="71"/>
        <v>0.98104651395777576</v>
      </c>
      <c r="K130" s="129">
        <f t="shared" si="72"/>
        <v>5.6619758776007956</v>
      </c>
      <c r="L130" s="85">
        <f t="shared" si="64"/>
        <v>55.198999999999998</v>
      </c>
      <c r="M130" s="130">
        <f t="shared" si="73"/>
        <v>60.860975877600794</v>
      </c>
      <c r="N130" s="8">
        <f t="shared" si="74"/>
        <v>60.860975877601277</v>
      </c>
      <c r="O130" s="84">
        <f t="shared" si="75"/>
        <v>4.8050452505776775E-13</v>
      </c>
    </row>
    <row r="131" spans="1:15" x14ac:dyDescent="0.2">
      <c r="A131" s="96"/>
      <c r="B131" s="81"/>
      <c r="C131" s="82"/>
      <c r="D131" s="82"/>
      <c r="E131" s="81"/>
      <c r="F131" s="83"/>
      <c r="G131" s="84"/>
      <c r="H131" s="84"/>
      <c r="I131" s="109"/>
      <c r="J131" s="85"/>
      <c r="K131" s="129"/>
      <c r="L131" s="85"/>
      <c r="M131" s="130"/>
      <c r="N131" s="8"/>
      <c r="O131" s="84"/>
    </row>
    <row r="132" spans="1:15" ht="13.5" thickBot="1" x14ac:dyDescent="0.25">
      <c r="A132" s="151"/>
      <c r="B132" s="152"/>
      <c r="C132" s="153"/>
      <c r="D132" s="153"/>
      <c r="E132" s="154"/>
      <c r="F132" s="152"/>
      <c r="G132" s="137">
        <f t="shared" ref="G132:O132" si="76">SUM(G102:G131)</f>
        <v>22814.476585569169</v>
      </c>
      <c r="H132" s="137">
        <f t="shared" si="76"/>
        <v>93.618587272860395</v>
      </c>
      <c r="I132" s="138">
        <f t="shared" si="76"/>
        <v>93.618587272860367</v>
      </c>
      <c r="J132" s="137">
        <f t="shared" si="76"/>
        <v>144.13321105707189</v>
      </c>
      <c r="K132" s="137">
        <f t="shared" si="76"/>
        <v>237.75179832993229</v>
      </c>
      <c r="L132" s="137">
        <f t="shared" si="76"/>
        <v>1103.9799999999998</v>
      </c>
      <c r="M132" s="139">
        <f t="shared" si="76"/>
        <v>1341.7317983299324</v>
      </c>
      <c r="N132" s="137">
        <f t="shared" si="76"/>
        <v>23052.228383899102</v>
      </c>
      <c r="O132" s="137">
        <f t="shared" si="76"/>
        <v>21710.496585569166</v>
      </c>
    </row>
    <row r="133" spans="1:15" ht="13.5" thickTop="1" x14ac:dyDescent="0.2">
      <c r="B133" s="117"/>
      <c r="C133" s="117"/>
      <c r="D133" s="117"/>
      <c r="E133" s="117"/>
      <c r="F133" s="117"/>
      <c r="G133" s="117"/>
      <c r="H133" s="117"/>
      <c r="I133" s="180"/>
      <c r="J133" s="315" t="s">
        <v>15</v>
      </c>
      <c r="K133" s="315"/>
      <c r="L133" s="150" t="s">
        <v>56</v>
      </c>
      <c r="M133" s="181"/>
      <c r="O133" s="117"/>
    </row>
    <row r="134" spans="1:15" ht="38.25" x14ac:dyDescent="0.2">
      <c r="A134" s="90" t="s">
        <v>53</v>
      </c>
      <c r="B134" s="90" t="s">
        <v>3</v>
      </c>
      <c r="C134" s="90" t="s">
        <v>4</v>
      </c>
      <c r="D134" s="90" t="s">
        <v>5</v>
      </c>
      <c r="E134" s="90" t="s">
        <v>6</v>
      </c>
      <c r="F134" s="90" t="s">
        <v>7</v>
      </c>
      <c r="G134" s="90" t="s">
        <v>93</v>
      </c>
      <c r="H134" s="90" t="s">
        <v>94</v>
      </c>
      <c r="I134" s="105" t="s">
        <v>95</v>
      </c>
      <c r="J134" s="106" t="s">
        <v>96</v>
      </c>
      <c r="K134" s="106" t="s">
        <v>97</v>
      </c>
      <c r="L134" s="106" t="s">
        <v>98</v>
      </c>
      <c r="M134" s="107" t="s">
        <v>99</v>
      </c>
      <c r="N134" s="90" t="s">
        <v>100</v>
      </c>
      <c r="O134" s="90" t="s">
        <v>101</v>
      </c>
    </row>
    <row r="135" spans="1:15" x14ac:dyDescent="0.2">
      <c r="A135" s="17" t="s">
        <v>22</v>
      </c>
      <c r="B135" s="81" t="str">
        <f t="shared" ref="B135:B141" si="77">+IF(MONTH(C135)&lt;4,"Q1",IF(MONTH(C135)&lt;7,"Q2",IF(MONTH(C135)&lt;10,"Q3","Q4")))&amp;"/"&amp;YEAR(C135)</f>
        <v>Q1/2015</v>
      </c>
      <c r="C135" s="82">
        <f>VLOOKUP(L133,A$1:F$11,2,FALSE)</f>
        <v>42034</v>
      </c>
      <c r="D135" s="82">
        <f>DATE(YEAR(C135),IF(MONTH(C135)&lt;=3,3,IF(MONTH(C135)&lt;=6,6,IF(MONTH(C135)&lt;=9,9,12))),IF(OR(MONTH(C135)&lt;=3,MONTH(C135)&gt;=10),31,30))</f>
        <v>42094</v>
      </c>
      <c r="E135" s="81">
        <f>D135-C135+1</f>
        <v>61</v>
      </c>
      <c r="F135" s="83">
        <f>VLOOKUP(D135,'FERC Interest Rate'!$A:$B,2,TRUE)</f>
        <v>3.2500000000000001E-2</v>
      </c>
      <c r="G135" s="84">
        <f>VLOOKUP(L133,$A$1:$F$11,5,FALSE)</f>
        <v>1975.7</v>
      </c>
      <c r="H135" s="84">
        <f t="shared" ref="H135:H143" si="78">G135*F135*(E135/(DATE(YEAR(D135),12,31)-DATE(YEAR(D135),1,1)+1))</f>
        <v>10.731028082191783</v>
      </c>
      <c r="I135" s="173">
        <v>0</v>
      </c>
      <c r="J135" s="85">
        <v>0</v>
      </c>
      <c r="K135" s="129">
        <f t="shared" ref="K135:K160" si="79">+SUM(I135:J135)</f>
        <v>0</v>
      </c>
      <c r="L135" s="85">
        <v>0</v>
      </c>
      <c r="M135" s="130">
        <f t="shared" ref="M135:M160" si="80">+SUM(K135:L135)</f>
        <v>0</v>
      </c>
      <c r="N135" s="8">
        <f t="shared" ref="N135:N160" si="81">+G135+H135+J135</f>
        <v>1986.4310280821919</v>
      </c>
      <c r="O135" s="84">
        <f t="shared" ref="O135:O160" si="82">G135+H135-L135-I135</f>
        <v>1986.4310280821919</v>
      </c>
    </row>
    <row r="136" spans="1:15" x14ac:dyDescent="0.2">
      <c r="A136" s="17" t="s">
        <v>22</v>
      </c>
      <c r="B136" s="81" t="str">
        <f t="shared" si="77"/>
        <v>Q2/2015</v>
      </c>
      <c r="C136" s="82">
        <f>D135+1</f>
        <v>42095</v>
      </c>
      <c r="D136" s="82">
        <f>EOMONTH(D135,3)</f>
        <v>42185</v>
      </c>
      <c r="E136" s="81">
        <f t="shared" ref="E136:E160" si="83">D136-C136+1</f>
        <v>91</v>
      </c>
      <c r="F136" s="83">
        <f>VLOOKUP(D136,'FERC Interest Rate'!$A:$B,2,TRUE)</f>
        <v>3.2500000000000001E-2</v>
      </c>
      <c r="G136" s="84">
        <f t="shared" ref="G136:G160" si="84">O135</f>
        <v>1986.4310280821919</v>
      </c>
      <c r="H136" s="84">
        <f t="shared" si="78"/>
        <v>16.095533604255021</v>
      </c>
      <c r="I136" s="173">
        <v>0</v>
      </c>
      <c r="J136" s="85">
        <v>0</v>
      </c>
      <c r="K136" s="129">
        <f t="shared" si="79"/>
        <v>0</v>
      </c>
      <c r="L136" s="85">
        <v>0</v>
      </c>
      <c r="M136" s="130">
        <f t="shared" si="80"/>
        <v>0</v>
      </c>
      <c r="N136" s="8">
        <f t="shared" si="81"/>
        <v>2002.5265616864469</v>
      </c>
      <c r="O136" s="84">
        <f t="shared" si="82"/>
        <v>2002.5265616864469</v>
      </c>
    </row>
    <row r="137" spans="1:15" x14ac:dyDescent="0.2">
      <c r="A137" s="17" t="s">
        <v>22</v>
      </c>
      <c r="B137" s="81" t="str">
        <f t="shared" si="77"/>
        <v>Q3/2015</v>
      </c>
      <c r="C137" s="82">
        <f t="shared" ref="C137:C160" si="85">D136+1</f>
        <v>42186</v>
      </c>
      <c r="D137" s="82">
        <f t="shared" ref="D137:D162" si="86">EOMONTH(D136,3)</f>
        <v>42277</v>
      </c>
      <c r="E137" s="81">
        <f t="shared" si="83"/>
        <v>92</v>
      </c>
      <c r="F137" s="83">
        <f>VLOOKUP(D137,'FERC Interest Rate'!$A:$B,2,TRUE)</f>
        <v>3.2500000000000001E-2</v>
      </c>
      <c r="G137" s="84">
        <f t="shared" si="84"/>
        <v>2002.5265616864469</v>
      </c>
      <c r="H137" s="84">
        <f t="shared" si="78"/>
        <v>16.404258683404045</v>
      </c>
      <c r="I137" s="173">
        <v>0</v>
      </c>
      <c r="J137" s="85">
        <v>0</v>
      </c>
      <c r="K137" s="129">
        <f t="shared" si="79"/>
        <v>0</v>
      </c>
      <c r="L137" s="85">
        <v>0</v>
      </c>
      <c r="M137" s="130">
        <f t="shared" si="80"/>
        <v>0</v>
      </c>
      <c r="N137" s="8">
        <f t="shared" si="81"/>
        <v>2018.9308203698511</v>
      </c>
      <c r="O137" s="84">
        <f t="shared" si="82"/>
        <v>2018.9308203698511</v>
      </c>
    </row>
    <row r="138" spans="1:15" x14ac:dyDescent="0.2">
      <c r="A138" s="17" t="s">
        <v>22</v>
      </c>
      <c r="B138" s="81" t="str">
        <f t="shared" si="77"/>
        <v>Q4/2015</v>
      </c>
      <c r="C138" s="82">
        <f t="shared" si="85"/>
        <v>42278</v>
      </c>
      <c r="D138" s="82">
        <f t="shared" si="86"/>
        <v>42369</v>
      </c>
      <c r="E138" s="81">
        <f t="shared" si="83"/>
        <v>92</v>
      </c>
      <c r="F138" s="83">
        <f>VLOOKUP(D138,'FERC Interest Rate'!$A:$B,2,TRUE)</f>
        <v>3.2500000000000001E-2</v>
      </c>
      <c r="G138" s="84">
        <f t="shared" si="84"/>
        <v>2018.9308203698511</v>
      </c>
      <c r="H138" s="84">
        <f t="shared" si="78"/>
        <v>16.538638775084532</v>
      </c>
      <c r="I138" s="173">
        <v>0</v>
      </c>
      <c r="J138" s="85">
        <v>0</v>
      </c>
      <c r="K138" s="129">
        <f t="shared" si="79"/>
        <v>0</v>
      </c>
      <c r="L138" s="85">
        <v>0</v>
      </c>
      <c r="M138" s="130">
        <f t="shared" si="80"/>
        <v>0</v>
      </c>
      <c r="N138" s="8">
        <f t="shared" si="81"/>
        <v>2035.4694591449356</v>
      </c>
      <c r="O138" s="84">
        <f t="shared" si="82"/>
        <v>2035.4694591449356</v>
      </c>
    </row>
    <row r="139" spans="1:15" x14ac:dyDescent="0.2">
      <c r="A139" s="17" t="s">
        <v>22</v>
      </c>
      <c r="B139" s="81" t="str">
        <f t="shared" si="77"/>
        <v>Q1/2016</v>
      </c>
      <c r="C139" s="82">
        <f t="shared" si="85"/>
        <v>42370</v>
      </c>
      <c r="D139" s="82">
        <f t="shared" si="86"/>
        <v>42460</v>
      </c>
      <c r="E139" s="81">
        <f t="shared" si="83"/>
        <v>91</v>
      </c>
      <c r="F139" s="83">
        <f>VLOOKUP(D139,'FERC Interest Rate'!$A:$B,2,TRUE)</f>
        <v>3.2500000000000001E-2</v>
      </c>
      <c r="G139" s="84">
        <f t="shared" si="84"/>
        <v>2035.4694591449356</v>
      </c>
      <c r="H139" s="84">
        <f t="shared" si="78"/>
        <v>16.447816736123354</v>
      </c>
      <c r="I139" s="173">
        <v>0</v>
      </c>
      <c r="J139" s="85">
        <v>0</v>
      </c>
      <c r="K139" s="129">
        <f t="shared" si="79"/>
        <v>0</v>
      </c>
      <c r="L139" s="85">
        <v>0</v>
      </c>
      <c r="M139" s="130">
        <f t="shared" si="80"/>
        <v>0</v>
      </c>
      <c r="N139" s="8">
        <f t="shared" si="81"/>
        <v>2051.9172758810591</v>
      </c>
      <c r="O139" s="84">
        <f t="shared" si="82"/>
        <v>2051.9172758810591</v>
      </c>
    </row>
    <row r="140" spans="1:15" x14ac:dyDescent="0.2">
      <c r="A140" s="17" t="s">
        <v>22</v>
      </c>
      <c r="B140" s="81" t="str">
        <f t="shared" si="77"/>
        <v>Q2/2016</v>
      </c>
      <c r="C140" s="82">
        <f t="shared" si="85"/>
        <v>42461</v>
      </c>
      <c r="D140" s="82">
        <f t="shared" si="86"/>
        <v>42551</v>
      </c>
      <c r="E140" s="81">
        <f t="shared" si="83"/>
        <v>91</v>
      </c>
      <c r="F140" s="83">
        <f>VLOOKUP(D140,'FERC Interest Rate'!$A:$B,2,TRUE)</f>
        <v>3.4599999999999999E-2</v>
      </c>
      <c r="G140" s="84">
        <f t="shared" si="84"/>
        <v>2051.9172758810591</v>
      </c>
      <c r="H140" s="84">
        <f t="shared" si="78"/>
        <v>17.652094903931971</v>
      </c>
      <c r="I140" s="173">
        <v>0</v>
      </c>
      <c r="J140" s="85">
        <v>0</v>
      </c>
      <c r="K140" s="129">
        <f t="shared" si="79"/>
        <v>0</v>
      </c>
      <c r="L140" s="85">
        <v>0</v>
      </c>
      <c r="M140" s="130">
        <f t="shared" si="80"/>
        <v>0</v>
      </c>
      <c r="N140" s="8">
        <f t="shared" si="81"/>
        <v>2069.569370784991</v>
      </c>
      <c r="O140" s="84">
        <f t="shared" si="82"/>
        <v>2069.569370784991</v>
      </c>
    </row>
    <row r="141" spans="1:15" x14ac:dyDescent="0.2">
      <c r="A141" s="17" t="s">
        <v>22</v>
      </c>
      <c r="B141" s="81" t="str">
        <f t="shared" si="77"/>
        <v>Q3/2016</v>
      </c>
      <c r="C141" s="82">
        <f t="shared" si="85"/>
        <v>42552</v>
      </c>
      <c r="D141" s="82">
        <f t="shared" si="86"/>
        <v>42643</v>
      </c>
      <c r="E141" s="81">
        <f t="shared" si="83"/>
        <v>92</v>
      </c>
      <c r="F141" s="83">
        <f>VLOOKUP(D141,'FERC Interest Rate'!$A:$B,2,TRUE)</f>
        <v>3.5000000000000003E-2</v>
      </c>
      <c r="G141" s="84">
        <f t="shared" si="84"/>
        <v>2069.569370784991</v>
      </c>
      <c r="H141" s="84">
        <f t="shared" si="78"/>
        <v>18.207686814010032</v>
      </c>
      <c r="I141" s="173">
        <v>0</v>
      </c>
      <c r="J141" s="85">
        <v>0</v>
      </c>
      <c r="K141" s="129">
        <f t="shared" si="79"/>
        <v>0</v>
      </c>
      <c r="L141" s="85">
        <v>0</v>
      </c>
      <c r="M141" s="130">
        <f t="shared" si="80"/>
        <v>0</v>
      </c>
      <c r="N141" s="8">
        <f t="shared" si="81"/>
        <v>2087.7770575990012</v>
      </c>
      <c r="O141" s="84">
        <f t="shared" si="82"/>
        <v>2087.7770575990012</v>
      </c>
    </row>
    <row r="142" spans="1:15" x14ac:dyDescent="0.2">
      <c r="A142" s="17" t="s">
        <v>22</v>
      </c>
      <c r="B142" s="81" t="str">
        <f>+IF(MONTH(C142)&lt;4,"Q1",IF(MONTH(C142)&lt;7,"Q2",IF(MONTH(C142)&lt;10,"Q3","Q4")))&amp;"/"&amp;YEAR(C142)</f>
        <v>Q4/2016</v>
      </c>
      <c r="C142" s="82">
        <f t="shared" si="85"/>
        <v>42644</v>
      </c>
      <c r="D142" s="82">
        <f t="shared" si="86"/>
        <v>42735</v>
      </c>
      <c r="E142" s="81">
        <f t="shared" si="83"/>
        <v>92</v>
      </c>
      <c r="F142" s="83">
        <f>VLOOKUP(D142,'FERC Interest Rate'!$A:$B,2,TRUE)</f>
        <v>3.5000000000000003E-2</v>
      </c>
      <c r="G142" s="84">
        <f t="shared" si="84"/>
        <v>2087.7770575990012</v>
      </c>
      <c r="H142" s="84">
        <f t="shared" si="78"/>
        <v>18.367874659750775</v>
      </c>
      <c r="I142" s="109">
        <v>0</v>
      </c>
      <c r="J142" s="85">
        <v>0</v>
      </c>
      <c r="K142" s="129">
        <f t="shared" si="79"/>
        <v>0</v>
      </c>
      <c r="L142" s="85">
        <v>0</v>
      </c>
      <c r="M142" s="130">
        <f t="shared" si="80"/>
        <v>0</v>
      </c>
      <c r="N142" s="8">
        <f t="shared" si="81"/>
        <v>2106.1449322587519</v>
      </c>
      <c r="O142" s="84">
        <f t="shared" si="82"/>
        <v>2106.1449322587519</v>
      </c>
    </row>
    <row r="143" spans="1:15" x14ac:dyDescent="0.2">
      <c r="A143" s="96" t="s">
        <v>54</v>
      </c>
      <c r="B143" s="81" t="str">
        <f>+IF(MONTH(C143)&lt;4,"Q1",IF(MONTH(C143)&lt;7,"Q2",IF(MONTH(C143)&lt;10,"Q3","Q4")))&amp;"/"&amp;YEAR(C143)</f>
        <v>Q1/2017</v>
      </c>
      <c r="C143" s="82">
        <f t="shared" si="85"/>
        <v>42736</v>
      </c>
      <c r="D143" s="82">
        <f t="shared" si="86"/>
        <v>42825</v>
      </c>
      <c r="E143" s="81">
        <f t="shared" si="83"/>
        <v>90</v>
      </c>
      <c r="F143" s="83">
        <f>VLOOKUP(D143,'FERC Interest Rate'!$A:$B,2,TRUE)</f>
        <v>3.5000000000000003E-2</v>
      </c>
      <c r="G143" s="84">
        <f t="shared" si="84"/>
        <v>2106.1449322587519</v>
      </c>
      <c r="H143" s="84">
        <f t="shared" si="78"/>
        <v>18.176319278397447</v>
      </c>
      <c r="I143" s="109">
        <f>SUM($H$135:$H$160)/20</f>
        <v>7.4310625768574479</v>
      </c>
      <c r="J143" s="85">
        <v>0</v>
      </c>
      <c r="K143" s="129">
        <f t="shared" si="79"/>
        <v>7.4310625768574479</v>
      </c>
      <c r="L143" s="85">
        <f t="shared" ref="L143:L162" si="87">VLOOKUP($L$133,A$1:F$11,5,FALSE)/20</f>
        <v>98.784999999999997</v>
      </c>
      <c r="M143" s="130">
        <f t="shared" si="80"/>
        <v>106.21606257685744</v>
      </c>
      <c r="N143" s="8">
        <f t="shared" si="81"/>
        <v>2124.3212515371492</v>
      </c>
      <c r="O143" s="84">
        <f t="shared" si="82"/>
        <v>2018.1051889602918</v>
      </c>
    </row>
    <row r="144" spans="1:15" x14ac:dyDescent="0.2">
      <c r="A144" s="96" t="s">
        <v>55</v>
      </c>
      <c r="B144" s="81" t="str">
        <f t="shared" ref="B144:B160" si="88">+IF(MONTH(C144)&lt;4,"Q1",IF(MONTH(C144)&lt;7,"Q2",IF(MONTH(C144)&lt;10,"Q3","Q4")))&amp;"/"&amp;YEAR(C144)</f>
        <v>Q2/2017</v>
      </c>
      <c r="C144" s="82">
        <f t="shared" si="85"/>
        <v>42826</v>
      </c>
      <c r="D144" s="82">
        <f t="shared" si="86"/>
        <v>42916</v>
      </c>
      <c r="E144" s="81">
        <f t="shared" si="83"/>
        <v>91</v>
      </c>
      <c r="F144" s="83">
        <f>VLOOKUP(D144,'FERC Interest Rate'!$A:$B,2,TRUE)</f>
        <v>3.7100000000000001E-2</v>
      </c>
      <c r="G144" s="84">
        <f t="shared" si="84"/>
        <v>2018.1051889602918</v>
      </c>
      <c r="H144" s="84">
        <v>0</v>
      </c>
      <c r="I144" s="109">
        <f t="shared" ref="I144:I162" si="89">SUM($H$135:$H$160)/20</f>
        <v>7.4310625768574479</v>
      </c>
      <c r="J144" s="85">
        <f t="shared" ref="J144:J160" si="90">G144*F144*(E144/(DATE(YEAR(D144),12,31)-DATE(YEAR(D144),1,1)+1))</f>
        <v>18.666643639585867</v>
      </c>
      <c r="K144" s="129">
        <f t="shared" si="79"/>
        <v>26.097706216443314</v>
      </c>
      <c r="L144" s="85">
        <f t="shared" si="87"/>
        <v>98.784999999999997</v>
      </c>
      <c r="M144" s="130">
        <f t="shared" si="80"/>
        <v>124.88270621644331</v>
      </c>
      <c r="N144" s="8">
        <f t="shared" si="81"/>
        <v>2036.7718325998776</v>
      </c>
      <c r="O144" s="84">
        <f t="shared" si="82"/>
        <v>1911.8891263834344</v>
      </c>
    </row>
    <row r="145" spans="1:15" x14ac:dyDescent="0.2">
      <c r="A145" s="96" t="s">
        <v>56</v>
      </c>
      <c r="B145" s="81" t="str">
        <f t="shared" si="88"/>
        <v>Q3/2017</v>
      </c>
      <c r="C145" s="82">
        <f t="shared" si="85"/>
        <v>42917</v>
      </c>
      <c r="D145" s="82">
        <f t="shared" si="86"/>
        <v>43008</v>
      </c>
      <c r="E145" s="81">
        <f t="shared" si="83"/>
        <v>92</v>
      </c>
      <c r="F145" s="83">
        <f>VLOOKUP(D145,'FERC Interest Rate'!$A:$B,2,TRUE)</f>
        <v>3.9600000000000003E-2</v>
      </c>
      <c r="G145" s="84">
        <f t="shared" si="84"/>
        <v>1911.8891263834344</v>
      </c>
      <c r="H145" s="84">
        <v>0</v>
      </c>
      <c r="I145" s="109">
        <f t="shared" si="89"/>
        <v>7.4310625768574479</v>
      </c>
      <c r="J145" s="85">
        <f t="shared" si="90"/>
        <v>19.083272507507203</v>
      </c>
      <c r="K145" s="129">
        <f t="shared" si="79"/>
        <v>26.514335084364653</v>
      </c>
      <c r="L145" s="85">
        <f t="shared" si="87"/>
        <v>98.784999999999997</v>
      </c>
      <c r="M145" s="130">
        <f t="shared" si="80"/>
        <v>125.29933508436466</v>
      </c>
      <c r="N145" s="8">
        <f t="shared" si="81"/>
        <v>1930.9723988909416</v>
      </c>
      <c r="O145" s="84">
        <f t="shared" si="82"/>
        <v>1805.6730638065769</v>
      </c>
    </row>
    <row r="146" spans="1:15" x14ac:dyDescent="0.2">
      <c r="A146" s="96" t="s">
        <v>57</v>
      </c>
      <c r="B146" s="81" t="str">
        <f t="shared" si="88"/>
        <v>Q4/2017</v>
      </c>
      <c r="C146" s="82">
        <f t="shared" si="85"/>
        <v>43009</v>
      </c>
      <c r="D146" s="82">
        <f t="shared" si="86"/>
        <v>43100</v>
      </c>
      <c r="E146" s="81">
        <f t="shared" si="83"/>
        <v>92</v>
      </c>
      <c r="F146" s="83">
        <f>VLOOKUP(D146,'FERC Interest Rate'!$A:$B,2,TRUE)</f>
        <v>4.2099999999999999E-2</v>
      </c>
      <c r="G146" s="84">
        <f t="shared" si="84"/>
        <v>1805.6730638065769</v>
      </c>
      <c r="H146" s="84">
        <v>0</v>
      </c>
      <c r="I146" s="109">
        <f t="shared" si="89"/>
        <v>7.4310625768574479</v>
      </c>
      <c r="J146" s="85">
        <f t="shared" si="90"/>
        <v>19.160912084207219</v>
      </c>
      <c r="K146" s="129">
        <f t="shared" si="79"/>
        <v>26.591974661064668</v>
      </c>
      <c r="L146" s="85">
        <f t="shared" si="87"/>
        <v>98.784999999999997</v>
      </c>
      <c r="M146" s="130">
        <f t="shared" si="80"/>
        <v>125.37697466106466</v>
      </c>
      <c r="N146" s="8">
        <f t="shared" si="81"/>
        <v>1824.8339758907841</v>
      </c>
      <c r="O146" s="84">
        <f t="shared" si="82"/>
        <v>1699.4570012297195</v>
      </c>
    </row>
    <row r="147" spans="1:15" x14ac:dyDescent="0.2">
      <c r="A147" s="96" t="s">
        <v>58</v>
      </c>
      <c r="B147" s="81" t="str">
        <f t="shared" si="88"/>
        <v>Q1/2018</v>
      </c>
      <c r="C147" s="82">
        <f t="shared" si="85"/>
        <v>43101</v>
      </c>
      <c r="D147" s="82">
        <f t="shared" si="86"/>
        <v>43190</v>
      </c>
      <c r="E147" s="81">
        <f t="shared" si="83"/>
        <v>90</v>
      </c>
      <c r="F147" s="83">
        <f>VLOOKUP(D147,'FERC Interest Rate'!$A:$B,2,TRUE)</f>
        <v>4.2500000000000003E-2</v>
      </c>
      <c r="G147" s="84">
        <f t="shared" si="84"/>
        <v>1699.4570012297195</v>
      </c>
      <c r="H147" s="84">
        <v>0</v>
      </c>
      <c r="I147" s="109">
        <f t="shared" si="89"/>
        <v>7.4310625768574479</v>
      </c>
      <c r="J147" s="85">
        <f t="shared" si="90"/>
        <v>17.809378163571715</v>
      </c>
      <c r="K147" s="129">
        <f t="shared" si="79"/>
        <v>25.240440740429165</v>
      </c>
      <c r="L147" s="85">
        <f t="shared" si="87"/>
        <v>98.784999999999997</v>
      </c>
      <c r="M147" s="130">
        <f t="shared" si="80"/>
        <v>124.02544074042916</v>
      </c>
      <c r="N147" s="8">
        <f t="shared" si="81"/>
        <v>1717.2663793932911</v>
      </c>
      <c r="O147" s="84">
        <f t="shared" si="82"/>
        <v>1593.240938652862</v>
      </c>
    </row>
    <row r="148" spans="1:15" x14ac:dyDescent="0.2">
      <c r="A148" s="96" t="s">
        <v>59</v>
      </c>
      <c r="B148" s="81" t="str">
        <f t="shared" si="88"/>
        <v>Q2/2018</v>
      </c>
      <c r="C148" s="82">
        <f t="shared" si="85"/>
        <v>43191</v>
      </c>
      <c r="D148" s="82">
        <f t="shared" si="86"/>
        <v>43281</v>
      </c>
      <c r="E148" s="81">
        <f t="shared" si="83"/>
        <v>91</v>
      </c>
      <c r="F148" s="83">
        <f>VLOOKUP(D148,'FERC Interest Rate'!$A:$B,2,TRUE)</f>
        <v>4.4699999999999997E-2</v>
      </c>
      <c r="G148" s="84">
        <f t="shared" si="84"/>
        <v>1593.240938652862</v>
      </c>
      <c r="H148" s="84">
        <v>0</v>
      </c>
      <c r="I148" s="109">
        <f t="shared" si="89"/>
        <v>7.4310625768574479</v>
      </c>
      <c r="J148" s="85">
        <f t="shared" si="90"/>
        <v>17.755688126460949</v>
      </c>
      <c r="K148" s="129">
        <f t="shared" si="79"/>
        <v>25.186750703318395</v>
      </c>
      <c r="L148" s="85">
        <f t="shared" si="87"/>
        <v>98.784999999999997</v>
      </c>
      <c r="M148" s="130">
        <f t="shared" si="80"/>
        <v>123.97175070331839</v>
      </c>
      <c r="N148" s="8">
        <f t="shared" si="81"/>
        <v>1610.9966267793229</v>
      </c>
      <c r="O148" s="84">
        <f t="shared" si="82"/>
        <v>1487.0248760760046</v>
      </c>
    </row>
    <row r="149" spans="1:15" x14ac:dyDescent="0.2">
      <c r="A149" s="96" t="s">
        <v>60</v>
      </c>
      <c r="B149" s="81" t="str">
        <f t="shared" si="88"/>
        <v>Q3/2018</v>
      </c>
      <c r="C149" s="82">
        <f t="shared" si="85"/>
        <v>43282</v>
      </c>
      <c r="D149" s="82">
        <f t="shared" si="86"/>
        <v>43373</v>
      </c>
      <c r="E149" s="81">
        <f t="shared" si="83"/>
        <v>92</v>
      </c>
      <c r="F149" s="83">
        <f>VLOOKUP(D149,'FERC Interest Rate'!$A:$B,2,TRUE)</f>
        <v>5.011111E-2</v>
      </c>
      <c r="G149" s="84">
        <f t="shared" si="84"/>
        <v>1487.0248760760046</v>
      </c>
      <c r="H149" s="84">
        <v>0</v>
      </c>
      <c r="I149" s="109">
        <f t="shared" si="89"/>
        <v>7.4310625768574479</v>
      </c>
      <c r="J149" s="85">
        <f t="shared" si="90"/>
        <v>18.782232812810562</v>
      </c>
      <c r="K149" s="129">
        <f t="shared" si="79"/>
        <v>26.213295389668012</v>
      </c>
      <c r="L149" s="85">
        <f t="shared" si="87"/>
        <v>98.784999999999997</v>
      </c>
      <c r="M149" s="130">
        <f t="shared" si="80"/>
        <v>124.99829538966802</v>
      </c>
      <c r="N149" s="8">
        <f t="shared" si="81"/>
        <v>1505.8071088888153</v>
      </c>
      <c r="O149" s="84">
        <f t="shared" si="82"/>
        <v>1380.8088134991472</v>
      </c>
    </row>
    <row r="150" spans="1:15" x14ac:dyDescent="0.2">
      <c r="A150" s="96" t="s">
        <v>61</v>
      </c>
      <c r="B150" s="81" t="str">
        <f t="shared" si="88"/>
        <v>Q4/2018</v>
      </c>
      <c r="C150" s="82">
        <f t="shared" si="85"/>
        <v>43374</v>
      </c>
      <c r="D150" s="82">
        <f t="shared" si="86"/>
        <v>43465</v>
      </c>
      <c r="E150" s="81">
        <f t="shared" si="83"/>
        <v>92</v>
      </c>
      <c r="F150" s="83">
        <f>VLOOKUP(D150,'FERC Interest Rate'!$A:$B,2,TRUE)</f>
        <v>5.2822580000000001E-2</v>
      </c>
      <c r="G150" s="84">
        <f t="shared" si="84"/>
        <v>1380.8088134991472</v>
      </c>
      <c r="H150" s="84">
        <v>0</v>
      </c>
      <c r="I150" s="109">
        <f t="shared" si="89"/>
        <v>7.4310625768574479</v>
      </c>
      <c r="J150" s="85">
        <f t="shared" si="90"/>
        <v>18.384343368356902</v>
      </c>
      <c r="K150" s="129">
        <f t="shared" si="79"/>
        <v>25.815405945214351</v>
      </c>
      <c r="L150" s="85">
        <f t="shared" si="87"/>
        <v>98.784999999999997</v>
      </c>
      <c r="M150" s="130">
        <f t="shared" si="80"/>
        <v>124.60040594521435</v>
      </c>
      <c r="N150" s="8">
        <f t="shared" si="81"/>
        <v>1399.1931568675041</v>
      </c>
      <c r="O150" s="84">
        <f t="shared" si="82"/>
        <v>1274.5927509222897</v>
      </c>
    </row>
    <row r="151" spans="1:15" x14ac:dyDescent="0.2">
      <c r="A151" s="96" t="s">
        <v>62</v>
      </c>
      <c r="B151" s="81" t="str">
        <f t="shared" si="88"/>
        <v>Q1/2019</v>
      </c>
      <c r="C151" s="82">
        <f t="shared" si="85"/>
        <v>43466</v>
      </c>
      <c r="D151" s="82">
        <f t="shared" si="86"/>
        <v>43555</v>
      </c>
      <c r="E151" s="81">
        <f t="shared" si="83"/>
        <v>90</v>
      </c>
      <c r="F151" s="83">
        <f>VLOOKUP(D151,'FERC Interest Rate'!$A:$B,2,TRUE)</f>
        <v>5.5296770000000002E-2</v>
      </c>
      <c r="G151" s="84">
        <f t="shared" si="84"/>
        <v>1274.5927509222897</v>
      </c>
      <c r="H151" s="84">
        <v>0</v>
      </c>
      <c r="I151" s="109">
        <f t="shared" si="89"/>
        <v>7.4310625768574479</v>
      </c>
      <c r="J151" s="85">
        <f t="shared" si="90"/>
        <v>17.378842732130256</v>
      </c>
      <c r="K151" s="129">
        <f t="shared" si="79"/>
        <v>24.809905308987702</v>
      </c>
      <c r="L151" s="85">
        <f t="shared" si="87"/>
        <v>98.784999999999997</v>
      </c>
      <c r="M151" s="130">
        <f t="shared" si="80"/>
        <v>123.59490530898771</v>
      </c>
      <c r="N151" s="8">
        <f t="shared" si="81"/>
        <v>1291.9715936544201</v>
      </c>
      <c r="O151" s="84">
        <f t="shared" si="82"/>
        <v>1168.3766883454323</v>
      </c>
    </row>
    <row r="152" spans="1:15" x14ac:dyDescent="0.2">
      <c r="A152" s="96" t="s">
        <v>63</v>
      </c>
      <c r="B152" s="81" t="str">
        <f t="shared" si="88"/>
        <v>Q2/2019</v>
      </c>
      <c r="C152" s="82">
        <f t="shared" si="85"/>
        <v>43556</v>
      </c>
      <c r="D152" s="82">
        <f t="shared" si="86"/>
        <v>43646</v>
      </c>
      <c r="E152" s="81">
        <f t="shared" si="83"/>
        <v>91</v>
      </c>
      <c r="F152" s="83">
        <f>VLOOKUP(D152,'FERC Interest Rate'!$A:$B,2,TRUE)</f>
        <v>5.7999999999999996E-2</v>
      </c>
      <c r="G152" s="84">
        <f t="shared" si="84"/>
        <v>1168.3766883454323</v>
      </c>
      <c r="H152" s="84">
        <v>0</v>
      </c>
      <c r="I152" s="109">
        <f t="shared" si="89"/>
        <v>7.4310625768574479</v>
      </c>
      <c r="J152" s="85">
        <f t="shared" si="90"/>
        <v>16.895047016677236</v>
      </c>
      <c r="K152" s="129">
        <f t="shared" si="79"/>
        <v>24.326109593534682</v>
      </c>
      <c r="L152" s="85">
        <f t="shared" si="87"/>
        <v>98.784999999999997</v>
      </c>
      <c r="M152" s="130">
        <f t="shared" si="80"/>
        <v>123.11110959353468</v>
      </c>
      <c r="N152" s="8">
        <f t="shared" si="81"/>
        <v>1185.2717353621094</v>
      </c>
      <c r="O152" s="84">
        <f t="shared" si="82"/>
        <v>1062.1606257685748</v>
      </c>
    </row>
    <row r="153" spans="1:15" x14ac:dyDescent="0.2">
      <c r="A153" s="96" t="s">
        <v>64</v>
      </c>
      <c r="B153" s="81" t="str">
        <f t="shared" si="88"/>
        <v>Q3/2019</v>
      </c>
      <c r="C153" s="82">
        <f t="shared" si="85"/>
        <v>43647</v>
      </c>
      <c r="D153" s="82">
        <f t="shared" si="86"/>
        <v>43738</v>
      </c>
      <c r="E153" s="81">
        <f t="shared" si="83"/>
        <v>92</v>
      </c>
      <c r="F153" s="83">
        <f>VLOOKUP(D153,'FERC Interest Rate'!$A:$B,2,TRUE)</f>
        <v>0.06</v>
      </c>
      <c r="G153" s="84">
        <f t="shared" si="84"/>
        <v>1062.1606257685748</v>
      </c>
      <c r="H153" s="84">
        <v>0</v>
      </c>
      <c r="I153" s="109">
        <f t="shared" si="89"/>
        <v>7.4310625768574479</v>
      </c>
      <c r="J153" s="85">
        <f t="shared" si="90"/>
        <v>16.063360696554888</v>
      </c>
      <c r="K153" s="129">
        <f t="shared" si="79"/>
        <v>23.494423273412337</v>
      </c>
      <c r="L153" s="85">
        <f t="shared" si="87"/>
        <v>98.784999999999997</v>
      </c>
      <c r="M153" s="130">
        <f t="shared" si="80"/>
        <v>122.27942327341233</v>
      </c>
      <c r="N153" s="8">
        <f t="shared" si="81"/>
        <v>1078.2239864651297</v>
      </c>
      <c r="O153" s="84">
        <f t="shared" si="82"/>
        <v>955.94456319171741</v>
      </c>
    </row>
    <row r="154" spans="1:15" x14ac:dyDescent="0.2">
      <c r="A154" s="96" t="s">
        <v>65</v>
      </c>
      <c r="B154" s="81" t="str">
        <f t="shared" si="88"/>
        <v>Q4/2019</v>
      </c>
      <c r="C154" s="82">
        <f t="shared" si="85"/>
        <v>43739</v>
      </c>
      <c r="D154" s="82">
        <f t="shared" si="86"/>
        <v>43830</v>
      </c>
      <c r="E154" s="81">
        <f t="shared" si="83"/>
        <v>92</v>
      </c>
      <c r="F154" s="83">
        <f>VLOOKUP(D154,'FERC Interest Rate'!$A:$B,2,TRUE)</f>
        <v>6.0349460000000001E-2</v>
      </c>
      <c r="G154" s="84">
        <f t="shared" si="84"/>
        <v>955.94456319171741</v>
      </c>
      <c r="H154" s="84">
        <v>0</v>
      </c>
      <c r="I154" s="109">
        <f t="shared" si="89"/>
        <v>7.4310625768574479</v>
      </c>
      <c r="J154" s="85">
        <f t="shared" si="90"/>
        <v>14.541227157334671</v>
      </c>
      <c r="K154" s="129">
        <f t="shared" si="79"/>
        <v>21.972289734192117</v>
      </c>
      <c r="L154" s="85">
        <f t="shared" si="87"/>
        <v>98.784999999999997</v>
      </c>
      <c r="M154" s="130">
        <f t="shared" si="80"/>
        <v>120.75728973419211</v>
      </c>
      <c r="N154" s="8">
        <f t="shared" si="81"/>
        <v>970.48579034905208</v>
      </c>
      <c r="O154" s="84">
        <f t="shared" si="82"/>
        <v>849.72850061485997</v>
      </c>
    </row>
    <row r="155" spans="1:15" x14ac:dyDescent="0.2">
      <c r="A155" s="96" t="s">
        <v>66</v>
      </c>
      <c r="B155" s="81" t="str">
        <f t="shared" si="88"/>
        <v>Q1/2020</v>
      </c>
      <c r="C155" s="82">
        <f t="shared" si="85"/>
        <v>43831</v>
      </c>
      <c r="D155" s="82">
        <f t="shared" si="86"/>
        <v>43921</v>
      </c>
      <c r="E155" s="81">
        <f t="shared" si="83"/>
        <v>91</v>
      </c>
      <c r="F155" s="83">
        <f>VLOOKUP(D155,'FERC Interest Rate'!$A:$B,2,TRUE)</f>
        <v>6.2501040000000008E-2</v>
      </c>
      <c r="G155" s="84">
        <f t="shared" si="84"/>
        <v>849.72850061485997</v>
      </c>
      <c r="H155" s="84">
        <v>0</v>
      </c>
      <c r="I155" s="109">
        <f t="shared" si="89"/>
        <v>7.4310625768574479</v>
      </c>
      <c r="J155" s="85">
        <f t="shared" si="90"/>
        <v>13.20467558894075</v>
      </c>
      <c r="K155" s="129">
        <f t="shared" si="79"/>
        <v>20.635738165798198</v>
      </c>
      <c r="L155" s="85">
        <f t="shared" si="87"/>
        <v>98.784999999999997</v>
      </c>
      <c r="M155" s="130">
        <f t="shared" si="80"/>
        <v>119.4207381657982</v>
      </c>
      <c r="N155" s="8">
        <f t="shared" si="81"/>
        <v>862.93317620380071</v>
      </c>
      <c r="O155" s="84">
        <f t="shared" si="82"/>
        <v>743.51243803800253</v>
      </c>
    </row>
    <row r="156" spans="1:15" x14ac:dyDescent="0.2">
      <c r="A156" s="96" t="s">
        <v>67</v>
      </c>
      <c r="B156" s="81" t="str">
        <f t="shared" si="88"/>
        <v>Q2/2020</v>
      </c>
      <c r="C156" s="82">
        <f t="shared" si="85"/>
        <v>43922</v>
      </c>
      <c r="D156" s="82">
        <f t="shared" si="86"/>
        <v>44012</v>
      </c>
      <c r="E156" s="81">
        <f t="shared" si="83"/>
        <v>91</v>
      </c>
      <c r="F156" s="83">
        <f>VLOOKUP(D156,'FERC Interest Rate'!$A:$B,2,TRUE)</f>
        <v>6.3055559999999997E-2</v>
      </c>
      <c r="G156" s="84">
        <f t="shared" si="84"/>
        <v>743.51243803800253</v>
      </c>
      <c r="H156" s="84">
        <v>0</v>
      </c>
      <c r="I156" s="109">
        <f t="shared" si="89"/>
        <v>7.4310625768574479</v>
      </c>
      <c r="J156" s="85">
        <f t="shared" si="90"/>
        <v>11.656601028464729</v>
      </c>
      <c r="K156" s="129">
        <f t="shared" si="79"/>
        <v>19.087663605322177</v>
      </c>
      <c r="L156" s="85">
        <f t="shared" si="87"/>
        <v>98.784999999999997</v>
      </c>
      <c r="M156" s="130">
        <f t="shared" si="80"/>
        <v>117.87266360532217</v>
      </c>
      <c r="N156" s="8">
        <f t="shared" si="81"/>
        <v>755.16903906646723</v>
      </c>
      <c r="O156" s="84">
        <f t="shared" si="82"/>
        <v>637.29637546114509</v>
      </c>
    </row>
    <row r="157" spans="1:15" x14ac:dyDescent="0.2">
      <c r="A157" s="96" t="s">
        <v>68</v>
      </c>
      <c r="B157" s="81" t="str">
        <f t="shared" si="88"/>
        <v>Q3/2020</v>
      </c>
      <c r="C157" s="82">
        <f t="shared" si="85"/>
        <v>44013</v>
      </c>
      <c r="D157" s="82">
        <f t="shared" si="86"/>
        <v>44104</v>
      </c>
      <c r="E157" s="81">
        <f t="shared" si="83"/>
        <v>92</v>
      </c>
      <c r="F157" s="83">
        <f>VLOOKUP(D157,'FERC Interest Rate'!$A:$B,2,TRUE)</f>
        <v>6.5000000000000002E-2</v>
      </c>
      <c r="G157" s="84">
        <f t="shared" si="84"/>
        <v>637.29637546114509</v>
      </c>
      <c r="H157" s="84">
        <v>0</v>
      </c>
      <c r="I157" s="109">
        <f t="shared" si="89"/>
        <v>7.4310625768574479</v>
      </c>
      <c r="J157" s="85">
        <f t="shared" si="90"/>
        <v>10.412656626387015</v>
      </c>
      <c r="K157" s="129">
        <f t="shared" si="79"/>
        <v>17.843719203244461</v>
      </c>
      <c r="L157" s="85">
        <f t="shared" si="87"/>
        <v>98.784999999999997</v>
      </c>
      <c r="M157" s="130">
        <f t="shared" si="80"/>
        <v>116.62871920324446</v>
      </c>
      <c r="N157" s="8">
        <f t="shared" si="81"/>
        <v>647.70903208753214</v>
      </c>
      <c r="O157" s="84">
        <f t="shared" si="82"/>
        <v>531.08031288428765</v>
      </c>
    </row>
    <row r="158" spans="1:15" x14ac:dyDescent="0.2">
      <c r="A158" s="96" t="s">
        <v>69</v>
      </c>
      <c r="B158" s="81" t="str">
        <f t="shared" si="88"/>
        <v>Q4/2020</v>
      </c>
      <c r="C158" s="82">
        <f t="shared" si="85"/>
        <v>44105</v>
      </c>
      <c r="D158" s="82">
        <f t="shared" si="86"/>
        <v>44196</v>
      </c>
      <c r="E158" s="81">
        <f t="shared" si="83"/>
        <v>92</v>
      </c>
      <c r="F158" s="83">
        <f>VLOOKUP(D158,'FERC Interest Rate'!$A:$B,2,TRUE)</f>
        <v>6.5000000000000002E-2</v>
      </c>
      <c r="G158" s="84">
        <f t="shared" si="84"/>
        <v>531.08031288428765</v>
      </c>
      <c r="H158" s="84">
        <v>0</v>
      </c>
      <c r="I158" s="109">
        <f t="shared" si="89"/>
        <v>7.4310625768574479</v>
      </c>
      <c r="J158" s="85">
        <f t="shared" si="90"/>
        <v>8.6772138553225133</v>
      </c>
      <c r="K158" s="129">
        <f t="shared" si="79"/>
        <v>16.108276432179963</v>
      </c>
      <c r="L158" s="85">
        <f t="shared" si="87"/>
        <v>98.784999999999997</v>
      </c>
      <c r="M158" s="130">
        <f t="shared" si="80"/>
        <v>114.89327643217996</v>
      </c>
      <c r="N158" s="8">
        <f t="shared" si="81"/>
        <v>539.75752673961017</v>
      </c>
      <c r="O158" s="84">
        <f t="shared" si="82"/>
        <v>424.86425030743021</v>
      </c>
    </row>
    <row r="159" spans="1:15" x14ac:dyDescent="0.2">
      <c r="A159" s="96" t="s">
        <v>70</v>
      </c>
      <c r="B159" s="81" t="str">
        <f t="shared" si="88"/>
        <v>Q1/2021</v>
      </c>
      <c r="C159" s="82">
        <f t="shared" si="85"/>
        <v>44197</v>
      </c>
      <c r="D159" s="82">
        <f t="shared" si="86"/>
        <v>44286</v>
      </c>
      <c r="E159" s="81">
        <f t="shared" si="83"/>
        <v>90</v>
      </c>
      <c r="F159" s="83">
        <f>VLOOKUP(D159,'FERC Interest Rate'!$A:$B,2,TRUE)</f>
        <v>6.5000000000000002E-2</v>
      </c>
      <c r="G159" s="84">
        <f t="shared" si="84"/>
        <v>424.86425030743021</v>
      </c>
      <c r="H159" s="84">
        <v>0</v>
      </c>
      <c r="I159" s="109">
        <f t="shared" si="89"/>
        <v>7.4310625768574479</v>
      </c>
      <c r="J159" s="85">
        <f t="shared" si="90"/>
        <v>6.8094681213656623</v>
      </c>
      <c r="K159" s="129">
        <f t="shared" si="79"/>
        <v>14.240530698223111</v>
      </c>
      <c r="L159" s="85">
        <f t="shared" si="87"/>
        <v>98.784999999999997</v>
      </c>
      <c r="M159" s="130">
        <f t="shared" si="80"/>
        <v>113.02553069822311</v>
      </c>
      <c r="N159" s="8">
        <f t="shared" si="81"/>
        <v>431.67371842879589</v>
      </c>
      <c r="O159" s="84">
        <f t="shared" si="82"/>
        <v>318.64818773057277</v>
      </c>
    </row>
    <row r="160" spans="1:15" x14ac:dyDescent="0.2">
      <c r="A160" s="96" t="s">
        <v>71</v>
      </c>
      <c r="B160" s="81" t="str">
        <f t="shared" si="88"/>
        <v>Q2/2021</v>
      </c>
      <c r="C160" s="82">
        <f t="shared" si="85"/>
        <v>44287</v>
      </c>
      <c r="D160" s="82">
        <f t="shared" si="86"/>
        <v>44377</v>
      </c>
      <c r="E160" s="81">
        <f t="shared" si="83"/>
        <v>91</v>
      </c>
      <c r="F160" s="83">
        <f>VLOOKUP(D160,'FERC Interest Rate'!$A:$B,2,TRUE)</f>
        <v>6.5000000000000002E-2</v>
      </c>
      <c r="G160" s="84">
        <f t="shared" si="84"/>
        <v>318.64818773057277</v>
      </c>
      <c r="H160" s="84">
        <v>0</v>
      </c>
      <c r="I160" s="109">
        <f t="shared" si="89"/>
        <v>7.4310625768574479</v>
      </c>
      <c r="J160" s="85">
        <f t="shared" si="90"/>
        <v>5.1638466587022958</v>
      </c>
      <c r="K160" s="129">
        <f t="shared" si="79"/>
        <v>12.594909235559744</v>
      </c>
      <c r="L160" s="85">
        <f t="shared" si="87"/>
        <v>98.784999999999997</v>
      </c>
      <c r="M160" s="130">
        <f t="shared" si="80"/>
        <v>111.37990923555974</v>
      </c>
      <c r="N160" s="8">
        <f t="shared" si="81"/>
        <v>323.81203438927508</v>
      </c>
      <c r="O160" s="84">
        <f t="shared" si="82"/>
        <v>212.43212515371533</v>
      </c>
    </row>
    <row r="161" spans="1:15" x14ac:dyDescent="0.2">
      <c r="A161" s="96" t="s">
        <v>72</v>
      </c>
      <c r="B161" s="81" t="str">
        <f t="shared" ref="B161:B162" si="91">+IF(MONTH(C161)&lt;4,"Q1",IF(MONTH(C161)&lt;7,"Q2",IF(MONTH(C161)&lt;10,"Q3","Q4")))&amp;"/"&amp;YEAR(C161)</f>
        <v>Q3/2021</v>
      </c>
      <c r="C161" s="82">
        <f t="shared" ref="C161:C162" si="92">D160+1</f>
        <v>44378</v>
      </c>
      <c r="D161" s="82">
        <f t="shared" si="86"/>
        <v>44469</v>
      </c>
      <c r="E161" s="81">
        <f t="shared" ref="E161:E162" si="93">D161-C161+1</f>
        <v>92</v>
      </c>
      <c r="F161" s="83">
        <f>VLOOKUP(D161,'FERC Interest Rate'!$A:$B,2,TRUE)</f>
        <v>6.5000000000000002E-2</v>
      </c>
      <c r="G161" s="84">
        <f t="shared" ref="G161:G162" si="94">O160</f>
        <v>212.43212515371533</v>
      </c>
      <c r="H161" s="84">
        <v>0</v>
      </c>
      <c r="I161" s="109">
        <f t="shared" si="89"/>
        <v>7.4310625768574479</v>
      </c>
      <c r="J161" s="85">
        <f t="shared" ref="J161:J162" si="95">G161*F161*(E161/(DATE(YEAR(D161),12,31)-DATE(YEAR(D161),1,1)+1))</f>
        <v>3.4803948175868982</v>
      </c>
      <c r="K161" s="129">
        <f t="shared" ref="K161:K162" si="96">+SUM(I161:J161)</f>
        <v>10.911457394444346</v>
      </c>
      <c r="L161" s="85">
        <f t="shared" si="87"/>
        <v>98.784999999999997</v>
      </c>
      <c r="M161" s="130">
        <f t="shared" ref="M161:M162" si="97">+SUM(K161:L161)</f>
        <v>109.69645739444434</v>
      </c>
      <c r="N161" s="8">
        <f t="shared" ref="N161:N162" si="98">+G161+H161+J161</f>
        <v>215.91251997130223</v>
      </c>
      <c r="O161" s="84">
        <f t="shared" ref="O161:O162" si="99">G161+H161-L161-I161</f>
        <v>106.21606257685789</v>
      </c>
    </row>
    <row r="162" spans="1:15" x14ac:dyDescent="0.2">
      <c r="A162" s="96" t="s">
        <v>73</v>
      </c>
      <c r="B162" s="81" t="str">
        <f t="shared" si="91"/>
        <v>Q4/2021</v>
      </c>
      <c r="C162" s="82">
        <f t="shared" si="92"/>
        <v>44470</v>
      </c>
      <c r="D162" s="82">
        <f t="shared" si="86"/>
        <v>44561</v>
      </c>
      <c r="E162" s="81">
        <f t="shared" si="93"/>
        <v>92</v>
      </c>
      <c r="F162" s="83">
        <f>VLOOKUP(D162,'FERC Interest Rate'!$A:$B,2,TRUE)</f>
        <v>6.5000000000000002E-2</v>
      </c>
      <c r="G162" s="84">
        <f t="shared" si="94"/>
        <v>106.21606257685789</v>
      </c>
      <c r="H162" s="84">
        <v>0</v>
      </c>
      <c r="I162" s="109">
        <f t="shared" si="89"/>
        <v>7.4310625768574479</v>
      </c>
      <c r="J162" s="85">
        <f t="shared" si="95"/>
        <v>1.7401974087934529</v>
      </c>
      <c r="K162" s="129">
        <f t="shared" si="96"/>
        <v>9.1712599856509005</v>
      </c>
      <c r="L162" s="85">
        <f t="shared" si="87"/>
        <v>98.784999999999997</v>
      </c>
      <c r="M162" s="130">
        <f t="shared" si="97"/>
        <v>107.9562599856509</v>
      </c>
      <c r="N162" s="8">
        <f t="shared" si="98"/>
        <v>107.95625998565134</v>
      </c>
      <c r="O162" s="84">
        <f t="shared" si="99"/>
        <v>4.4941828036826337E-13</v>
      </c>
    </row>
    <row r="163" spans="1:15" x14ac:dyDescent="0.2">
      <c r="A163" s="96"/>
      <c r="B163" s="81"/>
      <c r="C163" s="82"/>
      <c r="D163" s="82"/>
      <c r="E163" s="81"/>
      <c r="F163" s="83"/>
      <c r="G163" s="84"/>
      <c r="H163" s="84"/>
      <c r="I163" s="109"/>
      <c r="J163" s="85"/>
      <c r="K163" s="129"/>
      <c r="L163" s="85"/>
      <c r="M163" s="130"/>
      <c r="N163" s="8"/>
      <c r="O163" s="84"/>
    </row>
    <row r="164" spans="1:15" ht="13.5" thickBot="1" x14ac:dyDescent="0.25">
      <c r="A164" s="151"/>
      <c r="B164" s="152"/>
      <c r="C164" s="153"/>
      <c r="D164" s="153"/>
      <c r="E164" s="154"/>
      <c r="F164" s="152"/>
      <c r="G164" s="137">
        <f t="shared" ref="G164:H164" si="100">SUM(G135:G163)</f>
        <v>38515.518395410159</v>
      </c>
      <c r="H164" s="137">
        <f t="shared" si="100"/>
        <v>148.62125153714896</v>
      </c>
      <c r="I164" s="138">
        <f>SUM(I135:I163)</f>
        <v>148.62125153714891</v>
      </c>
      <c r="J164" s="137">
        <f t="shared" ref="J164:O164" si="101">SUM(J135:J163)</f>
        <v>255.6660024107608</v>
      </c>
      <c r="K164" s="137">
        <f t="shared" si="101"/>
        <v>404.28725394790973</v>
      </c>
      <c r="L164" s="137">
        <f t="shared" si="101"/>
        <v>1975.7000000000005</v>
      </c>
      <c r="M164" s="139">
        <f t="shared" si="101"/>
        <v>2379.9872539479093</v>
      </c>
      <c r="N164" s="137">
        <f t="shared" si="101"/>
        <v>38919.805649358059</v>
      </c>
      <c r="O164" s="137">
        <f t="shared" si="101"/>
        <v>36539.818395410162</v>
      </c>
    </row>
    <row r="165" spans="1:15" ht="13.5" thickTop="1" x14ac:dyDescent="0.2">
      <c r="B165" s="117"/>
      <c r="C165" s="117"/>
      <c r="D165" s="117"/>
      <c r="E165" s="117"/>
      <c r="F165" s="117"/>
      <c r="G165" s="117"/>
      <c r="H165" s="117"/>
      <c r="I165" s="180"/>
      <c r="J165" s="315" t="s">
        <v>15</v>
      </c>
      <c r="K165" s="315"/>
      <c r="L165" s="150" t="s">
        <v>57</v>
      </c>
      <c r="M165" s="181"/>
      <c r="O165" s="117"/>
    </row>
    <row r="166" spans="1:15" ht="38.25" x14ac:dyDescent="0.2">
      <c r="A166" s="90" t="s">
        <v>53</v>
      </c>
      <c r="B166" s="90" t="s">
        <v>3</v>
      </c>
      <c r="C166" s="90" t="s">
        <v>4</v>
      </c>
      <c r="D166" s="90" t="s">
        <v>5</v>
      </c>
      <c r="E166" s="90" t="s">
        <v>6</v>
      </c>
      <c r="F166" s="90" t="s">
        <v>7</v>
      </c>
      <c r="G166" s="90" t="s">
        <v>93</v>
      </c>
      <c r="H166" s="90" t="s">
        <v>94</v>
      </c>
      <c r="I166" s="105" t="s">
        <v>95</v>
      </c>
      <c r="J166" s="106" t="s">
        <v>96</v>
      </c>
      <c r="K166" s="106" t="s">
        <v>97</v>
      </c>
      <c r="L166" s="106" t="s">
        <v>98</v>
      </c>
      <c r="M166" s="107" t="s">
        <v>99</v>
      </c>
      <c r="N166" s="90" t="s">
        <v>100</v>
      </c>
      <c r="O166" s="90" t="s">
        <v>101</v>
      </c>
    </row>
    <row r="167" spans="1:15" x14ac:dyDescent="0.2">
      <c r="A167" s="17" t="s">
        <v>22</v>
      </c>
      <c r="B167" s="81" t="str">
        <f t="shared" ref="B167:B172" si="102">+IF(MONTH(C167)&lt;4,"Q1",IF(MONTH(C167)&lt;7,"Q2",IF(MONTH(C167)&lt;10,"Q3","Q4")))&amp;"/"&amp;YEAR(C167)</f>
        <v>Q2/2015</v>
      </c>
      <c r="C167" s="82">
        <f>VLOOKUP(L165,A$1:F$11,2,FALSE)</f>
        <v>42124</v>
      </c>
      <c r="D167" s="82">
        <f>DATE(YEAR(C167),IF(MONTH(C167)&lt;=3,3,IF(MONTH(C167)&lt;=6,6,IF(MONTH(C167)&lt;=9,9,12))),IF(OR(MONTH(C167)&lt;=3,MONTH(C167)&gt;=10),31,30))</f>
        <v>42185</v>
      </c>
      <c r="E167" s="81">
        <f>D167-C167+1</f>
        <v>62</v>
      </c>
      <c r="F167" s="83">
        <f>VLOOKUP(D167,'FERC Interest Rate'!$A:$B,2,TRUE)</f>
        <v>3.2500000000000001E-2</v>
      </c>
      <c r="G167" s="84">
        <f>VLOOKUP(L165,$A$1:$F$15,5,FALSE)</f>
        <v>2872.64</v>
      </c>
      <c r="H167" s="84">
        <f t="shared" ref="H167:H174" si="103">G167*F167*(E167/(DATE(YEAR(D167),12,31)-DATE(YEAR(D167),1,1)+1))</f>
        <v>15.858546849315069</v>
      </c>
      <c r="I167" s="173">
        <v>0</v>
      </c>
      <c r="J167" s="85">
        <v>0</v>
      </c>
      <c r="K167" s="129">
        <f t="shared" ref="K167:K191" si="104">+SUM(I167:J167)</f>
        <v>0</v>
      </c>
      <c r="L167" s="85">
        <v>0</v>
      </c>
      <c r="M167" s="130">
        <f t="shared" ref="M167:M191" si="105">+SUM(K167:L167)</f>
        <v>0</v>
      </c>
      <c r="N167" s="8">
        <f t="shared" ref="N167:N191" si="106">+G167+H167+J167</f>
        <v>2888.4985468493151</v>
      </c>
      <c r="O167" s="84">
        <f t="shared" ref="O167:O191" si="107">G167+H167-L167-I167</f>
        <v>2888.4985468493151</v>
      </c>
    </row>
    <row r="168" spans="1:15" x14ac:dyDescent="0.2">
      <c r="A168" s="17" t="s">
        <v>22</v>
      </c>
      <c r="B168" s="81" t="str">
        <f t="shared" si="102"/>
        <v>Q3/2015</v>
      </c>
      <c r="C168" s="82">
        <f>D167+1</f>
        <v>42186</v>
      </c>
      <c r="D168" s="82">
        <f>EOMONTH(D167,3)</f>
        <v>42277</v>
      </c>
      <c r="E168" s="81">
        <f t="shared" ref="E168:E191" si="108">D168-C168+1</f>
        <v>92</v>
      </c>
      <c r="F168" s="83">
        <f>VLOOKUP(D168,'FERC Interest Rate'!$A:$B,2,TRUE)</f>
        <v>3.2500000000000001E-2</v>
      </c>
      <c r="G168" s="84">
        <f t="shared" ref="G168:G191" si="109">O167</f>
        <v>2888.4985468493151</v>
      </c>
      <c r="H168" s="84">
        <f t="shared" si="103"/>
        <v>23.66194700021768</v>
      </c>
      <c r="I168" s="173">
        <v>0</v>
      </c>
      <c r="J168" s="85">
        <v>0</v>
      </c>
      <c r="K168" s="129">
        <f t="shared" si="104"/>
        <v>0</v>
      </c>
      <c r="L168" s="85">
        <v>0</v>
      </c>
      <c r="M168" s="130">
        <f t="shared" si="105"/>
        <v>0</v>
      </c>
      <c r="N168" s="8">
        <f t="shared" si="106"/>
        <v>2912.1604938495329</v>
      </c>
      <c r="O168" s="84">
        <f t="shared" si="107"/>
        <v>2912.1604938495329</v>
      </c>
    </row>
    <row r="169" spans="1:15" x14ac:dyDescent="0.2">
      <c r="A169" s="17" t="s">
        <v>22</v>
      </c>
      <c r="B169" s="81" t="str">
        <f t="shared" si="102"/>
        <v>Q4/2015</v>
      </c>
      <c r="C169" s="82">
        <f t="shared" ref="C169:C191" si="110">D168+1</f>
        <v>42278</v>
      </c>
      <c r="D169" s="82">
        <f t="shared" ref="D169:D193" si="111">EOMONTH(D168,3)</f>
        <v>42369</v>
      </c>
      <c r="E169" s="81">
        <f t="shared" si="108"/>
        <v>92</v>
      </c>
      <c r="F169" s="83">
        <f>VLOOKUP(D169,'FERC Interest Rate'!$A:$B,2,TRUE)</f>
        <v>3.2500000000000001E-2</v>
      </c>
      <c r="G169" s="84">
        <f t="shared" si="109"/>
        <v>2912.1604938495329</v>
      </c>
      <c r="H169" s="84">
        <f t="shared" si="103"/>
        <v>23.855780483863299</v>
      </c>
      <c r="I169" s="173">
        <v>0</v>
      </c>
      <c r="J169" s="85">
        <v>0</v>
      </c>
      <c r="K169" s="129">
        <f t="shared" si="104"/>
        <v>0</v>
      </c>
      <c r="L169" s="85">
        <v>0</v>
      </c>
      <c r="M169" s="130">
        <f t="shared" si="105"/>
        <v>0</v>
      </c>
      <c r="N169" s="8">
        <f t="shared" si="106"/>
        <v>2936.0162743333963</v>
      </c>
      <c r="O169" s="84">
        <f t="shared" si="107"/>
        <v>2936.0162743333963</v>
      </c>
    </row>
    <row r="170" spans="1:15" x14ac:dyDescent="0.2">
      <c r="A170" s="17" t="s">
        <v>22</v>
      </c>
      <c r="B170" s="81" t="str">
        <f t="shared" si="102"/>
        <v>Q1/2016</v>
      </c>
      <c r="C170" s="82">
        <f t="shared" si="110"/>
        <v>42370</v>
      </c>
      <c r="D170" s="82">
        <f t="shared" si="111"/>
        <v>42460</v>
      </c>
      <c r="E170" s="81">
        <f t="shared" si="108"/>
        <v>91</v>
      </c>
      <c r="F170" s="83">
        <f>VLOOKUP(D170,'FERC Interest Rate'!$A:$B,2,TRUE)</f>
        <v>3.2500000000000001E-2</v>
      </c>
      <c r="G170" s="84">
        <f t="shared" si="109"/>
        <v>2936.0162743333963</v>
      </c>
      <c r="H170" s="84">
        <f t="shared" si="103"/>
        <v>23.724776315139398</v>
      </c>
      <c r="I170" s="173">
        <v>0</v>
      </c>
      <c r="J170" s="85">
        <v>0</v>
      </c>
      <c r="K170" s="129">
        <f t="shared" si="104"/>
        <v>0</v>
      </c>
      <c r="L170" s="85">
        <v>0</v>
      </c>
      <c r="M170" s="130">
        <f t="shared" si="105"/>
        <v>0</v>
      </c>
      <c r="N170" s="8">
        <f t="shared" si="106"/>
        <v>2959.7410506485357</v>
      </c>
      <c r="O170" s="84">
        <f t="shared" si="107"/>
        <v>2959.7410506485357</v>
      </c>
    </row>
    <row r="171" spans="1:15" x14ac:dyDescent="0.2">
      <c r="A171" s="17" t="s">
        <v>22</v>
      </c>
      <c r="B171" s="81" t="str">
        <f t="shared" si="102"/>
        <v>Q2/2016</v>
      </c>
      <c r="C171" s="82">
        <f t="shared" si="110"/>
        <v>42461</v>
      </c>
      <c r="D171" s="82">
        <f t="shared" si="111"/>
        <v>42551</v>
      </c>
      <c r="E171" s="81">
        <f t="shared" si="108"/>
        <v>91</v>
      </c>
      <c r="F171" s="83">
        <f>VLOOKUP(D171,'FERC Interest Rate'!$A:$B,2,TRUE)</f>
        <v>3.4599999999999999E-2</v>
      </c>
      <c r="G171" s="84">
        <f t="shared" si="109"/>
        <v>2959.7410506485357</v>
      </c>
      <c r="H171" s="84">
        <f t="shared" si="103"/>
        <v>25.461859759759509</v>
      </c>
      <c r="I171" s="173">
        <v>0</v>
      </c>
      <c r="J171" s="85">
        <v>0</v>
      </c>
      <c r="K171" s="129">
        <f t="shared" si="104"/>
        <v>0</v>
      </c>
      <c r="L171" s="85">
        <v>0</v>
      </c>
      <c r="M171" s="130">
        <f t="shared" si="105"/>
        <v>0</v>
      </c>
      <c r="N171" s="8">
        <f t="shared" si="106"/>
        <v>2985.2029104082953</v>
      </c>
      <c r="O171" s="84">
        <f t="shared" si="107"/>
        <v>2985.2029104082953</v>
      </c>
    </row>
    <row r="172" spans="1:15" x14ac:dyDescent="0.2">
      <c r="A172" s="17" t="s">
        <v>22</v>
      </c>
      <c r="B172" s="81" t="str">
        <f t="shared" si="102"/>
        <v>Q3/2016</v>
      </c>
      <c r="C172" s="82">
        <f t="shared" si="110"/>
        <v>42552</v>
      </c>
      <c r="D172" s="82">
        <f t="shared" si="111"/>
        <v>42643</v>
      </c>
      <c r="E172" s="81">
        <f t="shared" si="108"/>
        <v>92</v>
      </c>
      <c r="F172" s="83">
        <f>VLOOKUP(D172,'FERC Interest Rate'!$A:$B,2,TRUE)</f>
        <v>3.5000000000000003E-2</v>
      </c>
      <c r="G172" s="84">
        <f t="shared" si="109"/>
        <v>2985.2029104082953</v>
      </c>
      <c r="H172" s="84">
        <f t="shared" si="103"/>
        <v>26.263260577909048</v>
      </c>
      <c r="I172" s="173">
        <v>0</v>
      </c>
      <c r="J172" s="85">
        <v>0</v>
      </c>
      <c r="K172" s="129">
        <f t="shared" si="104"/>
        <v>0</v>
      </c>
      <c r="L172" s="85">
        <v>0</v>
      </c>
      <c r="M172" s="130">
        <f t="shared" si="105"/>
        <v>0</v>
      </c>
      <c r="N172" s="8">
        <f t="shared" si="106"/>
        <v>3011.4661709862044</v>
      </c>
      <c r="O172" s="84">
        <f t="shared" si="107"/>
        <v>3011.4661709862044</v>
      </c>
    </row>
    <row r="173" spans="1:15" x14ac:dyDescent="0.2">
      <c r="A173" s="17" t="s">
        <v>22</v>
      </c>
      <c r="B173" s="81" t="str">
        <f>+IF(MONTH(C173)&lt;4,"Q1",IF(MONTH(C173)&lt;7,"Q2",IF(MONTH(C173)&lt;10,"Q3","Q4")))&amp;"/"&amp;YEAR(C173)</f>
        <v>Q4/2016</v>
      </c>
      <c r="C173" s="82">
        <f t="shared" si="110"/>
        <v>42644</v>
      </c>
      <c r="D173" s="82">
        <f t="shared" si="111"/>
        <v>42735</v>
      </c>
      <c r="E173" s="81">
        <f t="shared" si="108"/>
        <v>92</v>
      </c>
      <c r="F173" s="83">
        <f>VLOOKUP(D173,'FERC Interest Rate'!$A:$B,2,TRUE)</f>
        <v>3.5000000000000003E-2</v>
      </c>
      <c r="G173" s="84">
        <f t="shared" si="109"/>
        <v>3011.4661709862044</v>
      </c>
      <c r="H173" s="84">
        <f t="shared" si="103"/>
        <v>26.494319864960598</v>
      </c>
      <c r="I173" s="173">
        <v>0</v>
      </c>
      <c r="J173" s="85">
        <v>0</v>
      </c>
      <c r="K173" s="129">
        <f t="shared" si="104"/>
        <v>0</v>
      </c>
      <c r="L173" s="85">
        <v>0</v>
      </c>
      <c r="M173" s="130">
        <f t="shared" si="105"/>
        <v>0</v>
      </c>
      <c r="N173" s="8">
        <f t="shared" si="106"/>
        <v>3037.9604908511651</v>
      </c>
      <c r="O173" s="84">
        <f t="shared" si="107"/>
        <v>3037.9604908511651</v>
      </c>
    </row>
    <row r="174" spans="1:15" x14ac:dyDescent="0.2">
      <c r="A174" s="96" t="s">
        <v>54</v>
      </c>
      <c r="B174" s="81" t="str">
        <f>+IF(MONTH(C174)&lt;4,"Q1",IF(MONTH(C174)&lt;7,"Q2",IF(MONTH(C174)&lt;10,"Q3","Q4")))&amp;"/"&amp;YEAR(C174)</f>
        <v>Q1/2017</v>
      </c>
      <c r="C174" s="82">
        <f t="shared" si="110"/>
        <v>42736</v>
      </c>
      <c r="D174" s="82">
        <f t="shared" si="111"/>
        <v>42825</v>
      </c>
      <c r="E174" s="81">
        <f t="shared" si="108"/>
        <v>90</v>
      </c>
      <c r="F174" s="83">
        <f>VLOOKUP(D174,'FERC Interest Rate'!$A:$B,2,TRUE)</f>
        <v>3.5000000000000003E-2</v>
      </c>
      <c r="G174" s="84">
        <f t="shared" si="109"/>
        <v>3037.9604908511651</v>
      </c>
      <c r="H174" s="84">
        <f t="shared" si="103"/>
        <v>26.218015195016903</v>
      </c>
      <c r="I174" s="173">
        <f>(SUM($H$167:$H$191)/20)</f>
        <v>9.5769253023090748</v>
      </c>
      <c r="J174" s="85">
        <v>0</v>
      </c>
      <c r="K174" s="129">
        <f t="shared" si="104"/>
        <v>9.5769253023090748</v>
      </c>
      <c r="L174" s="85">
        <f t="shared" ref="L174:L193" si="112">VLOOKUP($L$165,A$1:F$11,5,FALSE)/20</f>
        <v>143.63200000000001</v>
      </c>
      <c r="M174" s="130">
        <f t="shared" si="105"/>
        <v>153.20892530230907</v>
      </c>
      <c r="N174" s="8">
        <f t="shared" si="106"/>
        <v>3064.1785060461821</v>
      </c>
      <c r="O174" s="84">
        <f t="shared" si="107"/>
        <v>2910.9695807438729</v>
      </c>
    </row>
    <row r="175" spans="1:15" x14ac:dyDescent="0.2">
      <c r="A175" s="96" t="s">
        <v>55</v>
      </c>
      <c r="B175" s="81" t="str">
        <f t="shared" ref="B175:B191" si="113">+IF(MONTH(C175)&lt;4,"Q1",IF(MONTH(C175)&lt;7,"Q2",IF(MONTH(C175)&lt;10,"Q3","Q4")))&amp;"/"&amp;YEAR(C175)</f>
        <v>Q2/2017</v>
      </c>
      <c r="C175" s="82">
        <f t="shared" si="110"/>
        <v>42826</v>
      </c>
      <c r="D175" s="82">
        <f t="shared" si="111"/>
        <v>42916</v>
      </c>
      <c r="E175" s="81">
        <f t="shared" si="108"/>
        <v>91</v>
      </c>
      <c r="F175" s="83">
        <f>VLOOKUP(D175,'FERC Interest Rate'!$A:$B,2,TRUE)</f>
        <v>3.7100000000000001E-2</v>
      </c>
      <c r="G175" s="84">
        <f t="shared" si="109"/>
        <v>2910.9695807438729</v>
      </c>
      <c r="H175" s="84">
        <v>0</v>
      </c>
      <c r="I175" s="173">
        <f t="shared" ref="I175:I193" si="114">(SUM($H$167:$H$191)/20)</f>
        <v>9.5769253023090748</v>
      </c>
      <c r="J175" s="85">
        <f t="shared" ref="J175:J191" si="115">G175*F175*(E175/(DATE(YEAR(D175),12,31)-DATE(YEAR(D175),1,1)+1))</f>
        <v>26.925272333012028</v>
      </c>
      <c r="K175" s="129">
        <f t="shared" si="104"/>
        <v>36.502197635321103</v>
      </c>
      <c r="L175" s="85">
        <f t="shared" si="112"/>
        <v>143.63200000000001</v>
      </c>
      <c r="M175" s="130">
        <f t="shared" si="105"/>
        <v>180.1341976353211</v>
      </c>
      <c r="N175" s="8">
        <f t="shared" si="106"/>
        <v>2937.8948530768848</v>
      </c>
      <c r="O175" s="84">
        <f t="shared" si="107"/>
        <v>2757.7606554415638</v>
      </c>
    </row>
    <row r="176" spans="1:15" x14ac:dyDescent="0.2">
      <c r="A176" s="96" t="s">
        <v>56</v>
      </c>
      <c r="B176" s="81" t="str">
        <f t="shared" si="113"/>
        <v>Q3/2017</v>
      </c>
      <c r="C176" s="82">
        <f t="shared" si="110"/>
        <v>42917</v>
      </c>
      <c r="D176" s="82">
        <f t="shared" si="111"/>
        <v>43008</v>
      </c>
      <c r="E176" s="81">
        <f t="shared" si="108"/>
        <v>92</v>
      </c>
      <c r="F176" s="83">
        <f>VLOOKUP(D176,'FERC Interest Rate'!$A:$B,2,TRUE)</f>
        <v>3.9600000000000003E-2</v>
      </c>
      <c r="G176" s="84">
        <f t="shared" si="109"/>
        <v>2757.7606554415638</v>
      </c>
      <c r="H176" s="84">
        <v>0</v>
      </c>
      <c r="I176" s="109">
        <f t="shared" si="114"/>
        <v>9.5769253023090748</v>
      </c>
      <c r="J176" s="85">
        <f t="shared" si="115"/>
        <v>27.526229095629333</v>
      </c>
      <c r="K176" s="129">
        <f t="shared" si="104"/>
        <v>37.103154397938411</v>
      </c>
      <c r="L176" s="85">
        <f t="shared" si="112"/>
        <v>143.63200000000001</v>
      </c>
      <c r="M176" s="130">
        <f t="shared" si="105"/>
        <v>180.7351543979384</v>
      </c>
      <c r="N176" s="8">
        <f t="shared" si="106"/>
        <v>2785.2868845371931</v>
      </c>
      <c r="O176" s="84">
        <f t="shared" si="107"/>
        <v>2604.5517301392547</v>
      </c>
    </row>
    <row r="177" spans="1:15" x14ac:dyDescent="0.2">
      <c r="A177" s="96" t="s">
        <v>57</v>
      </c>
      <c r="B177" s="81" t="str">
        <f t="shared" si="113"/>
        <v>Q4/2017</v>
      </c>
      <c r="C177" s="82">
        <f t="shared" si="110"/>
        <v>43009</v>
      </c>
      <c r="D177" s="82">
        <f t="shared" si="111"/>
        <v>43100</v>
      </c>
      <c r="E177" s="81">
        <f t="shared" si="108"/>
        <v>92</v>
      </c>
      <c r="F177" s="83">
        <f>VLOOKUP(D177,'FERC Interest Rate'!$A:$B,2,TRUE)</f>
        <v>4.2099999999999999E-2</v>
      </c>
      <c r="G177" s="84">
        <f t="shared" si="109"/>
        <v>2604.5517301392547</v>
      </c>
      <c r="H177" s="84">
        <v>0</v>
      </c>
      <c r="I177" s="109">
        <f t="shared" si="114"/>
        <v>9.5769253023090748</v>
      </c>
      <c r="J177" s="85">
        <f t="shared" si="115"/>
        <v>27.638218523768117</v>
      </c>
      <c r="K177" s="129">
        <f t="shared" si="104"/>
        <v>37.215143826077195</v>
      </c>
      <c r="L177" s="85">
        <f t="shared" si="112"/>
        <v>143.63200000000001</v>
      </c>
      <c r="M177" s="130">
        <f t="shared" si="105"/>
        <v>180.8471438260772</v>
      </c>
      <c r="N177" s="8">
        <f t="shared" si="106"/>
        <v>2632.1899486630227</v>
      </c>
      <c r="O177" s="84">
        <f t="shared" si="107"/>
        <v>2451.3428048369456</v>
      </c>
    </row>
    <row r="178" spans="1:15" x14ac:dyDescent="0.2">
      <c r="A178" s="96" t="s">
        <v>58</v>
      </c>
      <c r="B178" s="81" t="str">
        <f t="shared" si="113"/>
        <v>Q1/2018</v>
      </c>
      <c r="C178" s="82">
        <f t="shared" si="110"/>
        <v>43101</v>
      </c>
      <c r="D178" s="82">
        <f t="shared" si="111"/>
        <v>43190</v>
      </c>
      <c r="E178" s="81">
        <f t="shared" si="108"/>
        <v>90</v>
      </c>
      <c r="F178" s="83">
        <f>VLOOKUP(D178,'FERC Interest Rate'!$A:$B,2,TRUE)</f>
        <v>4.2500000000000003E-2</v>
      </c>
      <c r="G178" s="84">
        <f t="shared" si="109"/>
        <v>2451.3428048369456</v>
      </c>
      <c r="H178" s="84">
        <v>0</v>
      </c>
      <c r="I178" s="109">
        <f t="shared" si="114"/>
        <v>9.5769253023090748</v>
      </c>
      <c r="J178" s="85">
        <f t="shared" si="115"/>
        <v>25.68872939315429</v>
      </c>
      <c r="K178" s="129">
        <f t="shared" si="104"/>
        <v>35.265654695463368</v>
      </c>
      <c r="L178" s="85">
        <f t="shared" si="112"/>
        <v>143.63200000000001</v>
      </c>
      <c r="M178" s="130">
        <f t="shared" si="105"/>
        <v>178.89765469546336</v>
      </c>
      <c r="N178" s="8">
        <f t="shared" si="106"/>
        <v>2477.0315342301001</v>
      </c>
      <c r="O178" s="84">
        <f t="shared" si="107"/>
        <v>2298.1338795346364</v>
      </c>
    </row>
    <row r="179" spans="1:15" x14ac:dyDescent="0.2">
      <c r="A179" s="96" t="s">
        <v>59</v>
      </c>
      <c r="B179" s="81" t="str">
        <f t="shared" si="113"/>
        <v>Q2/2018</v>
      </c>
      <c r="C179" s="82">
        <f t="shared" si="110"/>
        <v>43191</v>
      </c>
      <c r="D179" s="82">
        <f t="shared" si="111"/>
        <v>43281</v>
      </c>
      <c r="E179" s="81">
        <f t="shared" si="108"/>
        <v>91</v>
      </c>
      <c r="F179" s="83">
        <f>VLOOKUP(D179,'FERC Interest Rate'!$A:$B,2,TRUE)</f>
        <v>4.4699999999999997E-2</v>
      </c>
      <c r="G179" s="84">
        <f t="shared" si="109"/>
        <v>2298.1338795346364</v>
      </c>
      <c r="H179" s="84">
        <v>0</v>
      </c>
      <c r="I179" s="109">
        <f t="shared" si="114"/>
        <v>9.5769253023090748</v>
      </c>
      <c r="J179" s="85">
        <f t="shared" si="115"/>
        <v>25.611285429542576</v>
      </c>
      <c r="K179" s="129">
        <f t="shared" si="104"/>
        <v>35.188210731851655</v>
      </c>
      <c r="L179" s="85">
        <f t="shared" si="112"/>
        <v>143.63200000000001</v>
      </c>
      <c r="M179" s="130">
        <f t="shared" si="105"/>
        <v>178.82021073185166</v>
      </c>
      <c r="N179" s="8">
        <f t="shared" si="106"/>
        <v>2323.7451649641789</v>
      </c>
      <c r="O179" s="84">
        <f t="shared" si="107"/>
        <v>2144.9249542323273</v>
      </c>
    </row>
    <row r="180" spans="1:15" x14ac:dyDescent="0.2">
      <c r="A180" s="96" t="s">
        <v>60</v>
      </c>
      <c r="B180" s="81" t="str">
        <f t="shared" si="113"/>
        <v>Q3/2018</v>
      </c>
      <c r="C180" s="82">
        <f t="shared" si="110"/>
        <v>43282</v>
      </c>
      <c r="D180" s="82">
        <f t="shared" si="111"/>
        <v>43373</v>
      </c>
      <c r="E180" s="81">
        <f t="shared" si="108"/>
        <v>92</v>
      </c>
      <c r="F180" s="83">
        <f>VLOOKUP(D180,'FERC Interest Rate'!$A:$B,2,TRUE)</f>
        <v>5.011111E-2</v>
      </c>
      <c r="G180" s="84">
        <f t="shared" si="109"/>
        <v>2144.9249542323273</v>
      </c>
      <c r="H180" s="84">
        <v>0</v>
      </c>
      <c r="I180" s="109">
        <f t="shared" si="114"/>
        <v>9.5769253023090748</v>
      </c>
      <c r="J180" s="85">
        <f t="shared" si="115"/>
        <v>27.09200128696401</v>
      </c>
      <c r="K180" s="129">
        <f t="shared" si="104"/>
        <v>36.668926589273084</v>
      </c>
      <c r="L180" s="85">
        <f t="shared" si="112"/>
        <v>143.63200000000001</v>
      </c>
      <c r="M180" s="130">
        <f t="shared" si="105"/>
        <v>180.3009265892731</v>
      </c>
      <c r="N180" s="8">
        <f t="shared" si="106"/>
        <v>2172.0169555192915</v>
      </c>
      <c r="O180" s="84">
        <f t="shared" si="107"/>
        <v>1991.7160289300182</v>
      </c>
    </row>
    <row r="181" spans="1:15" x14ac:dyDescent="0.2">
      <c r="A181" s="96" t="s">
        <v>61</v>
      </c>
      <c r="B181" s="81" t="str">
        <f t="shared" si="113"/>
        <v>Q4/2018</v>
      </c>
      <c r="C181" s="82">
        <f t="shared" si="110"/>
        <v>43374</v>
      </c>
      <c r="D181" s="82">
        <f t="shared" si="111"/>
        <v>43465</v>
      </c>
      <c r="E181" s="81">
        <f t="shared" si="108"/>
        <v>92</v>
      </c>
      <c r="F181" s="83">
        <f>VLOOKUP(D181,'FERC Interest Rate'!$A:$B,2,TRUE)</f>
        <v>5.2822580000000001E-2</v>
      </c>
      <c r="G181" s="84">
        <f t="shared" si="109"/>
        <v>1991.7160289300182</v>
      </c>
      <c r="H181" s="84">
        <v>0</v>
      </c>
      <c r="I181" s="109">
        <f t="shared" si="114"/>
        <v>9.5769253023090748</v>
      </c>
      <c r="J181" s="85">
        <f t="shared" si="115"/>
        <v>26.518074776274837</v>
      </c>
      <c r="K181" s="129">
        <f t="shared" si="104"/>
        <v>36.095000078583908</v>
      </c>
      <c r="L181" s="85">
        <f t="shared" si="112"/>
        <v>143.63200000000001</v>
      </c>
      <c r="M181" s="130">
        <f t="shared" si="105"/>
        <v>179.7270000785839</v>
      </c>
      <c r="N181" s="8">
        <f t="shared" si="106"/>
        <v>2018.2341037062931</v>
      </c>
      <c r="O181" s="84">
        <f t="shared" si="107"/>
        <v>1838.5071036277091</v>
      </c>
    </row>
    <row r="182" spans="1:15" x14ac:dyDescent="0.2">
      <c r="A182" s="96" t="s">
        <v>62</v>
      </c>
      <c r="B182" s="81" t="str">
        <f t="shared" si="113"/>
        <v>Q1/2019</v>
      </c>
      <c r="C182" s="82">
        <f t="shared" si="110"/>
        <v>43466</v>
      </c>
      <c r="D182" s="82">
        <f t="shared" si="111"/>
        <v>43555</v>
      </c>
      <c r="E182" s="81">
        <f t="shared" si="108"/>
        <v>90</v>
      </c>
      <c r="F182" s="83">
        <f>VLOOKUP(D182,'FERC Interest Rate'!$A:$B,2,TRUE)</f>
        <v>5.5296770000000002E-2</v>
      </c>
      <c r="G182" s="84">
        <f t="shared" si="109"/>
        <v>1838.5071036277091</v>
      </c>
      <c r="H182" s="84">
        <v>0</v>
      </c>
      <c r="I182" s="109">
        <f t="shared" si="114"/>
        <v>9.5769253023090748</v>
      </c>
      <c r="J182" s="85">
        <f t="shared" si="115"/>
        <v>25.06771342668516</v>
      </c>
      <c r="K182" s="129">
        <f t="shared" si="104"/>
        <v>34.644638728994238</v>
      </c>
      <c r="L182" s="85">
        <f t="shared" si="112"/>
        <v>143.63200000000001</v>
      </c>
      <c r="M182" s="130">
        <f t="shared" si="105"/>
        <v>178.27663872899424</v>
      </c>
      <c r="N182" s="8">
        <f t="shared" si="106"/>
        <v>1863.5748170543943</v>
      </c>
      <c r="O182" s="84">
        <f t="shared" si="107"/>
        <v>1685.2981783253999</v>
      </c>
    </row>
    <row r="183" spans="1:15" x14ac:dyDescent="0.2">
      <c r="A183" s="96" t="s">
        <v>63</v>
      </c>
      <c r="B183" s="81" t="str">
        <f t="shared" si="113"/>
        <v>Q2/2019</v>
      </c>
      <c r="C183" s="82">
        <f t="shared" si="110"/>
        <v>43556</v>
      </c>
      <c r="D183" s="82">
        <f t="shared" si="111"/>
        <v>43646</v>
      </c>
      <c r="E183" s="81">
        <f t="shared" si="108"/>
        <v>91</v>
      </c>
      <c r="F183" s="83">
        <f>VLOOKUP(D183,'FERC Interest Rate'!$A:$B,2,TRUE)</f>
        <v>5.7999999999999996E-2</v>
      </c>
      <c r="G183" s="84">
        <f t="shared" si="109"/>
        <v>1685.2981783253999</v>
      </c>
      <c r="H183" s="84">
        <v>0</v>
      </c>
      <c r="I183" s="109">
        <f t="shared" si="114"/>
        <v>9.5769253023090748</v>
      </c>
      <c r="J183" s="85">
        <f t="shared" si="115"/>
        <v>24.369873384113589</v>
      </c>
      <c r="K183" s="129">
        <f t="shared" si="104"/>
        <v>33.946798686422667</v>
      </c>
      <c r="L183" s="85">
        <f t="shared" si="112"/>
        <v>143.63200000000001</v>
      </c>
      <c r="M183" s="130">
        <f t="shared" si="105"/>
        <v>177.57879868642266</v>
      </c>
      <c r="N183" s="8">
        <f t="shared" si="106"/>
        <v>1709.6680517095135</v>
      </c>
      <c r="O183" s="84">
        <f t="shared" si="107"/>
        <v>1532.0892530230908</v>
      </c>
    </row>
    <row r="184" spans="1:15" x14ac:dyDescent="0.2">
      <c r="A184" s="96" t="s">
        <v>64</v>
      </c>
      <c r="B184" s="81" t="str">
        <f t="shared" si="113"/>
        <v>Q3/2019</v>
      </c>
      <c r="C184" s="82">
        <f t="shared" si="110"/>
        <v>43647</v>
      </c>
      <c r="D184" s="82">
        <f t="shared" si="111"/>
        <v>43738</v>
      </c>
      <c r="E184" s="81">
        <f t="shared" si="108"/>
        <v>92</v>
      </c>
      <c r="F184" s="83">
        <f>VLOOKUP(D184,'FERC Interest Rate'!$A:$B,2,TRUE)</f>
        <v>0.06</v>
      </c>
      <c r="G184" s="84">
        <f t="shared" si="109"/>
        <v>1532.0892530230908</v>
      </c>
      <c r="H184" s="84">
        <v>0</v>
      </c>
      <c r="I184" s="109">
        <f t="shared" si="114"/>
        <v>9.5769253023090748</v>
      </c>
      <c r="J184" s="85">
        <f t="shared" si="115"/>
        <v>23.170226511472496</v>
      </c>
      <c r="K184" s="129">
        <f t="shared" si="104"/>
        <v>32.747151813781571</v>
      </c>
      <c r="L184" s="85">
        <f t="shared" si="112"/>
        <v>143.63200000000001</v>
      </c>
      <c r="M184" s="130">
        <f t="shared" si="105"/>
        <v>176.37915181378156</v>
      </c>
      <c r="N184" s="8">
        <f t="shared" si="106"/>
        <v>1555.2594795345633</v>
      </c>
      <c r="O184" s="84">
        <f t="shared" si="107"/>
        <v>1378.8803277207817</v>
      </c>
    </row>
    <row r="185" spans="1:15" x14ac:dyDescent="0.2">
      <c r="A185" s="96" t="s">
        <v>65</v>
      </c>
      <c r="B185" s="81" t="str">
        <f t="shared" si="113"/>
        <v>Q4/2019</v>
      </c>
      <c r="C185" s="82">
        <f t="shared" si="110"/>
        <v>43739</v>
      </c>
      <c r="D185" s="82">
        <f t="shared" si="111"/>
        <v>43830</v>
      </c>
      <c r="E185" s="81">
        <f t="shared" si="108"/>
        <v>92</v>
      </c>
      <c r="F185" s="83">
        <f>VLOOKUP(D185,'FERC Interest Rate'!$A:$B,2,TRUE)</f>
        <v>6.0349460000000001E-2</v>
      </c>
      <c r="G185" s="84">
        <f t="shared" si="109"/>
        <v>1378.8803277207817</v>
      </c>
      <c r="H185" s="84">
        <v>0</v>
      </c>
      <c r="I185" s="109">
        <f t="shared" si="114"/>
        <v>9.5769253023090748</v>
      </c>
      <c r="J185" s="85">
        <f t="shared" si="115"/>
        <v>20.974659870675733</v>
      </c>
      <c r="K185" s="129">
        <f t="shared" si="104"/>
        <v>30.551585172984808</v>
      </c>
      <c r="L185" s="85">
        <f t="shared" si="112"/>
        <v>143.63200000000001</v>
      </c>
      <c r="M185" s="130">
        <f t="shared" si="105"/>
        <v>174.18358517298481</v>
      </c>
      <c r="N185" s="8">
        <f t="shared" si="106"/>
        <v>1399.8549875914573</v>
      </c>
      <c r="O185" s="84">
        <f t="shared" si="107"/>
        <v>1225.6714024184726</v>
      </c>
    </row>
    <row r="186" spans="1:15" x14ac:dyDescent="0.2">
      <c r="A186" s="96" t="s">
        <v>66</v>
      </c>
      <c r="B186" s="81" t="str">
        <f t="shared" si="113"/>
        <v>Q1/2020</v>
      </c>
      <c r="C186" s="82">
        <f t="shared" si="110"/>
        <v>43831</v>
      </c>
      <c r="D186" s="82">
        <f t="shared" si="111"/>
        <v>43921</v>
      </c>
      <c r="E186" s="81">
        <f t="shared" si="108"/>
        <v>91</v>
      </c>
      <c r="F186" s="83">
        <f>VLOOKUP(D186,'FERC Interest Rate'!$A:$B,2,TRUE)</f>
        <v>6.2501040000000008E-2</v>
      </c>
      <c r="G186" s="84">
        <f t="shared" si="109"/>
        <v>1225.6714024184726</v>
      </c>
      <c r="H186" s="84">
        <v>0</v>
      </c>
      <c r="I186" s="109">
        <f t="shared" si="114"/>
        <v>9.5769253023090748</v>
      </c>
      <c r="J186" s="85">
        <f t="shared" si="115"/>
        <v>19.04678169070106</v>
      </c>
      <c r="K186" s="129">
        <f t="shared" si="104"/>
        <v>28.623706993010135</v>
      </c>
      <c r="L186" s="85">
        <f t="shared" si="112"/>
        <v>143.63200000000001</v>
      </c>
      <c r="M186" s="130">
        <f t="shared" si="105"/>
        <v>172.25570699301014</v>
      </c>
      <c r="N186" s="8">
        <f t="shared" si="106"/>
        <v>1244.7181841091735</v>
      </c>
      <c r="O186" s="84">
        <f t="shared" si="107"/>
        <v>1072.4624771161634</v>
      </c>
    </row>
    <row r="187" spans="1:15" x14ac:dyDescent="0.2">
      <c r="A187" s="96" t="s">
        <v>67</v>
      </c>
      <c r="B187" s="81" t="str">
        <f t="shared" si="113"/>
        <v>Q2/2020</v>
      </c>
      <c r="C187" s="82">
        <f t="shared" si="110"/>
        <v>43922</v>
      </c>
      <c r="D187" s="82">
        <f t="shared" si="111"/>
        <v>44012</v>
      </c>
      <c r="E187" s="81">
        <f t="shared" si="108"/>
        <v>91</v>
      </c>
      <c r="F187" s="83">
        <f>VLOOKUP(D187,'FERC Interest Rate'!$A:$B,2,TRUE)</f>
        <v>6.3055559999999997E-2</v>
      </c>
      <c r="G187" s="84">
        <f t="shared" si="109"/>
        <v>1072.4624771161634</v>
      </c>
      <c r="H187" s="84">
        <v>0</v>
      </c>
      <c r="I187" s="109">
        <f t="shared" si="114"/>
        <v>9.5769253023090748</v>
      </c>
      <c r="J187" s="85">
        <f t="shared" si="115"/>
        <v>16.813797018286241</v>
      </c>
      <c r="K187" s="129">
        <f t="shared" si="104"/>
        <v>26.390722320595316</v>
      </c>
      <c r="L187" s="85">
        <f t="shared" si="112"/>
        <v>143.63200000000001</v>
      </c>
      <c r="M187" s="130">
        <f t="shared" si="105"/>
        <v>170.02272232059534</v>
      </c>
      <c r="N187" s="8">
        <f t="shared" si="106"/>
        <v>1089.2762741344497</v>
      </c>
      <c r="O187" s="84">
        <f t="shared" si="107"/>
        <v>919.2535518138543</v>
      </c>
    </row>
    <row r="188" spans="1:15" x14ac:dyDescent="0.2">
      <c r="A188" s="96" t="s">
        <v>68</v>
      </c>
      <c r="B188" s="81" t="str">
        <f t="shared" si="113"/>
        <v>Q3/2020</v>
      </c>
      <c r="C188" s="82">
        <f t="shared" si="110"/>
        <v>44013</v>
      </c>
      <c r="D188" s="82">
        <f t="shared" si="111"/>
        <v>44104</v>
      </c>
      <c r="E188" s="81">
        <f t="shared" si="108"/>
        <v>92</v>
      </c>
      <c r="F188" s="83">
        <f>VLOOKUP(D188,'FERC Interest Rate'!$A:$B,2,TRUE)</f>
        <v>6.5000000000000002E-2</v>
      </c>
      <c r="G188" s="84">
        <f t="shared" si="109"/>
        <v>919.2535518138543</v>
      </c>
      <c r="H188" s="84">
        <v>0</v>
      </c>
      <c r="I188" s="109">
        <f t="shared" si="114"/>
        <v>9.5769253023090748</v>
      </c>
      <c r="J188" s="85">
        <f t="shared" si="115"/>
        <v>15.019497923078822</v>
      </c>
      <c r="K188" s="129">
        <f t="shared" si="104"/>
        <v>24.596423225387895</v>
      </c>
      <c r="L188" s="85">
        <f t="shared" si="112"/>
        <v>143.63200000000001</v>
      </c>
      <c r="M188" s="130">
        <f t="shared" si="105"/>
        <v>168.2284232253879</v>
      </c>
      <c r="N188" s="8">
        <f t="shared" si="106"/>
        <v>934.2730497369331</v>
      </c>
      <c r="O188" s="84">
        <f t="shared" si="107"/>
        <v>766.04462651154518</v>
      </c>
    </row>
    <row r="189" spans="1:15" x14ac:dyDescent="0.2">
      <c r="A189" s="96" t="s">
        <v>69</v>
      </c>
      <c r="B189" s="81" t="str">
        <f t="shared" si="113"/>
        <v>Q4/2020</v>
      </c>
      <c r="C189" s="82">
        <f t="shared" si="110"/>
        <v>44105</v>
      </c>
      <c r="D189" s="82">
        <f t="shared" si="111"/>
        <v>44196</v>
      </c>
      <c r="E189" s="81">
        <f t="shared" si="108"/>
        <v>92</v>
      </c>
      <c r="F189" s="83">
        <f>VLOOKUP(D189,'FERC Interest Rate'!$A:$B,2,TRUE)</f>
        <v>6.5000000000000002E-2</v>
      </c>
      <c r="G189" s="84">
        <f t="shared" si="109"/>
        <v>766.04462651154518</v>
      </c>
      <c r="H189" s="84">
        <v>0</v>
      </c>
      <c r="I189" s="109">
        <f t="shared" si="114"/>
        <v>9.5769253023090748</v>
      </c>
      <c r="J189" s="85">
        <f t="shared" si="115"/>
        <v>12.516248269232351</v>
      </c>
      <c r="K189" s="129">
        <f t="shared" si="104"/>
        <v>22.093173571541428</v>
      </c>
      <c r="L189" s="85">
        <f t="shared" si="112"/>
        <v>143.63200000000001</v>
      </c>
      <c r="M189" s="130">
        <f t="shared" si="105"/>
        <v>165.72517357154143</v>
      </c>
      <c r="N189" s="8">
        <f t="shared" si="106"/>
        <v>778.56087478077757</v>
      </c>
      <c r="O189" s="84">
        <f t="shared" si="107"/>
        <v>612.83570120923605</v>
      </c>
    </row>
    <row r="190" spans="1:15" x14ac:dyDescent="0.2">
      <c r="A190" s="96" t="s">
        <v>70</v>
      </c>
      <c r="B190" s="81" t="str">
        <f t="shared" si="113"/>
        <v>Q1/2021</v>
      </c>
      <c r="C190" s="82">
        <f t="shared" si="110"/>
        <v>44197</v>
      </c>
      <c r="D190" s="82">
        <f t="shared" si="111"/>
        <v>44286</v>
      </c>
      <c r="E190" s="81">
        <f t="shared" si="108"/>
        <v>90</v>
      </c>
      <c r="F190" s="83">
        <f>VLOOKUP(D190,'FERC Interest Rate'!$A:$B,2,TRUE)</f>
        <v>6.5000000000000002E-2</v>
      </c>
      <c r="G190" s="84">
        <f t="shared" si="109"/>
        <v>612.83570120923605</v>
      </c>
      <c r="H190" s="84">
        <v>0</v>
      </c>
      <c r="I190" s="109">
        <f t="shared" si="114"/>
        <v>9.5769253023090748</v>
      </c>
      <c r="J190" s="85">
        <f t="shared" si="115"/>
        <v>9.8221612385589889</v>
      </c>
      <c r="K190" s="129">
        <f t="shared" si="104"/>
        <v>19.399086540868062</v>
      </c>
      <c r="L190" s="85">
        <f t="shared" si="112"/>
        <v>143.63200000000001</v>
      </c>
      <c r="M190" s="130">
        <f t="shared" si="105"/>
        <v>163.03108654086807</v>
      </c>
      <c r="N190" s="8">
        <f t="shared" si="106"/>
        <v>622.65786244779508</v>
      </c>
      <c r="O190" s="84">
        <f t="shared" si="107"/>
        <v>459.62677590692698</v>
      </c>
    </row>
    <row r="191" spans="1:15" x14ac:dyDescent="0.2">
      <c r="A191" s="96" t="s">
        <v>71</v>
      </c>
      <c r="B191" s="81" t="str">
        <f t="shared" si="113"/>
        <v>Q2/2021</v>
      </c>
      <c r="C191" s="82">
        <f t="shared" si="110"/>
        <v>44287</v>
      </c>
      <c r="D191" s="82">
        <f t="shared" si="111"/>
        <v>44377</v>
      </c>
      <c r="E191" s="81">
        <f t="shared" si="108"/>
        <v>91</v>
      </c>
      <c r="F191" s="83">
        <f>VLOOKUP(D191,'FERC Interest Rate'!$A:$B,2,TRUE)</f>
        <v>6.5000000000000002E-2</v>
      </c>
      <c r="G191" s="84">
        <f t="shared" si="109"/>
        <v>459.62677590692698</v>
      </c>
      <c r="H191" s="84">
        <v>0</v>
      </c>
      <c r="I191" s="109">
        <f t="shared" si="114"/>
        <v>9.5769253023090748</v>
      </c>
      <c r="J191" s="85">
        <f t="shared" si="115"/>
        <v>7.4484722725738992</v>
      </c>
      <c r="K191" s="129">
        <f t="shared" si="104"/>
        <v>17.025397574882973</v>
      </c>
      <c r="L191" s="85">
        <f t="shared" si="112"/>
        <v>143.63200000000001</v>
      </c>
      <c r="M191" s="130">
        <f t="shared" si="105"/>
        <v>160.65739757488296</v>
      </c>
      <c r="N191" s="8">
        <f t="shared" si="106"/>
        <v>467.07524817950087</v>
      </c>
      <c r="O191" s="84">
        <f t="shared" si="107"/>
        <v>306.41785060461791</v>
      </c>
    </row>
    <row r="192" spans="1:15" x14ac:dyDescent="0.2">
      <c r="A192" s="96" t="s">
        <v>72</v>
      </c>
      <c r="B192" s="81" t="str">
        <f t="shared" ref="B192:B193" si="116">+IF(MONTH(C192)&lt;4,"Q1",IF(MONTH(C192)&lt;7,"Q2",IF(MONTH(C192)&lt;10,"Q3","Q4")))&amp;"/"&amp;YEAR(C192)</f>
        <v>Q3/2021</v>
      </c>
      <c r="C192" s="82">
        <f t="shared" ref="C192:C193" si="117">D191+1</f>
        <v>44378</v>
      </c>
      <c r="D192" s="82">
        <f t="shared" si="111"/>
        <v>44469</v>
      </c>
      <c r="E192" s="81">
        <f t="shared" ref="E192:E193" si="118">D192-C192+1</f>
        <v>92</v>
      </c>
      <c r="F192" s="83">
        <f>VLOOKUP(D192,'FERC Interest Rate'!$A:$B,2,TRUE)</f>
        <v>6.5000000000000002E-2</v>
      </c>
      <c r="G192" s="84">
        <f t="shared" ref="G192:G193" si="119">O191</f>
        <v>306.41785060461791</v>
      </c>
      <c r="H192" s="84">
        <v>0</v>
      </c>
      <c r="I192" s="109">
        <f t="shared" si="114"/>
        <v>9.5769253023090748</v>
      </c>
      <c r="J192" s="85">
        <f t="shared" ref="J192:J193" si="120">G192*F192*(E192/(DATE(YEAR(D192),12,31)-DATE(YEAR(D192),1,1)+1))</f>
        <v>5.0202157441523703</v>
      </c>
      <c r="K192" s="129">
        <f t="shared" ref="K192:K193" si="121">+SUM(I192:J192)</f>
        <v>14.597141046461445</v>
      </c>
      <c r="L192" s="85">
        <f t="shared" si="112"/>
        <v>143.63200000000001</v>
      </c>
      <c r="M192" s="130">
        <f t="shared" ref="M192:M193" si="122">+SUM(K192:L192)</f>
        <v>158.22914104646145</v>
      </c>
      <c r="N192" s="8">
        <f t="shared" ref="N192:N193" si="123">+G192+H192+J192</f>
        <v>311.43806634877029</v>
      </c>
      <c r="O192" s="84">
        <f t="shared" ref="O192:O193" si="124">G192+H192-L192-I192</f>
        <v>153.20892530230884</v>
      </c>
    </row>
    <row r="193" spans="1:15" x14ac:dyDescent="0.2">
      <c r="A193" s="96" t="s">
        <v>73</v>
      </c>
      <c r="B193" s="81" t="str">
        <f t="shared" si="116"/>
        <v>Q4/2021</v>
      </c>
      <c r="C193" s="82">
        <f t="shared" si="117"/>
        <v>44470</v>
      </c>
      <c r="D193" s="82">
        <f t="shared" si="111"/>
        <v>44561</v>
      </c>
      <c r="E193" s="81">
        <f t="shared" si="118"/>
        <v>92</v>
      </c>
      <c r="F193" s="83">
        <f>VLOOKUP(D193,'FERC Interest Rate'!$A:$B,2,TRUE)</f>
        <v>6.5000000000000002E-2</v>
      </c>
      <c r="G193" s="84">
        <f t="shared" si="119"/>
        <v>153.20892530230884</v>
      </c>
      <c r="H193" s="84">
        <v>0</v>
      </c>
      <c r="I193" s="109">
        <f t="shared" si="114"/>
        <v>9.5769253023090748</v>
      </c>
      <c r="J193" s="85">
        <f t="shared" si="120"/>
        <v>2.5101078720761834</v>
      </c>
      <c r="K193" s="129">
        <f t="shared" si="121"/>
        <v>12.087033174385258</v>
      </c>
      <c r="L193" s="85">
        <f t="shared" si="112"/>
        <v>143.63200000000001</v>
      </c>
      <c r="M193" s="130">
        <f t="shared" si="122"/>
        <v>155.71903317438526</v>
      </c>
      <c r="N193" s="8">
        <f t="shared" si="123"/>
        <v>155.71903317438503</v>
      </c>
      <c r="O193" s="84">
        <f t="shared" si="124"/>
        <v>-2.3803181647963356E-13</v>
      </c>
    </row>
    <row r="194" spans="1:15" x14ac:dyDescent="0.2">
      <c r="A194" s="96"/>
      <c r="B194" s="81"/>
      <c r="C194" s="82"/>
      <c r="D194" s="82"/>
      <c r="E194" s="81"/>
      <c r="F194" s="83"/>
      <c r="G194" s="84"/>
      <c r="H194" s="84"/>
      <c r="I194" s="109"/>
      <c r="J194" s="85"/>
      <c r="K194" s="129"/>
      <c r="L194" s="85"/>
      <c r="M194" s="130"/>
      <c r="N194" s="8"/>
      <c r="O194" s="84"/>
    </row>
    <row r="195" spans="1:15" ht="13.5" thickBot="1" x14ac:dyDescent="0.25">
      <c r="A195" s="151"/>
      <c r="B195" s="152"/>
      <c r="C195" s="153"/>
      <c r="D195" s="153"/>
      <c r="E195" s="154"/>
      <c r="F195" s="152"/>
      <c r="G195" s="137">
        <f t="shared" ref="G195:O195" si="125">SUM(G167:G194)</f>
        <v>52713.381745365172</v>
      </c>
      <c r="H195" s="137">
        <f t="shared" si="125"/>
        <v>191.53850604618151</v>
      </c>
      <c r="I195" s="138">
        <f t="shared" si="125"/>
        <v>191.53850604618145</v>
      </c>
      <c r="J195" s="137">
        <f t="shared" si="125"/>
        <v>368.779566059952</v>
      </c>
      <c r="K195" s="137">
        <f t="shared" si="125"/>
        <v>560.31807210613363</v>
      </c>
      <c r="L195" s="137">
        <f t="shared" si="125"/>
        <v>2872.6400000000008</v>
      </c>
      <c r="M195" s="139">
        <f t="shared" si="125"/>
        <v>3432.9580721061338</v>
      </c>
      <c r="N195" s="137">
        <f t="shared" si="125"/>
        <v>53273.699817471293</v>
      </c>
      <c r="O195" s="137">
        <f t="shared" si="125"/>
        <v>49840.741745365172</v>
      </c>
    </row>
    <row r="196" spans="1:15" ht="13.5" thickTop="1" x14ac:dyDescent="0.2">
      <c r="B196" s="117"/>
      <c r="C196" s="117"/>
      <c r="D196" s="117"/>
      <c r="E196" s="117"/>
      <c r="F196" s="117"/>
      <c r="G196" s="117"/>
      <c r="H196" s="117"/>
      <c r="I196" s="180"/>
      <c r="J196" s="315" t="s">
        <v>15</v>
      </c>
      <c r="K196" s="315"/>
      <c r="L196" s="150" t="s">
        <v>58</v>
      </c>
      <c r="M196" s="181"/>
      <c r="O196" s="117"/>
    </row>
    <row r="197" spans="1:15" ht="38.25" x14ac:dyDescent="0.2">
      <c r="A197" s="90" t="s">
        <v>53</v>
      </c>
      <c r="B197" s="90" t="s">
        <v>3</v>
      </c>
      <c r="C197" s="90" t="s">
        <v>4</v>
      </c>
      <c r="D197" s="90" t="s">
        <v>5</v>
      </c>
      <c r="E197" s="90" t="s">
        <v>6</v>
      </c>
      <c r="F197" s="90" t="s">
        <v>7</v>
      </c>
      <c r="G197" s="90" t="s">
        <v>93</v>
      </c>
      <c r="H197" s="90" t="s">
        <v>94</v>
      </c>
      <c r="I197" s="105" t="s">
        <v>95</v>
      </c>
      <c r="J197" s="106" t="s">
        <v>96</v>
      </c>
      <c r="K197" s="106" t="s">
        <v>97</v>
      </c>
      <c r="L197" s="106" t="s">
        <v>98</v>
      </c>
      <c r="M197" s="107" t="s">
        <v>99</v>
      </c>
      <c r="N197" s="90" t="s">
        <v>100</v>
      </c>
      <c r="O197" s="90" t="s">
        <v>101</v>
      </c>
    </row>
    <row r="198" spans="1:15" x14ac:dyDescent="0.2">
      <c r="A198" s="17" t="s">
        <v>22</v>
      </c>
      <c r="B198" s="81" t="str">
        <f t="shared" ref="B198:B204" si="126">+IF(MONTH(C198)&lt;4,"Q1",IF(MONTH(C198)&lt;7,"Q2",IF(MONTH(C198)&lt;10,"Q3","Q4")))&amp;"/"&amp;YEAR(C198)</f>
        <v>Q3/2015</v>
      </c>
      <c r="C198" s="82">
        <f>VLOOKUP(L196,A$1:F$11,2,FALSE)</f>
        <v>42216</v>
      </c>
      <c r="D198" s="82">
        <f>DATE(YEAR(C198),IF(MONTH(C198)&lt;=3,3,IF(MONTH(C198)&lt;=6,6,IF(MONTH(C198)&lt;=9,9,12))),IF(OR(MONTH(C198)&lt;=3,MONTH(C198)&gt;=10),31,30))</f>
        <v>42277</v>
      </c>
      <c r="E198" s="81">
        <f>D198-C198+1</f>
        <v>62</v>
      </c>
      <c r="F198" s="83">
        <f>VLOOKUP(D198,'FERC Interest Rate'!$A:$B,2,TRUE)</f>
        <v>3.2500000000000001E-2</v>
      </c>
      <c r="G198" s="84">
        <f>VLOOKUP(L196,$A$1:$F$11,5,FALSE)</f>
        <v>3176.08</v>
      </c>
      <c r="H198" s="84">
        <f t="shared" ref="H198:H204" si="127">G198*F198*(E198/(DATE(YEAR(D198),12,31)-DATE(YEAR(D198),1,1)+1))</f>
        <v>17.533701917808219</v>
      </c>
      <c r="I198" s="173">
        <v>0</v>
      </c>
      <c r="J198" s="85">
        <v>0</v>
      </c>
      <c r="K198" s="129">
        <f t="shared" ref="K198:K223" si="128">+SUM(I198:J198)</f>
        <v>0</v>
      </c>
      <c r="L198" s="85">
        <v>0</v>
      </c>
      <c r="M198" s="130">
        <f t="shared" ref="M198:M223" si="129">+SUM(K198:L198)</f>
        <v>0</v>
      </c>
      <c r="N198" s="8">
        <f t="shared" ref="N198:N223" si="130">+G198+H198+J198</f>
        <v>3193.6137019178082</v>
      </c>
      <c r="O198" s="84">
        <f t="shared" ref="O198:O223" si="131">G198+H198-L198-I198</f>
        <v>3193.6137019178082</v>
      </c>
    </row>
    <row r="199" spans="1:15" x14ac:dyDescent="0.2">
      <c r="A199" s="17" t="s">
        <v>22</v>
      </c>
      <c r="B199" s="81" t="str">
        <f t="shared" si="126"/>
        <v>Q4/2015</v>
      </c>
      <c r="C199" s="82">
        <f>D198+1</f>
        <v>42278</v>
      </c>
      <c r="D199" s="82">
        <f>EOMONTH(D198,3)</f>
        <v>42369</v>
      </c>
      <c r="E199" s="81">
        <f t="shared" ref="E199:E223" si="132">D199-C199+1</f>
        <v>92</v>
      </c>
      <c r="F199" s="83">
        <f>VLOOKUP(D199,'FERC Interest Rate'!$A:$B,2,TRUE)</f>
        <v>3.2500000000000001E-2</v>
      </c>
      <c r="G199" s="84">
        <f t="shared" ref="G199:G223" si="133">O198</f>
        <v>3193.6137019178082</v>
      </c>
      <c r="H199" s="84">
        <f t="shared" si="127"/>
        <v>26.161383475984238</v>
      </c>
      <c r="I199" s="173">
        <v>0</v>
      </c>
      <c r="J199" s="85">
        <v>0</v>
      </c>
      <c r="K199" s="129">
        <f t="shared" si="128"/>
        <v>0</v>
      </c>
      <c r="L199" s="85">
        <v>0</v>
      </c>
      <c r="M199" s="130">
        <f t="shared" si="129"/>
        <v>0</v>
      </c>
      <c r="N199" s="8">
        <f t="shared" si="130"/>
        <v>3219.7750853937923</v>
      </c>
      <c r="O199" s="84">
        <f t="shared" si="131"/>
        <v>3219.7750853937923</v>
      </c>
    </row>
    <row r="200" spans="1:15" x14ac:dyDescent="0.2">
      <c r="A200" s="17" t="s">
        <v>22</v>
      </c>
      <c r="B200" s="81" t="str">
        <f t="shared" si="126"/>
        <v>Q1/2016</v>
      </c>
      <c r="C200" s="82">
        <f t="shared" ref="C200:C223" si="134">D199+1</f>
        <v>42370</v>
      </c>
      <c r="D200" s="82">
        <f t="shared" ref="D200:D223" si="135">EOMONTH(D199,3)</f>
        <v>42460</v>
      </c>
      <c r="E200" s="81">
        <f t="shared" si="132"/>
        <v>91</v>
      </c>
      <c r="F200" s="83">
        <f>VLOOKUP(D200,'FERC Interest Rate'!$A:$B,2,TRUE)</f>
        <v>3.2500000000000001E-2</v>
      </c>
      <c r="G200" s="84">
        <f t="shared" si="133"/>
        <v>3219.7750853937923</v>
      </c>
      <c r="H200" s="84">
        <f t="shared" si="127"/>
        <v>26.017718073912953</v>
      </c>
      <c r="I200" s="173">
        <v>0</v>
      </c>
      <c r="J200" s="85">
        <v>0</v>
      </c>
      <c r="K200" s="129">
        <f t="shared" si="128"/>
        <v>0</v>
      </c>
      <c r="L200" s="85">
        <v>0</v>
      </c>
      <c r="M200" s="130">
        <f t="shared" si="129"/>
        <v>0</v>
      </c>
      <c r="N200" s="8">
        <f t="shared" si="130"/>
        <v>3245.7928034677052</v>
      </c>
      <c r="O200" s="84">
        <f t="shared" si="131"/>
        <v>3245.7928034677052</v>
      </c>
    </row>
    <row r="201" spans="1:15" x14ac:dyDescent="0.2">
      <c r="A201" s="17" t="s">
        <v>22</v>
      </c>
      <c r="B201" s="81" t="str">
        <f t="shared" si="126"/>
        <v>Q2/2016</v>
      </c>
      <c r="C201" s="82">
        <f t="shared" si="134"/>
        <v>42461</v>
      </c>
      <c r="D201" s="82">
        <f t="shared" si="135"/>
        <v>42551</v>
      </c>
      <c r="E201" s="81">
        <f t="shared" si="132"/>
        <v>91</v>
      </c>
      <c r="F201" s="83">
        <f>VLOOKUP(D201,'FERC Interest Rate'!$A:$B,2,TRUE)</f>
        <v>3.4599999999999999E-2</v>
      </c>
      <c r="G201" s="84">
        <f t="shared" si="133"/>
        <v>3245.7928034677052</v>
      </c>
      <c r="H201" s="84">
        <f t="shared" si="127"/>
        <v>27.922686396170537</v>
      </c>
      <c r="I201" s="173">
        <v>0</v>
      </c>
      <c r="J201" s="85">
        <v>0</v>
      </c>
      <c r="K201" s="129">
        <f t="shared" si="128"/>
        <v>0</v>
      </c>
      <c r="L201" s="85">
        <v>0</v>
      </c>
      <c r="M201" s="130">
        <f t="shared" si="129"/>
        <v>0</v>
      </c>
      <c r="N201" s="8">
        <f t="shared" si="130"/>
        <v>3273.7154898638755</v>
      </c>
      <c r="O201" s="84">
        <f t="shared" si="131"/>
        <v>3273.7154898638755</v>
      </c>
    </row>
    <row r="202" spans="1:15" x14ac:dyDescent="0.2">
      <c r="A202" s="17" t="s">
        <v>22</v>
      </c>
      <c r="B202" s="81" t="str">
        <f t="shared" si="126"/>
        <v>Q3/2016</v>
      </c>
      <c r="C202" s="82">
        <f t="shared" si="134"/>
        <v>42552</v>
      </c>
      <c r="D202" s="82">
        <f t="shared" si="135"/>
        <v>42643</v>
      </c>
      <c r="E202" s="81">
        <f t="shared" si="132"/>
        <v>92</v>
      </c>
      <c r="F202" s="83">
        <f>VLOOKUP(D202,'FERC Interest Rate'!$A:$B,2,TRUE)</f>
        <v>3.5000000000000003E-2</v>
      </c>
      <c r="G202" s="84">
        <f t="shared" si="133"/>
        <v>3273.7154898638755</v>
      </c>
      <c r="H202" s="84">
        <f t="shared" si="127"/>
        <v>28.80154064852918</v>
      </c>
      <c r="I202" s="173">
        <v>0</v>
      </c>
      <c r="J202" s="85">
        <v>0</v>
      </c>
      <c r="K202" s="129">
        <f t="shared" si="128"/>
        <v>0</v>
      </c>
      <c r="L202" s="85">
        <v>0</v>
      </c>
      <c r="M202" s="130">
        <f t="shared" si="129"/>
        <v>0</v>
      </c>
      <c r="N202" s="8">
        <f t="shared" si="130"/>
        <v>3302.5170305124047</v>
      </c>
      <c r="O202" s="84">
        <f t="shared" si="131"/>
        <v>3302.5170305124047</v>
      </c>
    </row>
    <row r="203" spans="1:15" x14ac:dyDescent="0.2">
      <c r="A203" s="17" t="s">
        <v>22</v>
      </c>
      <c r="B203" s="81" t="str">
        <f t="shared" si="126"/>
        <v>Q4/2016</v>
      </c>
      <c r="C203" s="82">
        <f t="shared" si="134"/>
        <v>42644</v>
      </c>
      <c r="D203" s="82">
        <f t="shared" si="135"/>
        <v>42735</v>
      </c>
      <c r="E203" s="81">
        <f t="shared" si="132"/>
        <v>92</v>
      </c>
      <c r="F203" s="83">
        <f>VLOOKUP(D203,'FERC Interest Rate'!$A:$B,2,TRUE)</f>
        <v>3.5000000000000003E-2</v>
      </c>
      <c r="G203" s="84">
        <f t="shared" si="133"/>
        <v>3302.5170305124047</v>
      </c>
      <c r="H203" s="84">
        <f t="shared" si="127"/>
        <v>29.054931252049027</v>
      </c>
      <c r="I203" s="173">
        <v>0</v>
      </c>
      <c r="J203" s="85">
        <v>0</v>
      </c>
      <c r="K203" s="129">
        <f t="shared" si="128"/>
        <v>0</v>
      </c>
      <c r="L203" s="85">
        <v>0</v>
      </c>
      <c r="M203" s="130">
        <f t="shared" si="129"/>
        <v>0</v>
      </c>
      <c r="N203" s="8">
        <f t="shared" si="130"/>
        <v>3331.5719617644536</v>
      </c>
      <c r="O203" s="84">
        <f t="shared" si="131"/>
        <v>3331.5719617644536</v>
      </c>
    </row>
    <row r="204" spans="1:15" x14ac:dyDescent="0.2">
      <c r="A204" s="96" t="s">
        <v>54</v>
      </c>
      <c r="B204" s="81" t="str">
        <f t="shared" si="126"/>
        <v>Q1/2017</v>
      </c>
      <c r="C204" s="82">
        <f t="shared" si="134"/>
        <v>42736</v>
      </c>
      <c r="D204" s="82">
        <f t="shared" si="135"/>
        <v>42825</v>
      </c>
      <c r="E204" s="81">
        <f t="shared" si="132"/>
        <v>90</v>
      </c>
      <c r="F204" s="83">
        <f>VLOOKUP(D204,'FERC Interest Rate'!$A:$B,2,TRUE)</f>
        <v>3.5000000000000003E-2</v>
      </c>
      <c r="G204" s="84">
        <f t="shared" si="133"/>
        <v>3331.5719617644536</v>
      </c>
      <c r="H204" s="84">
        <f t="shared" si="127"/>
        <v>28.751922409748026</v>
      </c>
      <c r="I204" s="173">
        <f t="shared" ref="I204:I223" si="136">SUM($H$198:$H$224)/20</f>
        <v>9.212194208710109</v>
      </c>
      <c r="J204" s="85">
        <v>0</v>
      </c>
      <c r="K204" s="129">
        <f t="shared" si="128"/>
        <v>9.212194208710109</v>
      </c>
      <c r="L204" s="85">
        <f t="shared" ref="L204:L223" si="137">VLOOKUP($L$196,A$1:F$11,5,FALSE)/20</f>
        <v>158.804</v>
      </c>
      <c r="M204" s="130">
        <f t="shared" si="129"/>
        <v>168.01619420871012</v>
      </c>
      <c r="N204" s="8">
        <f t="shared" si="130"/>
        <v>3360.3238841742018</v>
      </c>
      <c r="O204" s="84">
        <f t="shared" si="131"/>
        <v>3192.3076899654916</v>
      </c>
    </row>
    <row r="205" spans="1:15" x14ac:dyDescent="0.2">
      <c r="A205" s="96" t="s">
        <v>55</v>
      </c>
      <c r="B205" s="81" t="str">
        <f>+IF(MONTH(C205)&lt;4,"Q1",IF(MONTH(C205)&lt;7,"Q2",IF(MONTH(C205)&lt;10,"Q3","Q4")))&amp;"/"&amp;YEAR(C205)</f>
        <v>Q2/2017</v>
      </c>
      <c r="C205" s="82">
        <f t="shared" si="134"/>
        <v>42826</v>
      </c>
      <c r="D205" s="82">
        <f t="shared" si="135"/>
        <v>42916</v>
      </c>
      <c r="E205" s="81">
        <f t="shared" si="132"/>
        <v>91</v>
      </c>
      <c r="F205" s="83">
        <f>VLOOKUP(D205,'FERC Interest Rate'!$A:$B,2,TRUE)</f>
        <v>3.7100000000000001E-2</v>
      </c>
      <c r="G205" s="84">
        <f t="shared" si="133"/>
        <v>3192.3076899654916</v>
      </c>
      <c r="H205" s="84">
        <v>0</v>
      </c>
      <c r="I205" s="109">
        <f t="shared" si="136"/>
        <v>9.212194208710109</v>
      </c>
      <c r="J205" s="85">
        <f t="shared" ref="J205:J223" si="138">G205*F205*(E205/(DATE(YEAR(D205),12,31)-DATE(YEAR(D205),1,1)+1))</f>
        <v>29.527534224910951</v>
      </c>
      <c r="K205" s="129">
        <f t="shared" si="128"/>
        <v>38.73972843362106</v>
      </c>
      <c r="L205" s="85">
        <f t="shared" si="137"/>
        <v>158.804</v>
      </c>
      <c r="M205" s="130">
        <f t="shared" si="129"/>
        <v>197.54372843362106</v>
      </c>
      <c r="N205" s="8">
        <f t="shared" si="130"/>
        <v>3221.8352241904026</v>
      </c>
      <c r="O205" s="84">
        <f t="shared" si="131"/>
        <v>3024.2914957567814</v>
      </c>
    </row>
    <row r="206" spans="1:15" x14ac:dyDescent="0.2">
      <c r="A206" s="96" t="s">
        <v>56</v>
      </c>
      <c r="B206" s="81" t="str">
        <f>+IF(MONTH(C206)&lt;4,"Q1",IF(MONTH(C206)&lt;7,"Q2",IF(MONTH(C206)&lt;10,"Q3","Q4")))&amp;"/"&amp;YEAR(C206)</f>
        <v>Q3/2017</v>
      </c>
      <c r="C206" s="82">
        <f t="shared" si="134"/>
        <v>42917</v>
      </c>
      <c r="D206" s="82">
        <f t="shared" si="135"/>
        <v>43008</v>
      </c>
      <c r="E206" s="81">
        <f t="shared" si="132"/>
        <v>92</v>
      </c>
      <c r="F206" s="83">
        <f>VLOOKUP(D206,'FERC Interest Rate'!$A:$B,2,TRUE)</f>
        <v>3.9600000000000003E-2</v>
      </c>
      <c r="G206" s="84">
        <f t="shared" si="133"/>
        <v>3024.2914957567814</v>
      </c>
      <c r="H206" s="84">
        <v>0</v>
      </c>
      <c r="I206" s="109">
        <f t="shared" si="136"/>
        <v>9.212194208710109</v>
      </c>
      <c r="J206" s="85">
        <f t="shared" si="138"/>
        <v>30.186571992715365</v>
      </c>
      <c r="K206" s="129">
        <f t="shared" si="128"/>
        <v>39.398766201425474</v>
      </c>
      <c r="L206" s="85">
        <f t="shared" si="137"/>
        <v>158.804</v>
      </c>
      <c r="M206" s="130">
        <f t="shared" si="129"/>
        <v>198.20276620142548</v>
      </c>
      <c r="N206" s="8">
        <f t="shared" si="130"/>
        <v>3054.4780677494969</v>
      </c>
      <c r="O206" s="84">
        <f t="shared" si="131"/>
        <v>2856.2753015480712</v>
      </c>
    </row>
    <row r="207" spans="1:15" x14ac:dyDescent="0.2">
      <c r="A207" s="96" t="s">
        <v>57</v>
      </c>
      <c r="B207" s="81" t="str">
        <f t="shared" ref="B207:B223" si="139">+IF(MONTH(C207)&lt;4,"Q1",IF(MONTH(C207)&lt;7,"Q2",IF(MONTH(C207)&lt;10,"Q3","Q4")))&amp;"/"&amp;YEAR(C207)</f>
        <v>Q4/2017</v>
      </c>
      <c r="C207" s="82">
        <f t="shared" si="134"/>
        <v>43009</v>
      </c>
      <c r="D207" s="82">
        <f t="shared" si="135"/>
        <v>43100</v>
      </c>
      <c r="E207" s="81">
        <f t="shared" si="132"/>
        <v>92</v>
      </c>
      <c r="F207" s="83">
        <f>VLOOKUP(D207,'FERC Interest Rate'!$A:$B,2,TRUE)</f>
        <v>4.2099999999999999E-2</v>
      </c>
      <c r="G207" s="84">
        <f t="shared" si="133"/>
        <v>2856.2753015480712</v>
      </c>
      <c r="H207" s="84">
        <v>0</v>
      </c>
      <c r="I207" s="109">
        <f t="shared" si="136"/>
        <v>9.212194208710109</v>
      </c>
      <c r="J207" s="85">
        <f t="shared" si="138"/>
        <v>30.309384925906823</v>
      </c>
      <c r="K207" s="129">
        <f t="shared" si="128"/>
        <v>39.521579134616928</v>
      </c>
      <c r="L207" s="85">
        <f t="shared" si="137"/>
        <v>158.804</v>
      </c>
      <c r="M207" s="130">
        <f t="shared" si="129"/>
        <v>198.32557913461693</v>
      </c>
      <c r="N207" s="8">
        <f t="shared" si="130"/>
        <v>2886.5846864739779</v>
      </c>
      <c r="O207" s="84">
        <f t="shared" si="131"/>
        <v>2688.259107339361</v>
      </c>
    </row>
    <row r="208" spans="1:15" x14ac:dyDescent="0.2">
      <c r="A208" s="96" t="s">
        <v>58</v>
      </c>
      <c r="B208" s="81" t="str">
        <f t="shared" si="139"/>
        <v>Q1/2018</v>
      </c>
      <c r="C208" s="82">
        <f t="shared" si="134"/>
        <v>43101</v>
      </c>
      <c r="D208" s="82">
        <f t="shared" si="135"/>
        <v>43190</v>
      </c>
      <c r="E208" s="81">
        <f t="shared" si="132"/>
        <v>90</v>
      </c>
      <c r="F208" s="83">
        <f>VLOOKUP(D208,'FERC Interest Rate'!$A:$B,2,TRUE)</f>
        <v>4.2500000000000003E-2</v>
      </c>
      <c r="G208" s="84">
        <f t="shared" si="133"/>
        <v>2688.259107339361</v>
      </c>
      <c r="H208" s="84">
        <v>0</v>
      </c>
      <c r="I208" s="109">
        <f t="shared" si="136"/>
        <v>9.212194208710109</v>
      </c>
      <c r="J208" s="85">
        <f t="shared" si="138"/>
        <v>28.171482426227552</v>
      </c>
      <c r="K208" s="129">
        <f t="shared" si="128"/>
        <v>37.383676634937657</v>
      </c>
      <c r="L208" s="85">
        <f t="shared" si="137"/>
        <v>158.804</v>
      </c>
      <c r="M208" s="130">
        <f t="shared" si="129"/>
        <v>196.18767663493765</v>
      </c>
      <c r="N208" s="8">
        <f t="shared" si="130"/>
        <v>2716.4305897655886</v>
      </c>
      <c r="O208" s="84">
        <f t="shared" si="131"/>
        <v>2520.2429131306508</v>
      </c>
    </row>
    <row r="209" spans="1:15" x14ac:dyDescent="0.2">
      <c r="A209" s="96" t="s">
        <v>59</v>
      </c>
      <c r="B209" s="81" t="str">
        <f t="shared" si="139"/>
        <v>Q2/2018</v>
      </c>
      <c r="C209" s="82">
        <f t="shared" si="134"/>
        <v>43191</v>
      </c>
      <c r="D209" s="82">
        <f t="shared" si="135"/>
        <v>43281</v>
      </c>
      <c r="E209" s="81">
        <f t="shared" si="132"/>
        <v>91</v>
      </c>
      <c r="F209" s="83">
        <f>VLOOKUP(D209,'FERC Interest Rate'!$A:$B,2,TRUE)</f>
        <v>4.4699999999999997E-2</v>
      </c>
      <c r="G209" s="84">
        <f t="shared" si="133"/>
        <v>2520.2429131306508</v>
      </c>
      <c r="H209" s="84">
        <v>0</v>
      </c>
      <c r="I209" s="109">
        <f t="shared" si="136"/>
        <v>9.212194208710109</v>
      </c>
      <c r="J209" s="85">
        <f t="shared" si="138"/>
        <v>28.086553692442596</v>
      </c>
      <c r="K209" s="129">
        <f t="shared" si="128"/>
        <v>37.298747901152709</v>
      </c>
      <c r="L209" s="85">
        <f t="shared" si="137"/>
        <v>158.804</v>
      </c>
      <c r="M209" s="130">
        <f t="shared" si="129"/>
        <v>196.10274790115272</v>
      </c>
      <c r="N209" s="8">
        <f t="shared" si="130"/>
        <v>2548.3294668230933</v>
      </c>
      <c r="O209" s="84">
        <f t="shared" si="131"/>
        <v>2352.2267189219406</v>
      </c>
    </row>
    <row r="210" spans="1:15" x14ac:dyDescent="0.2">
      <c r="A210" s="96" t="s">
        <v>60</v>
      </c>
      <c r="B210" s="81" t="str">
        <f t="shared" si="139"/>
        <v>Q3/2018</v>
      </c>
      <c r="C210" s="82">
        <f t="shared" si="134"/>
        <v>43282</v>
      </c>
      <c r="D210" s="82">
        <f t="shared" si="135"/>
        <v>43373</v>
      </c>
      <c r="E210" s="81">
        <f t="shared" si="132"/>
        <v>92</v>
      </c>
      <c r="F210" s="83">
        <f>VLOOKUP(D210,'FERC Interest Rate'!$A:$B,2,TRUE)</f>
        <v>5.011111E-2</v>
      </c>
      <c r="G210" s="84">
        <f t="shared" si="133"/>
        <v>2352.2267189219406</v>
      </c>
      <c r="H210" s="84">
        <v>0</v>
      </c>
      <c r="I210" s="109">
        <f t="shared" si="136"/>
        <v>9.212194208710109</v>
      </c>
      <c r="J210" s="85">
        <f t="shared" si="138"/>
        <v>29.710377125558775</v>
      </c>
      <c r="K210" s="129">
        <f t="shared" si="128"/>
        <v>38.922571334268881</v>
      </c>
      <c r="L210" s="85">
        <f t="shared" si="137"/>
        <v>158.804</v>
      </c>
      <c r="M210" s="130">
        <f t="shared" si="129"/>
        <v>197.7265713342689</v>
      </c>
      <c r="N210" s="8">
        <f t="shared" si="130"/>
        <v>2381.9370960474994</v>
      </c>
      <c r="O210" s="84">
        <f t="shared" si="131"/>
        <v>2184.2105247132304</v>
      </c>
    </row>
    <row r="211" spans="1:15" x14ac:dyDescent="0.2">
      <c r="A211" s="96" t="s">
        <v>61</v>
      </c>
      <c r="B211" s="81" t="str">
        <f t="shared" si="139"/>
        <v>Q4/2018</v>
      </c>
      <c r="C211" s="82">
        <f t="shared" si="134"/>
        <v>43374</v>
      </c>
      <c r="D211" s="82">
        <f t="shared" si="135"/>
        <v>43465</v>
      </c>
      <c r="E211" s="81">
        <f t="shared" si="132"/>
        <v>92</v>
      </c>
      <c r="F211" s="83">
        <f>VLOOKUP(D211,'FERC Interest Rate'!$A:$B,2,TRUE)</f>
        <v>5.2822580000000001E-2</v>
      </c>
      <c r="G211" s="84">
        <f t="shared" si="133"/>
        <v>2184.2105247132304</v>
      </c>
      <c r="H211" s="84">
        <v>0</v>
      </c>
      <c r="I211" s="109">
        <f t="shared" si="136"/>
        <v>9.212194208710109</v>
      </c>
      <c r="J211" s="85">
        <f t="shared" si="138"/>
        <v>29.080982017596181</v>
      </c>
      <c r="K211" s="129">
        <f t="shared" si="128"/>
        <v>38.293176226306286</v>
      </c>
      <c r="L211" s="85">
        <f t="shared" si="137"/>
        <v>158.804</v>
      </c>
      <c r="M211" s="130">
        <f t="shared" si="129"/>
        <v>197.09717622630629</v>
      </c>
      <c r="N211" s="8">
        <f t="shared" si="130"/>
        <v>2213.2915067308268</v>
      </c>
      <c r="O211" s="84">
        <f t="shared" si="131"/>
        <v>2016.1943305045202</v>
      </c>
    </row>
    <row r="212" spans="1:15" x14ac:dyDescent="0.2">
      <c r="A212" s="96" t="s">
        <v>62</v>
      </c>
      <c r="B212" s="81" t="str">
        <f t="shared" si="139"/>
        <v>Q1/2019</v>
      </c>
      <c r="C212" s="82">
        <f t="shared" si="134"/>
        <v>43466</v>
      </c>
      <c r="D212" s="82">
        <f t="shared" si="135"/>
        <v>43555</v>
      </c>
      <c r="E212" s="81">
        <f t="shared" si="132"/>
        <v>90</v>
      </c>
      <c r="F212" s="83">
        <f>VLOOKUP(D212,'FERC Interest Rate'!$A:$B,2,TRUE)</f>
        <v>5.5296770000000002E-2</v>
      </c>
      <c r="G212" s="84">
        <f t="shared" si="133"/>
        <v>2016.1943305045202</v>
      </c>
      <c r="H212" s="84">
        <v>0</v>
      </c>
      <c r="I212" s="109">
        <f t="shared" si="136"/>
        <v>9.212194208710109</v>
      </c>
      <c r="J212" s="85">
        <f t="shared" si="138"/>
        <v>27.490446781449641</v>
      </c>
      <c r="K212" s="129">
        <f t="shared" si="128"/>
        <v>36.70264099015975</v>
      </c>
      <c r="L212" s="85">
        <f t="shared" si="137"/>
        <v>158.804</v>
      </c>
      <c r="M212" s="130">
        <f t="shared" si="129"/>
        <v>195.50664099015975</v>
      </c>
      <c r="N212" s="8">
        <f t="shared" si="130"/>
        <v>2043.6847772859699</v>
      </c>
      <c r="O212" s="84">
        <f t="shared" si="131"/>
        <v>1848.17813629581</v>
      </c>
    </row>
    <row r="213" spans="1:15" x14ac:dyDescent="0.2">
      <c r="A213" s="96" t="s">
        <v>63</v>
      </c>
      <c r="B213" s="81" t="str">
        <f t="shared" si="139"/>
        <v>Q2/2019</v>
      </c>
      <c r="C213" s="82">
        <f t="shared" si="134"/>
        <v>43556</v>
      </c>
      <c r="D213" s="82">
        <f t="shared" si="135"/>
        <v>43646</v>
      </c>
      <c r="E213" s="81">
        <f t="shared" si="132"/>
        <v>91</v>
      </c>
      <c r="F213" s="83">
        <f>VLOOKUP(D213,'FERC Interest Rate'!$A:$B,2,TRUE)</f>
        <v>5.7999999999999996E-2</v>
      </c>
      <c r="G213" s="84">
        <f t="shared" si="133"/>
        <v>1848.17813629581</v>
      </c>
      <c r="H213" s="84">
        <v>0</v>
      </c>
      <c r="I213" s="109">
        <f t="shared" si="136"/>
        <v>9.212194208710109</v>
      </c>
      <c r="J213" s="85">
        <f t="shared" si="138"/>
        <v>26.725162201011738</v>
      </c>
      <c r="K213" s="129">
        <f t="shared" si="128"/>
        <v>35.937356409721843</v>
      </c>
      <c r="L213" s="85">
        <f t="shared" si="137"/>
        <v>158.804</v>
      </c>
      <c r="M213" s="130">
        <f t="shared" si="129"/>
        <v>194.74135640972185</v>
      </c>
      <c r="N213" s="8">
        <f t="shared" si="130"/>
        <v>1874.9032984968217</v>
      </c>
      <c r="O213" s="84">
        <f t="shared" si="131"/>
        <v>1680.1619420870998</v>
      </c>
    </row>
    <row r="214" spans="1:15" x14ac:dyDescent="0.2">
      <c r="A214" s="96" t="s">
        <v>64</v>
      </c>
      <c r="B214" s="81" t="str">
        <f t="shared" si="139"/>
        <v>Q3/2019</v>
      </c>
      <c r="C214" s="82">
        <f t="shared" si="134"/>
        <v>43647</v>
      </c>
      <c r="D214" s="82">
        <f t="shared" si="135"/>
        <v>43738</v>
      </c>
      <c r="E214" s="81">
        <f t="shared" si="132"/>
        <v>92</v>
      </c>
      <c r="F214" s="83">
        <f>VLOOKUP(D214,'FERC Interest Rate'!$A:$B,2,TRUE)</f>
        <v>0.06</v>
      </c>
      <c r="G214" s="84">
        <f t="shared" si="133"/>
        <v>1680.1619420870998</v>
      </c>
      <c r="H214" s="84">
        <v>0</v>
      </c>
      <c r="I214" s="109">
        <f t="shared" si="136"/>
        <v>9.212194208710109</v>
      </c>
      <c r="J214" s="85">
        <f t="shared" si="138"/>
        <v>25.409572384440523</v>
      </c>
      <c r="K214" s="129">
        <f t="shared" si="128"/>
        <v>34.621766593150632</v>
      </c>
      <c r="L214" s="85">
        <f t="shared" si="137"/>
        <v>158.804</v>
      </c>
      <c r="M214" s="130">
        <f t="shared" si="129"/>
        <v>193.42576659315063</v>
      </c>
      <c r="N214" s="8">
        <f t="shared" si="130"/>
        <v>1705.5715144715402</v>
      </c>
      <c r="O214" s="84">
        <f t="shared" si="131"/>
        <v>1512.1457478783896</v>
      </c>
    </row>
    <row r="215" spans="1:15" x14ac:dyDescent="0.2">
      <c r="A215" s="96" t="s">
        <v>65</v>
      </c>
      <c r="B215" s="81" t="str">
        <f t="shared" si="139"/>
        <v>Q4/2019</v>
      </c>
      <c r="C215" s="82">
        <f t="shared" si="134"/>
        <v>43739</v>
      </c>
      <c r="D215" s="82">
        <f t="shared" si="135"/>
        <v>43830</v>
      </c>
      <c r="E215" s="81">
        <f t="shared" si="132"/>
        <v>92</v>
      </c>
      <c r="F215" s="83">
        <f>VLOOKUP(D215,'FERC Interest Rate'!$A:$B,2,TRUE)</f>
        <v>6.0349460000000001E-2</v>
      </c>
      <c r="G215" s="84">
        <f t="shared" si="133"/>
        <v>1512.1457478783896</v>
      </c>
      <c r="H215" s="84">
        <v>0</v>
      </c>
      <c r="I215" s="109">
        <f t="shared" si="136"/>
        <v>9.212194208710109</v>
      </c>
      <c r="J215" s="85">
        <f t="shared" si="138"/>
        <v>23.001809583478465</v>
      </c>
      <c r="K215" s="129">
        <f t="shared" si="128"/>
        <v>32.214003792188578</v>
      </c>
      <c r="L215" s="85">
        <f t="shared" si="137"/>
        <v>158.804</v>
      </c>
      <c r="M215" s="130">
        <f t="shared" si="129"/>
        <v>191.01800379218858</v>
      </c>
      <c r="N215" s="8">
        <f t="shared" si="130"/>
        <v>1535.147557461868</v>
      </c>
      <c r="O215" s="84">
        <f t="shared" si="131"/>
        <v>1344.1295536696794</v>
      </c>
    </row>
    <row r="216" spans="1:15" x14ac:dyDescent="0.2">
      <c r="A216" s="96" t="s">
        <v>66</v>
      </c>
      <c r="B216" s="81" t="str">
        <f t="shared" si="139"/>
        <v>Q1/2020</v>
      </c>
      <c r="C216" s="82">
        <f t="shared" si="134"/>
        <v>43831</v>
      </c>
      <c r="D216" s="82">
        <f t="shared" si="135"/>
        <v>43921</v>
      </c>
      <c r="E216" s="81">
        <f t="shared" si="132"/>
        <v>91</v>
      </c>
      <c r="F216" s="83">
        <f>VLOOKUP(D216,'FERC Interest Rate'!$A:$B,2,TRUE)</f>
        <v>6.2501040000000008E-2</v>
      </c>
      <c r="G216" s="84">
        <f t="shared" si="133"/>
        <v>1344.1295536696794</v>
      </c>
      <c r="H216" s="84">
        <v>0</v>
      </c>
      <c r="I216" s="109">
        <f t="shared" si="136"/>
        <v>9.212194208710109</v>
      </c>
      <c r="J216" s="85">
        <f t="shared" si="138"/>
        <v>20.887606680101808</v>
      </c>
      <c r="K216" s="129">
        <f t="shared" si="128"/>
        <v>30.099800888811917</v>
      </c>
      <c r="L216" s="85">
        <f t="shared" si="137"/>
        <v>158.804</v>
      </c>
      <c r="M216" s="130">
        <f t="shared" si="129"/>
        <v>188.90380088881193</v>
      </c>
      <c r="N216" s="8">
        <f t="shared" si="130"/>
        <v>1365.0171603497811</v>
      </c>
      <c r="O216" s="84">
        <f t="shared" si="131"/>
        <v>1176.1133594609691</v>
      </c>
    </row>
    <row r="217" spans="1:15" x14ac:dyDescent="0.2">
      <c r="A217" s="96" t="s">
        <v>67</v>
      </c>
      <c r="B217" s="81" t="str">
        <f t="shared" si="139"/>
        <v>Q2/2020</v>
      </c>
      <c r="C217" s="82">
        <f t="shared" si="134"/>
        <v>43922</v>
      </c>
      <c r="D217" s="82">
        <f t="shared" si="135"/>
        <v>44012</v>
      </c>
      <c r="E217" s="81">
        <f t="shared" si="132"/>
        <v>91</v>
      </c>
      <c r="F217" s="83">
        <f>VLOOKUP(D217,'FERC Interest Rate'!$A:$B,2,TRUE)</f>
        <v>6.3055559999999997E-2</v>
      </c>
      <c r="G217" s="84">
        <f t="shared" si="133"/>
        <v>1176.1133594609691</v>
      </c>
      <c r="H217" s="84">
        <v>0</v>
      </c>
      <c r="I217" s="109">
        <f t="shared" si="136"/>
        <v>9.212194208710109</v>
      </c>
      <c r="J217" s="85">
        <f t="shared" si="138"/>
        <v>18.43880948603999</v>
      </c>
      <c r="K217" s="129">
        <f t="shared" si="128"/>
        <v>27.651003694750099</v>
      </c>
      <c r="L217" s="85">
        <f t="shared" si="137"/>
        <v>158.804</v>
      </c>
      <c r="M217" s="130">
        <f t="shared" si="129"/>
        <v>186.4550036947501</v>
      </c>
      <c r="N217" s="8">
        <f t="shared" si="130"/>
        <v>1194.5521689470092</v>
      </c>
      <c r="O217" s="84">
        <f t="shared" si="131"/>
        <v>1008.0971652522591</v>
      </c>
    </row>
    <row r="218" spans="1:15" x14ac:dyDescent="0.2">
      <c r="A218" s="96" t="s">
        <v>68</v>
      </c>
      <c r="B218" s="81" t="str">
        <f t="shared" si="139"/>
        <v>Q3/2020</v>
      </c>
      <c r="C218" s="82">
        <f t="shared" si="134"/>
        <v>44013</v>
      </c>
      <c r="D218" s="82">
        <f t="shared" si="135"/>
        <v>44104</v>
      </c>
      <c r="E218" s="81">
        <f t="shared" si="132"/>
        <v>92</v>
      </c>
      <c r="F218" s="83">
        <f>VLOOKUP(D218,'FERC Interest Rate'!$A:$B,2,TRUE)</f>
        <v>6.5000000000000002E-2</v>
      </c>
      <c r="G218" s="84">
        <f t="shared" si="133"/>
        <v>1008.0971652522591</v>
      </c>
      <c r="H218" s="84">
        <v>0</v>
      </c>
      <c r="I218" s="109">
        <f t="shared" si="136"/>
        <v>9.212194208710109</v>
      </c>
      <c r="J218" s="85">
        <f t="shared" si="138"/>
        <v>16.471095760132538</v>
      </c>
      <c r="K218" s="129">
        <f t="shared" si="128"/>
        <v>25.683289968842647</v>
      </c>
      <c r="L218" s="85">
        <f t="shared" si="137"/>
        <v>158.804</v>
      </c>
      <c r="M218" s="130">
        <f t="shared" si="129"/>
        <v>184.48728996884265</v>
      </c>
      <c r="N218" s="8">
        <f t="shared" si="130"/>
        <v>1024.5682610123915</v>
      </c>
      <c r="O218" s="84">
        <f t="shared" si="131"/>
        <v>840.08097104354897</v>
      </c>
    </row>
    <row r="219" spans="1:15" x14ac:dyDescent="0.2">
      <c r="A219" s="96" t="s">
        <v>69</v>
      </c>
      <c r="B219" s="81" t="str">
        <f t="shared" si="139"/>
        <v>Q4/2020</v>
      </c>
      <c r="C219" s="82">
        <f t="shared" si="134"/>
        <v>44105</v>
      </c>
      <c r="D219" s="82">
        <f t="shared" si="135"/>
        <v>44196</v>
      </c>
      <c r="E219" s="81">
        <f t="shared" si="132"/>
        <v>92</v>
      </c>
      <c r="F219" s="83">
        <f>VLOOKUP(D219,'FERC Interest Rate'!$A:$B,2,TRUE)</f>
        <v>6.5000000000000002E-2</v>
      </c>
      <c r="G219" s="84">
        <f t="shared" si="133"/>
        <v>840.08097104354897</v>
      </c>
      <c r="H219" s="84">
        <v>0</v>
      </c>
      <c r="I219" s="109">
        <f t="shared" si="136"/>
        <v>9.212194208710109</v>
      </c>
      <c r="J219" s="85">
        <f t="shared" si="138"/>
        <v>13.725913133443779</v>
      </c>
      <c r="K219" s="129">
        <f t="shared" si="128"/>
        <v>22.938107342153888</v>
      </c>
      <c r="L219" s="85">
        <f t="shared" si="137"/>
        <v>158.804</v>
      </c>
      <c r="M219" s="130">
        <f t="shared" si="129"/>
        <v>181.7421073421539</v>
      </c>
      <c r="N219" s="8">
        <f t="shared" si="130"/>
        <v>853.80688417699275</v>
      </c>
      <c r="O219" s="84">
        <f t="shared" si="131"/>
        <v>672.06477683483888</v>
      </c>
    </row>
    <row r="220" spans="1:15" x14ac:dyDescent="0.2">
      <c r="A220" s="96" t="s">
        <v>70</v>
      </c>
      <c r="B220" s="81" t="str">
        <f t="shared" si="139"/>
        <v>Q1/2021</v>
      </c>
      <c r="C220" s="82">
        <f t="shared" si="134"/>
        <v>44197</v>
      </c>
      <c r="D220" s="82">
        <f t="shared" si="135"/>
        <v>44286</v>
      </c>
      <c r="E220" s="81">
        <f t="shared" si="132"/>
        <v>90</v>
      </c>
      <c r="F220" s="83">
        <f>VLOOKUP(D220,'FERC Interest Rate'!$A:$B,2,TRUE)</f>
        <v>6.5000000000000002E-2</v>
      </c>
      <c r="G220" s="84">
        <f t="shared" si="133"/>
        <v>672.06477683483888</v>
      </c>
      <c r="H220" s="84">
        <v>0</v>
      </c>
      <c r="I220" s="109">
        <f t="shared" si="136"/>
        <v>9.212194208710109</v>
      </c>
      <c r="J220" s="85">
        <f t="shared" si="138"/>
        <v>10.771449162969335</v>
      </c>
      <c r="K220" s="129">
        <f t="shared" si="128"/>
        <v>19.983643371679442</v>
      </c>
      <c r="L220" s="85">
        <f t="shared" si="137"/>
        <v>158.804</v>
      </c>
      <c r="M220" s="130">
        <f t="shared" si="129"/>
        <v>178.78764337167945</v>
      </c>
      <c r="N220" s="8">
        <f t="shared" si="130"/>
        <v>682.83622599780824</v>
      </c>
      <c r="O220" s="84">
        <f t="shared" si="131"/>
        <v>504.04858262612879</v>
      </c>
    </row>
    <row r="221" spans="1:15" x14ac:dyDescent="0.2">
      <c r="A221" s="96" t="s">
        <v>71</v>
      </c>
      <c r="B221" s="81" t="str">
        <f t="shared" si="139"/>
        <v>Q2/2021</v>
      </c>
      <c r="C221" s="82">
        <f t="shared" si="134"/>
        <v>44287</v>
      </c>
      <c r="D221" s="82">
        <f t="shared" si="135"/>
        <v>44377</v>
      </c>
      <c r="E221" s="81">
        <f t="shared" si="132"/>
        <v>91</v>
      </c>
      <c r="F221" s="83">
        <f>VLOOKUP(D221,'FERC Interest Rate'!$A:$B,2,TRUE)</f>
        <v>6.5000000000000002E-2</v>
      </c>
      <c r="G221" s="84">
        <f t="shared" si="133"/>
        <v>504.04858262612879</v>
      </c>
      <c r="H221" s="84">
        <v>0</v>
      </c>
      <c r="I221" s="109">
        <f t="shared" si="136"/>
        <v>9.212194208710109</v>
      </c>
      <c r="J221" s="85">
        <f t="shared" si="138"/>
        <v>8.1683489485850735</v>
      </c>
      <c r="K221" s="129">
        <f t="shared" si="128"/>
        <v>17.380543157295183</v>
      </c>
      <c r="L221" s="85">
        <f t="shared" si="137"/>
        <v>158.804</v>
      </c>
      <c r="M221" s="130">
        <f t="shared" si="129"/>
        <v>176.1845431572952</v>
      </c>
      <c r="N221" s="8">
        <f t="shared" si="130"/>
        <v>512.21693157471384</v>
      </c>
      <c r="O221" s="84">
        <f t="shared" si="131"/>
        <v>336.0323884174187</v>
      </c>
    </row>
    <row r="222" spans="1:15" x14ac:dyDescent="0.2">
      <c r="A222" s="96" t="s">
        <v>72</v>
      </c>
      <c r="B222" s="81" t="str">
        <f t="shared" si="139"/>
        <v>Q3/2021</v>
      </c>
      <c r="C222" s="82">
        <f t="shared" si="134"/>
        <v>44378</v>
      </c>
      <c r="D222" s="82">
        <f t="shared" si="135"/>
        <v>44469</v>
      </c>
      <c r="E222" s="81">
        <f t="shared" si="132"/>
        <v>92</v>
      </c>
      <c r="F222" s="83">
        <f>VLOOKUP(D222,'FERC Interest Rate'!$A:$B,2,TRUE)</f>
        <v>6.5000000000000002E-2</v>
      </c>
      <c r="G222" s="84">
        <f t="shared" si="133"/>
        <v>336.0323884174187</v>
      </c>
      <c r="H222" s="84">
        <v>0</v>
      </c>
      <c r="I222" s="109">
        <f t="shared" si="136"/>
        <v>9.212194208710109</v>
      </c>
      <c r="J222" s="85">
        <f t="shared" si="138"/>
        <v>5.5054073499620939</v>
      </c>
      <c r="K222" s="129">
        <f t="shared" si="128"/>
        <v>14.717601558672204</v>
      </c>
      <c r="L222" s="85">
        <f t="shared" si="137"/>
        <v>158.804</v>
      </c>
      <c r="M222" s="130">
        <f t="shared" si="129"/>
        <v>173.52160155867222</v>
      </c>
      <c r="N222" s="8">
        <f t="shared" si="130"/>
        <v>341.53779576738077</v>
      </c>
      <c r="O222" s="84">
        <f t="shared" si="131"/>
        <v>168.01619420870858</v>
      </c>
    </row>
    <row r="223" spans="1:15" x14ac:dyDescent="0.2">
      <c r="A223" s="96" t="s">
        <v>73</v>
      </c>
      <c r="B223" s="81" t="str">
        <f t="shared" si="139"/>
        <v>Q4/2021</v>
      </c>
      <c r="C223" s="82">
        <f t="shared" si="134"/>
        <v>44470</v>
      </c>
      <c r="D223" s="82">
        <f t="shared" si="135"/>
        <v>44561</v>
      </c>
      <c r="E223" s="81">
        <f t="shared" si="132"/>
        <v>92</v>
      </c>
      <c r="F223" s="83">
        <f>VLOOKUP(D223,'FERC Interest Rate'!$A:$B,2,TRUE)</f>
        <v>6.5000000000000002E-2</v>
      </c>
      <c r="G223" s="84">
        <f t="shared" si="133"/>
        <v>168.01619420870858</v>
      </c>
      <c r="H223" s="84">
        <v>0</v>
      </c>
      <c r="I223" s="109">
        <f t="shared" si="136"/>
        <v>9.212194208710109</v>
      </c>
      <c r="J223" s="85">
        <f t="shared" si="138"/>
        <v>2.7527036749810341</v>
      </c>
      <c r="K223" s="129">
        <f t="shared" si="128"/>
        <v>11.964897883691144</v>
      </c>
      <c r="L223" s="85">
        <f t="shared" si="137"/>
        <v>158.804</v>
      </c>
      <c r="M223" s="130">
        <f t="shared" si="129"/>
        <v>170.76889788369115</v>
      </c>
      <c r="N223" s="8">
        <f t="shared" si="130"/>
        <v>170.76889788368962</v>
      </c>
      <c r="O223" s="84">
        <f t="shared" si="131"/>
        <v>-1.5276668818842154E-12</v>
      </c>
    </row>
    <row r="224" spans="1:15" x14ac:dyDescent="0.2">
      <c r="A224" s="96"/>
      <c r="B224" s="81"/>
      <c r="C224" s="82"/>
      <c r="D224" s="82"/>
      <c r="E224" s="81"/>
      <c r="F224" s="83"/>
      <c r="G224" s="84"/>
      <c r="H224" s="84"/>
      <c r="I224" s="109"/>
      <c r="J224" s="85"/>
      <c r="K224" s="129"/>
      <c r="L224" s="85"/>
      <c r="M224" s="130"/>
      <c r="N224" s="8"/>
      <c r="O224" s="84"/>
    </row>
    <row r="225" spans="1:15" ht="13.5" thickBot="1" x14ac:dyDescent="0.25">
      <c r="A225" s="151"/>
      <c r="B225" s="152"/>
      <c r="C225" s="153"/>
      <c r="D225" s="153"/>
      <c r="E225" s="154"/>
      <c r="F225" s="152"/>
      <c r="G225" s="137">
        <f t="shared" ref="G225:O225" si="140">SUM(G198:G223)</f>
        <v>54666.142972574933</v>
      </c>
      <c r="H225" s="137">
        <f t="shared" si="140"/>
        <v>184.24388417420218</v>
      </c>
      <c r="I225" s="138">
        <f t="shared" si="140"/>
        <v>184.24388417420226</v>
      </c>
      <c r="J225" s="137">
        <f t="shared" si="140"/>
        <v>404.42121155195423</v>
      </c>
      <c r="K225" s="137">
        <f t="shared" si="140"/>
        <v>588.66509572615632</v>
      </c>
      <c r="L225" s="137">
        <f t="shared" si="140"/>
        <v>3176.0800000000008</v>
      </c>
      <c r="M225" s="139">
        <f t="shared" si="140"/>
        <v>3764.7450957261567</v>
      </c>
      <c r="N225" s="137">
        <f t="shared" si="140"/>
        <v>55254.808068301099</v>
      </c>
      <c r="O225" s="137">
        <f t="shared" si="140"/>
        <v>51490.062972574931</v>
      </c>
    </row>
    <row r="226" spans="1:15" ht="13.5" thickTop="1" x14ac:dyDescent="0.2">
      <c r="B226" s="117"/>
      <c r="C226" s="117"/>
      <c r="D226" s="117"/>
      <c r="E226" s="117"/>
      <c r="F226" s="117"/>
      <c r="G226" s="117"/>
      <c r="H226" s="117"/>
      <c r="I226" s="180"/>
      <c r="J226" s="315" t="s">
        <v>15</v>
      </c>
      <c r="K226" s="315"/>
      <c r="L226" s="150" t="s">
        <v>59</v>
      </c>
      <c r="M226" s="181"/>
      <c r="O226" s="117"/>
    </row>
    <row r="227" spans="1:15" ht="38.25" x14ac:dyDescent="0.2">
      <c r="A227" s="90" t="s">
        <v>53</v>
      </c>
      <c r="B227" s="90" t="s">
        <v>3</v>
      </c>
      <c r="C227" s="90" t="s">
        <v>4</v>
      </c>
      <c r="D227" s="90" t="s">
        <v>5</v>
      </c>
      <c r="E227" s="90" t="s">
        <v>6</v>
      </c>
      <c r="F227" s="90" t="s">
        <v>7</v>
      </c>
      <c r="G227" s="90" t="s">
        <v>93</v>
      </c>
      <c r="H227" s="90" t="s">
        <v>94</v>
      </c>
      <c r="I227" s="105" t="s">
        <v>95</v>
      </c>
      <c r="J227" s="106" t="s">
        <v>96</v>
      </c>
      <c r="K227" s="106" t="s">
        <v>97</v>
      </c>
      <c r="L227" s="106" t="s">
        <v>98</v>
      </c>
      <c r="M227" s="107" t="s">
        <v>99</v>
      </c>
      <c r="N227" s="90" t="s">
        <v>100</v>
      </c>
      <c r="O227" s="90" t="s">
        <v>101</v>
      </c>
    </row>
    <row r="228" spans="1:15" x14ac:dyDescent="0.2">
      <c r="A228" s="17" t="s">
        <v>22</v>
      </c>
      <c r="B228" s="81" t="str">
        <f t="shared" ref="B228:B233" si="141">+IF(MONTH(C228)&lt;4,"Q1",IF(MONTH(C228)&lt;7,"Q2",IF(MONTH(C228)&lt;10,"Q3","Q4")))&amp;"/"&amp;YEAR(C228)</f>
        <v>Q4/2015</v>
      </c>
      <c r="C228" s="82">
        <f>VLOOKUP(L226,A$1:F$11,2,FALSE)</f>
        <v>42320</v>
      </c>
      <c r="D228" s="82">
        <f>DATE(YEAR(C228),IF(MONTH(C228)&lt;=3,3,IF(MONTH(C228)&lt;=6,6,IF(MONTH(C228)&lt;=9,9,12))),IF(OR(MONTH(C228)&lt;=3,MONTH(C228)&gt;=10),31,30))</f>
        <v>42369</v>
      </c>
      <c r="E228" s="81">
        <f>D228-C228+1</f>
        <v>50</v>
      </c>
      <c r="F228" s="83">
        <f>VLOOKUP(D228,'FERC Interest Rate'!$A:$B,2,TRUE)</f>
        <v>3.2500000000000001E-2</v>
      </c>
      <c r="G228" s="84">
        <f>VLOOKUP(L226,$A$1:$F$15,5,FALSE)</f>
        <v>1474.19</v>
      </c>
      <c r="H228" s="84">
        <f t="shared" ref="H228:H233" si="142">G228*F228*(E228/(DATE(YEAR(D228),12,31)-DATE(YEAR(D228),1,1)+1))</f>
        <v>6.5631746575342458</v>
      </c>
      <c r="I228" s="173">
        <v>0</v>
      </c>
      <c r="J228" s="85">
        <v>0</v>
      </c>
      <c r="K228" s="129">
        <f t="shared" ref="K228:K252" si="143">+SUM(I228:J228)</f>
        <v>0</v>
      </c>
      <c r="L228" s="85">
        <v>0</v>
      </c>
      <c r="M228" s="130">
        <f t="shared" ref="M228:M252" si="144">+SUM(K228:L228)</f>
        <v>0</v>
      </c>
      <c r="N228" s="8">
        <f t="shared" ref="N228:N252" si="145">+G228+H228+J228</f>
        <v>1480.7531746575344</v>
      </c>
      <c r="O228" s="84">
        <f t="shared" ref="O228:O252" si="146">G228+H228-L228-I228</f>
        <v>1480.7531746575344</v>
      </c>
    </row>
    <row r="229" spans="1:15" x14ac:dyDescent="0.2">
      <c r="A229" s="17" t="s">
        <v>22</v>
      </c>
      <c r="B229" s="81" t="str">
        <f t="shared" si="141"/>
        <v>Q1/2016</v>
      </c>
      <c r="C229" s="82">
        <f>D228+1</f>
        <v>42370</v>
      </c>
      <c r="D229" s="82">
        <f>EOMONTH(D228,3)</f>
        <v>42460</v>
      </c>
      <c r="E229" s="81">
        <f t="shared" ref="E229:E252" si="147">D229-C229+1</f>
        <v>91</v>
      </c>
      <c r="F229" s="83">
        <f>VLOOKUP(D229,'FERC Interest Rate'!$A:$B,2,TRUE)</f>
        <v>3.2500000000000001E-2</v>
      </c>
      <c r="G229" s="84">
        <f t="shared" ref="G229:G252" si="148">O228</f>
        <v>1480.7531746575344</v>
      </c>
      <c r="H229" s="84">
        <f t="shared" si="142"/>
        <v>11.965375721447153</v>
      </c>
      <c r="I229" s="173">
        <v>0</v>
      </c>
      <c r="J229" s="85">
        <v>0</v>
      </c>
      <c r="K229" s="129">
        <f t="shared" si="143"/>
        <v>0</v>
      </c>
      <c r="L229" s="85">
        <v>0</v>
      </c>
      <c r="M229" s="130">
        <f t="shared" si="144"/>
        <v>0</v>
      </c>
      <c r="N229" s="8">
        <f t="shared" si="145"/>
        <v>1492.7185503789815</v>
      </c>
      <c r="O229" s="84">
        <f t="shared" si="146"/>
        <v>1492.7185503789815</v>
      </c>
    </row>
    <row r="230" spans="1:15" x14ac:dyDescent="0.2">
      <c r="A230" s="17" t="s">
        <v>22</v>
      </c>
      <c r="B230" s="81" t="str">
        <f t="shared" si="141"/>
        <v>Q2/2016</v>
      </c>
      <c r="C230" s="82">
        <f t="shared" ref="C230:C252" si="149">D229+1</f>
        <v>42461</v>
      </c>
      <c r="D230" s="82">
        <f t="shared" ref="D230:D252" si="150">EOMONTH(D229,3)</f>
        <v>42551</v>
      </c>
      <c r="E230" s="81">
        <f t="shared" si="147"/>
        <v>91</v>
      </c>
      <c r="F230" s="83">
        <f>VLOOKUP(D230,'FERC Interest Rate'!$A:$B,2,TRUE)</f>
        <v>3.4599999999999999E-2</v>
      </c>
      <c r="G230" s="84">
        <f t="shared" si="148"/>
        <v>1492.7185503789815</v>
      </c>
      <c r="H230" s="84">
        <f t="shared" si="142"/>
        <v>12.841457999243882</v>
      </c>
      <c r="I230" s="173">
        <v>0</v>
      </c>
      <c r="J230" s="85">
        <v>0</v>
      </c>
      <c r="K230" s="129">
        <f t="shared" si="143"/>
        <v>0</v>
      </c>
      <c r="L230" s="85">
        <v>0</v>
      </c>
      <c r="M230" s="130">
        <f t="shared" si="144"/>
        <v>0</v>
      </c>
      <c r="N230" s="8">
        <f t="shared" si="145"/>
        <v>1505.5600083782253</v>
      </c>
      <c r="O230" s="84">
        <f t="shared" si="146"/>
        <v>1505.5600083782253</v>
      </c>
    </row>
    <row r="231" spans="1:15" x14ac:dyDescent="0.2">
      <c r="A231" s="17" t="s">
        <v>22</v>
      </c>
      <c r="B231" s="81" t="str">
        <f t="shared" si="141"/>
        <v>Q3/2016</v>
      </c>
      <c r="C231" s="82">
        <f t="shared" si="149"/>
        <v>42552</v>
      </c>
      <c r="D231" s="82">
        <f t="shared" si="150"/>
        <v>42643</v>
      </c>
      <c r="E231" s="81">
        <f t="shared" si="147"/>
        <v>92</v>
      </c>
      <c r="F231" s="83">
        <f>VLOOKUP(D231,'FERC Interest Rate'!$A:$B,2,TRUE)</f>
        <v>3.5000000000000003E-2</v>
      </c>
      <c r="G231" s="84">
        <f t="shared" si="148"/>
        <v>1505.5600083782253</v>
      </c>
      <c r="H231" s="84">
        <f t="shared" si="142"/>
        <v>13.245637232180016</v>
      </c>
      <c r="I231" s="173">
        <v>0</v>
      </c>
      <c r="J231" s="85">
        <v>0</v>
      </c>
      <c r="K231" s="129">
        <f t="shared" si="143"/>
        <v>0</v>
      </c>
      <c r="L231" s="85">
        <v>0</v>
      </c>
      <c r="M231" s="130">
        <f t="shared" si="144"/>
        <v>0</v>
      </c>
      <c r="N231" s="8">
        <f t="shared" si="145"/>
        <v>1518.8056456104055</v>
      </c>
      <c r="O231" s="84">
        <f t="shared" si="146"/>
        <v>1518.8056456104055</v>
      </c>
    </row>
    <row r="232" spans="1:15" x14ac:dyDescent="0.2">
      <c r="A232" s="17" t="s">
        <v>22</v>
      </c>
      <c r="B232" s="81" t="str">
        <f t="shared" si="141"/>
        <v>Q4/2016</v>
      </c>
      <c r="C232" s="82">
        <f t="shared" si="149"/>
        <v>42644</v>
      </c>
      <c r="D232" s="82">
        <f t="shared" si="150"/>
        <v>42735</v>
      </c>
      <c r="E232" s="81">
        <f t="shared" si="147"/>
        <v>92</v>
      </c>
      <c r="F232" s="83">
        <f>VLOOKUP(D232,'FERC Interest Rate'!$A:$B,2,TRUE)</f>
        <v>3.5000000000000003E-2</v>
      </c>
      <c r="G232" s="84">
        <f t="shared" si="148"/>
        <v>1518.8056456104055</v>
      </c>
      <c r="H232" s="84">
        <f t="shared" si="142"/>
        <v>13.362169887610673</v>
      </c>
      <c r="I232" s="173">
        <v>0</v>
      </c>
      <c r="J232" s="85">
        <v>0</v>
      </c>
      <c r="K232" s="129">
        <f t="shared" si="143"/>
        <v>0</v>
      </c>
      <c r="L232" s="85">
        <v>0</v>
      </c>
      <c r="M232" s="130">
        <f t="shared" si="144"/>
        <v>0</v>
      </c>
      <c r="N232" s="8">
        <f t="shared" si="145"/>
        <v>1532.1678154980161</v>
      </c>
      <c r="O232" s="84">
        <f t="shared" si="146"/>
        <v>1532.1678154980161</v>
      </c>
    </row>
    <row r="233" spans="1:15" x14ac:dyDescent="0.2">
      <c r="A233" s="96" t="s">
        <v>54</v>
      </c>
      <c r="B233" s="81" t="str">
        <f t="shared" si="141"/>
        <v>Q1/2017</v>
      </c>
      <c r="C233" s="82">
        <f t="shared" si="149"/>
        <v>42736</v>
      </c>
      <c r="D233" s="82">
        <f t="shared" si="150"/>
        <v>42825</v>
      </c>
      <c r="E233" s="81">
        <f t="shared" si="147"/>
        <v>90</v>
      </c>
      <c r="F233" s="83">
        <f>VLOOKUP(D233,'FERC Interest Rate'!$A:$B,2,TRUE)</f>
        <v>3.5000000000000003E-2</v>
      </c>
      <c r="G233" s="84">
        <f t="shared" si="148"/>
        <v>1532.1678154980161</v>
      </c>
      <c r="H233" s="84">
        <f t="shared" si="142"/>
        <v>13.222818133750003</v>
      </c>
      <c r="I233" s="173">
        <f>(SUM($H$228:$H$253)/20)</f>
        <v>3.5600316815882991</v>
      </c>
      <c r="J233" s="85">
        <v>0</v>
      </c>
      <c r="K233" s="129">
        <f t="shared" si="143"/>
        <v>3.5600316815882991</v>
      </c>
      <c r="L233" s="85">
        <f t="shared" ref="L233:L252" si="151">VLOOKUP($L$226,A$1:F$11,5,FALSE)/20</f>
        <v>73.709500000000006</v>
      </c>
      <c r="M233" s="130">
        <f t="shared" si="144"/>
        <v>77.269531681588305</v>
      </c>
      <c r="N233" s="8">
        <f t="shared" si="145"/>
        <v>1545.3906336317661</v>
      </c>
      <c r="O233" s="84">
        <f t="shared" si="146"/>
        <v>1468.1211019501779</v>
      </c>
    </row>
    <row r="234" spans="1:15" x14ac:dyDescent="0.2">
      <c r="A234" s="96" t="s">
        <v>55</v>
      </c>
      <c r="B234" s="81" t="str">
        <f>+IF(MONTH(C234)&lt;4,"Q1",IF(MONTH(C234)&lt;7,"Q2",IF(MONTH(C234)&lt;10,"Q3","Q4")))&amp;"/"&amp;YEAR(C234)</f>
        <v>Q2/2017</v>
      </c>
      <c r="C234" s="82">
        <f t="shared" si="149"/>
        <v>42826</v>
      </c>
      <c r="D234" s="82">
        <f t="shared" si="150"/>
        <v>42916</v>
      </c>
      <c r="E234" s="81">
        <f t="shared" si="147"/>
        <v>91</v>
      </c>
      <c r="F234" s="83">
        <f>VLOOKUP(D234,'FERC Interest Rate'!$A:$B,2,TRUE)</f>
        <v>3.7100000000000001E-2</v>
      </c>
      <c r="G234" s="84">
        <f t="shared" si="148"/>
        <v>1468.1211019501779</v>
      </c>
      <c r="H234" s="84">
        <v>0</v>
      </c>
      <c r="I234" s="173">
        <f t="shared" ref="I234:I252" si="152">(SUM($H$228:$H$253)/20)</f>
        <v>3.5600316815882991</v>
      </c>
      <c r="J234" s="85">
        <f t="shared" ref="J234:J252" si="153">G234*F234*(E234/(DATE(YEAR(D234),12,31)-DATE(YEAR(D234),1,1)+1))</f>
        <v>13.579516855599989</v>
      </c>
      <c r="K234" s="129">
        <f t="shared" si="143"/>
        <v>17.13954853718829</v>
      </c>
      <c r="L234" s="85">
        <f t="shared" si="151"/>
        <v>73.709500000000006</v>
      </c>
      <c r="M234" s="130">
        <f t="shared" si="144"/>
        <v>90.849048537188295</v>
      </c>
      <c r="N234" s="8">
        <f t="shared" si="145"/>
        <v>1481.7006188057778</v>
      </c>
      <c r="O234" s="84">
        <f t="shared" si="146"/>
        <v>1390.8515702685897</v>
      </c>
    </row>
    <row r="235" spans="1:15" x14ac:dyDescent="0.2">
      <c r="A235" s="96" t="s">
        <v>56</v>
      </c>
      <c r="B235" s="81" t="str">
        <f>+IF(MONTH(C235)&lt;4,"Q1",IF(MONTH(C235)&lt;7,"Q2",IF(MONTH(C235)&lt;10,"Q3","Q4")))&amp;"/"&amp;YEAR(C235)</f>
        <v>Q3/2017</v>
      </c>
      <c r="C235" s="82">
        <f t="shared" si="149"/>
        <v>42917</v>
      </c>
      <c r="D235" s="82">
        <f t="shared" si="150"/>
        <v>43008</v>
      </c>
      <c r="E235" s="81">
        <f t="shared" si="147"/>
        <v>92</v>
      </c>
      <c r="F235" s="83">
        <f>VLOOKUP(D235,'FERC Interest Rate'!$A:$B,2,TRUE)</f>
        <v>3.9600000000000003E-2</v>
      </c>
      <c r="G235" s="84">
        <f t="shared" si="148"/>
        <v>1390.8515702685897</v>
      </c>
      <c r="H235" s="84">
        <v>0</v>
      </c>
      <c r="I235" s="173">
        <f t="shared" si="152"/>
        <v>3.5600316815882991</v>
      </c>
      <c r="J235" s="85">
        <f t="shared" si="153"/>
        <v>13.882603947404183</v>
      </c>
      <c r="K235" s="129">
        <f t="shared" si="143"/>
        <v>17.442635628992484</v>
      </c>
      <c r="L235" s="85">
        <f t="shared" si="151"/>
        <v>73.709500000000006</v>
      </c>
      <c r="M235" s="130">
        <f t="shared" si="144"/>
        <v>91.152135628992482</v>
      </c>
      <c r="N235" s="8">
        <f t="shared" si="145"/>
        <v>1404.734174215994</v>
      </c>
      <c r="O235" s="84">
        <f t="shared" si="146"/>
        <v>1313.5820385870015</v>
      </c>
    </row>
    <row r="236" spans="1:15" x14ac:dyDescent="0.2">
      <c r="A236" s="96" t="s">
        <v>57</v>
      </c>
      <c r="B236" s="81" t="str">
        <f t="shared" ref="B236:B252" si="154">+IF(MONTH(C236)&lt;4,"Q1",IF(MONTH(C236)&lt;7,"Q2",IF(MONTH(C236)&lt;10,"Q3","Q4")))&amp;"/"&amp;YEAR(C236)</f>
        <v>Q4/2017</v>
      </c>
      <c r="C236" s="82">
        <f t="shared" si="149"/>
        <v>43009</v>
      </c>
      <c r="D236" s="82">
        <f t="shared" si="150"/>
        <v>43100</v>
      </c>
      <c r="E236" s="81">
        <f t="shared" si="147"/>
        <v>92</v>
      </c>
      <c r="F236" s="83">
        <f>VLOOKUP(D236,'FERC Interest Rate'!$A:$B,2,TRUE)</f>
        <v>4.2099999999999999E-2</v>
      </c>
      <c r="G236" s="84">
        <f t="shared" si="148"/>
        <v>1313.5820385870015</v>
      </c>
      <c r="H236" s="84">
        <v>0</v>
      </c>
      <c r="I236" s="173">
        <f t="shared" si="152"/>
        <v>3.5600316815882991</v>
      </c>
      <c r="J236" s="85">
        <f t="shared" si="153"/>
        <v>13.939084799603217</v>
      </c>
      <c r="K236" s="129">
        <f t="shared" si="143"/>
        <v>17.499116481191514</v>
      </c>
      <c r="L236" s="85">
        <f t="shared" si="151"/>
        <v>73.709500000000006</v>
      </c>
      <c r="M236" s="130">
        <f t="shared" si="144"/>
        <v>91.208616481191513</v>
      </c>
      <c r="N236" s="8">
        <f t="shared" si="145"/>
        <v>1327.5211233866048</v>
      </c>
      <c r="O236" s="84">
        <f t="shared" si="146"/>
        <v>1236.3125069054133</v>
      </c>
    </row>
    <row r="237" spans="1:15" x14ac:dyDescent="0.2">
      <c r="A237" s="96" t="s">
        <v>58</v>
      </c>
      <c r="B237" s="81" t="str">
        <f t="shared" si="154"/>
        <v>Q1/2018</v>
      </c>
      <c r="C237" s="82">
        <f t="shared" si="149"/>
        <v>43101</v>
      </c>
      <c r="D237" s="82">
        <f t="shared" si="150"/>
        <v>43190</v>
      </c>
      <c r="E237" s="81">
        <f t="shared" si="147"/>
        <v>90</v>
      </c>
      <c r="F237" s="83">
        <f>VLOOKUP(D237,'FERC Interest Rate'!$A:$B,2,TRUE)</f>
        <v>4.2500000000000003E-2</v>
      </c>
      <c r="G237" s="84">
        <f t="shared" si="148"/>
        <v>1236.3125069054133</v>
      </c>
      <c r="H237" s="84">
        <v>0</v>
      </c>
      <c r="I237" s="109">
        <f t="shared" si="152"/>
        <v>3.5600316815882991</v>
      </c>
      <c r="J237" s="85">
        <f t="shared" si="153"/>
        <v>12.955877640858098</v>
      </c>
      <c r="K237" s="129">
        <f t="shared" si="143"/>
        <v>16.515909322446397</v>
      </c>
      <c r="L237" s="85">
        <f t="shared" si="151"/>
        <v>73.709500000000006</v>
      </c>
      <c r="M237" s="130">
        <f t="shared" si="144"/>
        <v>90.22540932244641</v>
      </c>
      <c r="N237" s="8">
        <f t="shared" si="145"/>
        <v>1249.2683845462714</v>
      </c>
      <c r="O237" s="84">
        <f t="shared" si="146"/>
        <v>1159.0429752238251</v>
      </c>
    </row>
    <row r="238" spans="1:15" x14ac:dyDescent="0.2">
      <c r="A238" s="96" t="s">
        <v>59</v>
      </c>
      <c r="B238" s="81" t="str">
        <f t="shared" si="154"/>
        <v>Q2/2018</v>
      </c>
      <c r="C238" s="82">
        <f t="shared" si="149"/>
        <v>43191</v>
      </c>
      <c r="D238" s="82">
        <f t="shared" si="150"/>
        <v>43281</v>
      </c>
      <c r="E238" s="81">
        <f t="shared" si="147"/>
        <v>91</v>
      </c>
      <c r="F238" s="83">
        <f>VLOOKUP(D238,'FERC Interest Rate'!$A:$B,2,TRUE)</f>
        <v>4.4699999999999997E-2</v>
      </c>
      <c r="G238" s="84">
        <f t="shared" si="148"/>
        <v>1159.0429752238251</v>
      </c>
      <c r="H238" s="84">
        <v>0</v>
      </c>
      <c r="I238" s="109">
        <f t="shared" si="152"/>
        <v>3.5600316815882991</v>
      </c>
      <c r="J238" s="85">
        <f t="shared" si="153"/>
        <v>12.916819480323159</v>
      </c>
      <c r="K238" s="129">
        <f t="shared" si="143"/>
        <v>16.476851161911458</v>
      </c>
      <c r="L238" s="85">
        <f t="shared" si="151"/>
        <v>73.709500000000006</v>
      </c>
      <c r="M238" s="130">
        <f t="shared" si="144"/>
        <v>90.18635116191146</v>
      </c>
      <c r="N238" s="8">
        <f t="shared" si="145"/>
        <v>1171.9597947041482</v>
      </c>
      <c r="O238" s="84">
        <f t="shared" si="146"/>
        <v>1081.7734435422369</v>
      </c>
    </row>
    <row r="239" spans="1:15" x14ac:dyDescent="0.2">
      <c r="A239" s="96" t="s">
        <v>60</v>
      </c>
      <c r="B239" s="81" t="str">
        <f t="shared" si="154"/>
        <v>Q3/2018</v>
      </c>
      <c r="C239" s="82">
        <f t="shared" si="149"/>
        <v>43282</v>
      </c>
      <c r="D239" s="82">
        <f t="shared" si="150"/>
        <v>43373</v>
      </c>
      <c r="E239" s="81">
        <f t="shared" si="147"/>
        <v>92</v>
      </c>
      <c r="F239" s="83">
        <f>VLOOKUP(D239,'FERC Interest Rate'!$A:$B,2,TRUE)</f>
        <v>5.011111E-2</v>
      </c>
      <c r="G239" s="84">
        <f t="shared" si="148"/>
        <v>1081.7734435422369</v>
      </c>
      <c r="H239" s="84">
        <v>0</v>
      </c>
      <c r="I239" s="109">
        <f t="shared" si="152"/>
        <v>3.5600316815882991</v>
      </c>
      <c r="J239" s="85">
        <f t="shared" si="153"/>
        <v>13.66360509108765</v>
      </c>
      <c r="K239" s="129">
        <f t="shared" si="143"/>
        <v>17.223636772675949</v>
      </c>
      <c r="L239" s="85">
        <f t="shared" si="151"/>
        <v>73.709500000000006</v>
      </c>
      <c r="M239" s="130">
        <f t="shared" si="144"/>
        <v>90.933136772675951</v>
      </c>
      <c r="N239" s="8">
        <f t="shared" si="145"/>
        <v>1095.4370486333246</v>
      </c>
      <c r="O239" s="84">
        <f t="shared" si="146"/>
        <v>1004.5039118606486</v>
      </c>
    </row>
    <row r="240" spans="1:15" x14ac:dyDescent="0.2">
      <c r="A240" s="96" t="s">
        <v>61</v>
      </c>
      <c r="B240" s="81" t="str">
        <f t="shared" si="154"/>
        <v>Q4/2018</v>
      </c>
      <c r="C240" s="82">
        <f t="shared" si="149"/>
        <v>43374</v>
      </c>
      <c r="D240" s="82">
        <f t="shared" si="150"/>
        <v>43465</v>
      </c>
      <c r="E240" s="81">
        <f t="shared" si="147"/>
        <v>92</v>
      </c>
      <c r="F240" s="83">
        <f>VLOOKUP(D240,'FERC Interest Rate'!$A:$B,2,TRUE)</f>
        <v>5.2822580000000001E-2</v>
      </c>
      <c r="G240" s="84">
        <f t="shared" si="148"/>
        <v>1004.5039118606486</v>
      </c>
      <c r="H240" s="84">
        <v>0</v>
      </c>
      <c r="I240" s="109">
        <f t="shared" si="152"/>
        <v>3.5600316815882991</v>
      </c>
      <c r="J240" s="85">
        <f t="shared" si="153"/>
        <v>13.374150461645563</v>
      </c>
      <c r="K240" s="129">
        <f t="shared" si="143"/>
        <v>16.934182143233862</v>
      </c>
      <c r="L240" s="85">
        <f t="shared" si="151"/>
        <v>73.709500000000006</v>
      </c>
      <c r="M240" s="130">
        <f t="shared" si="144"/>
        <v>90.64368214323386</v>
      </c>
      <c r="N240" s="8">
        <f t="shared" si="145"/>
        <v>1017.8780623222941</v>
      </c>
      <c r="O240" s="84">
        <f t="shared" si="146"/>
        <v>927.23438017906028</v>
      </c>
    </row>
    <row r="241" spans="1:15" x14ac:dyDescent="0.2">
      <c r="A241" s="96" t="s">
        <v>62</v>
      </c>
      <c r="B241" s="81" t="str">
        <f t="shared" si="154"/>
        <v>Q1/2019</v>
      </c>
      <c r="C241" s="82">
        <f t="shared" si="149"/>
        <v>43466</v>
      </c>
      <c r="D241" s="82">
        <f t="shared" si="150"/>
        <v>43555</v>
      </c>
      <c r="E241" s="81">
        <f t="shared" si="147"/>
        <v>90</v>
      </c>
      <c r="F241" s="83">
        <f>VLOOKUP(D241,'FERC Interest Rate'!$A:$B,2,TRUE)</f>
        <v>5.5296770000000002E-2</v>
      </c>
      <c r="G241" s="84">
        <f t="shared" si="148"/>
        <v>927.23438017906028</v>
      </c>
      <c r="H241" s="84">
        <v>0</v>
      </c>
      <c r="I241" s="109">
        <f t="shared" si="152"/>
        <v>3.5600316815882991</v>
      </c>
      <c r="J241" s="85">
        <f t="shared" si="153"/>
        <v>12.642673871553054</v>
      </c>
      <c r="K241" s="129">
        <f t="shared" si="143"/>
        <v>16.202705553141353</v>
      </c>
      <c r="L241" s="85">
        <f t="shared" si="151"/>
        <v>73.709500000000006</v>
      </c>
      <c r="M241" s="130">
        <f t="shared" si="144"/>
        <v>89.912205553141362</v>
      </c>
      <c r="N241" s="8">
        <f t="shared" si="145"/>
        <v>939.87705405061331</v>
      </c>
      <c r="O241" s="84">
        <f t="shared" si="146"/>
        <v>849.96484849747196</v>
      </c>
    </row>
    <row r="242" spans="1:15" x14ac:dyDescent="0.2">
      <c r="A242" s="96" t="s">
        <v>63</v>
      </c>
      <c r="B242" s="81" t="str">
        <f t="shared" si="154"/>
        <v>Q2/2019</v>
      </c>
      <c r="C242" s="82">
        <f t="shared" si="149"/>
        <v>43556</v>
      </c>
      <c r="D242" s="82">
        <f t="shared" si="150"/>
        <v>43646</v>
      </c>
      <c r="E242" s="81">
        <f t="shared" si="147"/>
        <v>91</v>
      </c>
      <c r="F242" s="83">
        <f>VLOOKUP(D242,'FERC Interest Rate'!$A:$B,2,TRUE)</f>
        <v>5.7999999999999996E-2</v>
      </c>
      <c r="G242" s="84">
        <f t="shared" si="148"/>
        <v>849.96484849747196</v>
      </c>
      <c r="H242" s="84">
        <v>0</v>
      </c>
      <c r="I242" s="109">
        <f t="shared" si="152"/>
        <v>3.5600316815882991</v>
      </c>
      <c r="J242" s="85">
        <f t="shared" si="153"/>
        <v>12.290724576355224</v>
      </c>
      <c r="K242" s="129">
        <f t="shared" si="143"/>
        <v>15.850756257943523</v>
      </c>
      <c r="L242" s="85">
        <f t="shared" si="151"/>
        <v>73.709500000000006</v>
      </c>
      <c r="M242" s="130">
        <f t="shared" si="144"/>
        <v>89.560256257943536</v>
      </c>
      <c r="N242" s="8">
        <f t="shared" si="145"/>
        <v>862.25557307382724</v>
      </c>
      <c r="O242" s="84">
        <f t="shared" si="146"/>
        <v>772.69531681588364</v>
      </c>
    </row>
    <row r="243" spans="1:15" x14ac:dyDescent="0.2">
      <c r="A243" s="96" t="s">
        <v>64</v>
      </c>
      <c r="B243" s="81" t="str">
        <f t="shared" si="154"/>
        <v>Q3/2019</v>
      </c>
      <c r="C243" s="82">
        <f t="shared" si="149"/>
        <v>43647</v>
      </c>
      <c r="D243" s="82">
        <f t="shared" si="150"/>
        <v>43738</v>
      </c>
      <c r="E243" s="81">
        <f t="shared" si="147"/>
        <v>92</v>
      </c>
      <c r="F243" s="83">
        <f>VLOOKUP(D243,'FERC Interest Rate'!$A:$B,2,TRUE)</f>
        <v>0.06</v>
      </c>
      <c r="G243" s="84">
        <f t="shared" si="148"/>
        <v>772.69531681588364</v>
      </c>
      <c r="H243" s="84">
        <v>0</v>
      </c>
      <c r="I243" s="109">
        <f t="shared" si="152"/>
        <v>3.5600316815882991</v>
      </c>
      <c r="J243" s="85">
        <f t="shared" si="153"/>
        <v>11.685693558421034</v>
      </c>
      <c r="K243" s="129">
        <f t="shared" si="143"/>
        <v>15.245725240009333</v>
      </c>
      <c r="L243" s="85">
        <f t="shared" si="151"/>
        <v>73.709500000000006</v>
      </c>
      <c r="M243" s="130">
        <f t="shared" si="144"/>
        <v>88.955225240009341</v>
      </c>
      <c r="N243" s="8">
        <f t="shared" si="145"/>
        <v>784.38101037430465</v>
      </c>
      <c r="O243" s="84">
        <f t="shared" si="146"/>
        <v>695.42578513429532</v>
      </c>
    </row>
    <row r="244" spans="1:15" x14ac:dyDescent="0.2">
      <c r="A244" s="96" t="s">
        <v>65</v>
      </c>
      <c r="B244" s="81" t="str">
        <f t="shared" si="154"/>
        <v>Q4/2019</v>
      </c>
      <c r="C244" s="82">
        <f t="shared" si="149"/>
        <v>43739</v>
      </c>
      <c r="D244" s="82">
        <f t="shared" si="150"/>
        <v>43830</v>
      </c>
      <c r="E244" s="81">
        <f t="shared" si="147"/>
        <v>92</v>
      </c>
      <c r="F244" s="83">
        <f>VLOOKUP(D244,'FERC Interest Rate'!$A:$B,2,TRUE)</f>
        <v>6.0349460000000001E-2</v>
      </c>
      <c r="G244" s="84">
        <f t="shared" si="148"/>
        <v>695.42578513429532</v>
      </c>
      <c r="H244" s="84">
        <v>0</v>
      </c>
      <c r="I244" s="109">
        <f t="shared" si="152"/>
        <v>3.5600316815882991</v>
      </c>
      <c r="J244" s="85">
        <f t="shared" si="153"/>
        <v>10.578379439642822</v>
      </c>
      <c r="K244" s="129">
        <f t="shared" si="143"/>
        <v>14.138411121231121</v>
      </c>
      <c r="L244" s="85">
        <f t="shared" si="151"/>
        <v>73.709500000000006</v>
      </c>
      <c r="M244" s="130">
        <f t="shared" si="144"/>
        <v>87.847911121231121</v>
      </c>
      <c r="N244" s="8">
        <f t="shared" si="145"/>
        <v>706.00416457393817</v>
      </c>
      <c r="O244" s="84">
        <f t="shared" si="146"/>
        <v>618.15625345270701</v>
      </c>
    </row>
    <row r="245" spans="1:15" x14ac:dyDescent="0.2">
      <c r="A245" s="96" t="s">
        <v>66</v>
      </c>
      <c r="B245" s="81" t="str">
        <f t="shared" si="154"/>
        <v>Q1/2020</v>
      </c>
      <c r="C245" s="82">
        <f t="shared" si="149"/>
        <v>43831</v>
      </c>
      <c r="D245" s="82">
        <f t="shared" si="150"/>
        <v>43921</v>
      </c>
      <c r="E245" s="81">
        <f t="shared" si="147"/>
        <v>91</v>
      </c>
      <c r="F245" s="83">
        <f>VLOOKUP(D245,'FERC Interest Rate'!$A:$B,2,TRUE)</f>
        <v>6.2501040000000008E-2</v>
      </c>
      <c r="G245" s="84">
        <f t="shared" si="148"/>
        <v>618.15625345270701</v>
      </c>
      <c r="H245" s="84">
        <v>0</v>
      </c>
      <c r="I245" s="109">
        <f t="shared" si="152"/>
        <v>3.5600316815882991</v>
      </c>
      <c r="J245" s="85">
        <f t="shared" si="153"/>
        <v>9.6060715678144764</v>
      </c>
      <c r="K245" s="129">
        <f t="shared" si="143"/>
        <v>13.166103249402775</v>
      </c>
      <c r="L245" s="85">
        <f t="shared" si="151"/>
        <v>73.709500000000006</v>
      </c>
      <c r="M245" s="130">
        <f t="shared" si="144"/>
        <v>86.875603249402786</v>
      </c>
      <c r="N245" s="8">
        <f t="shared" si="145"/>
        <v>627.76232502052153</v>
      </c>
      <c r="O245" s="84">
        <f t="shared" si="146"/>
        <v>540.88672177111869</v>
      </c>
    </row>
    <row r="246" spans="1:15" x14ac:dyDescent="0.2">
      <c r="A246" s="96" t="s">
        <v>67</v>
      </c>
      <c r="B246" s="81" t="str">
        <f t="shared" si="154"/>
        <v>Q2/2020</v>
      </c>
      <c r="C246" s="82">
        <f t="shared" si="149"/>
        <v>43922</v>
      </c>
      <c r="D246" s="82">
        <f t="shared" si="150"/>
        <v>44012</v>
      </c>
      <c r="E246" s="81">
        <f t="shared" si="147"/>
        <v>91</v>
      </c>
      <c r="F246" s="83">
        <f>VLOOKUP(D246,'FERC Interest Rate'!$A:$B,2,TRUE)</f>
        <v>6.3055559999999997E-2</v>
      </c>
      <c r="G246" s="84">
        <f t="shared" si="148"/>
        <v>540.88672177111869</v>
      </c>
      <c r="H246" s="84">
        <v>0</v>
      </c>
      <c r="I246" s="109">
        <f t="shared" si="152"/>
        <v>3.5600316815882991</v>
      </c>
      <c r="J246" s="85">
        <f t="shared" si="153"/>
        <v>8.4798860042175672</v>
      </c>
      <c r="K246" s="129">
        <f t="shared" si="143"/>
        <v>12.039917685805866</v>
      </c>
      <c r="L246" s="85">
        <f t="shared" si="151"/>
        <v>73.709500000000006</v>
      </c>
      <c r="M246" s="130">
        <f t="shared" si="144"/>
        <v>85.749417685805867</v>
      </c>
      <c r="N246" s="8">
        <f t="shared" si="145"/>
        <v>549.36660777533621</v>
      </c>
      <c r="O246" s="84">
        <f t="shared" si="146"/>
        <v>463.61719008953037</v>
      </c>
    </row>
    <row r="247" spans="1:15" x14ac:dyDescent="0.2">
      <c r="A247" s="96" t="s">
        <v>68</v>
      </c>
      <c r="B247" s="81" t="str">
        <f t="shared" si="154"/>
        <v>Q3/2020</v>
      </c>
      <c r="C247" s="82">
        <f t="shared" si="149"/>
        <v>44013</v>
      </c>
      <c r="D247" s="82">
        <f t="shared" si="150"/>
        <v>44104</v>
      </c>
      <c r="E247" s="81">
        <f t="shared" si="147"/>
        <v>92</v>
      </c>
      <c r="F247" s="83">
        <f>VLOOKUP(D247,'FERC Interest Rate'!$A:$B,2,TRUE)</f>
        <v>6.5000000000000002E-2</v>
      </c>
      <c r="G247" s="84">
        <f t="shared" si="148"/>
        <v>463.61719008953037</v>
      </c>
      <c r="H247" s="84">
        <v>0</v>
      </c>
      <c r="I247" s="109">
        <f t="shared" si="152"/>
        <v>3.5600316815882991</v>
      </c>
      <c r="J247" s="85">
        <f t="shared" si="153"/>
        <v>7.5749475320639119</v>
      </c>
      <c r="K247" s="129">
        <f t="shared" si="143"/>
        <v>11.134979213652212</v>
      </c>
      <c r="L247" s="85">
        <f t="shared" si="151"/>
        <v>73.709500000000006</v>
      </c>
      <c r="M247" s="130">
        <f t="shared" si="144"/>
        <v>84.844479213652221</v>
      </c>
      <c r="N247" s="8">
        <f t="shared" si="145"/>
        <v>471.19213762159427</v>
      </c>
      <c r="O247" s="84">
        <f t="shared" si="146"/>
        <v>386.34765840794205</v>
      </c>
    </row>
    <row r="248" spans="1:15" x14ac:dyDescent="0.2">
      <c r="A248" s="96" t="s">
        <v>69</v>
      </c>
      <c r="B248" s="81" t="str">
        <f t="shared" si="154"/>
        <v>Q4/2020</v>
      </c>
      <c r="C248" s="82">
        <f t="shared" si="149"/>
        <v>44105</v>
      </c>
      <c r="D248" s="82">
        <f t="shared" si="150"/>
        <v>44196</v>
      </c>
      <c r="E248" s="81">
        <f t="shared" si="147"/>
        <v>92</v>
      </c>
      <c r="F248" s="83">
        <f>VLOOKUP(D248,'FERC Interest Rate'!$A:$B,2,TRUE)</f>
        <v>6.5000000000000002E-2</v>
      </c>
      <c r="G248" s="84">
        <f t="shared" si="148"/>
        <v>386.34765840794205</v>
      </c>
      <c r="H248" s="84">
        <v>0</v>
      </c>
      <c r="I248" s="109">
        <f t="shared" si="152"/>
        <v>3.5600316815882991</v>
      </c>
      <c r="J248" s="85">
        <f t="shared" si="153"/>
        <v>6.3124562767199279</v>
      </c>
      <c r="K248" s="129">
        <f t="shared" si="143"/>
        <v>9.872487958308227</v>
      </c>
      <c r="L248" s="85">
        <f t="shared" si="151"/>
        <v>73.709500000000006</v>
      </c>
      <c r="M248" s="130">
        <f t="shared" si="144"/>
        <v>83.581987958308233</v>
      </c>
      <c r="N248" s="8">
        <f t="shared" si="145"/>
        <v>392.66011468466195</v>
      </c>
      <c r="O248" s="84">
        <f t="shared" si="146"/>
        <v>309.07812672635373</v>
      </c>
    </row>
    <row r="249" spans="1:15" x14ac:dyDescent="0.2">
      <c r="A249" s="96" t="s">
        <v>70</v>
      </c>
      <c r="B249" s="81" t="str">
        <f t="shared" si="154"/>
        <v>Q1/2021</v>
      </c>
      <c r="C249" s="82">
        <f t="shared" si="149"/>
        <v>44197</v>
      </c>
      <c r="D249" s="82">
        <f t="shared" si="150"/>
        <v>44286</v>
      </c>
      <c r="E249" s="81">
        <f t="shared" si="147"/>
        <v>90</v>
      </c>
      <c r="F249" s="83">
        <f>VLOOKUP(D249,'FERC Interest Rate'!$A:$B,2,TRUE)</f>
        <v>6.5000000000000002E-2</v>
      </c>
      <c r="G249" s="84">
        <f t="shared" si="148"/>
        <v>309.07812672635373</v>
      </c>
      <c r="H249" s="84">
        <v>0</v>
      </c>
      <c r="I249" s="109">
        <f t="shared" si="152"/>
        <v>3.5600316815882991</v>
      </c>
      <c r="J249" s="85">
        <f t="shared" si="153"/>
        <v>4.9537179215045732</v>
      </c>
      <c r="K249" s="129">
        <f t="shared" si="143"/>
        <v>8.5137496030928723</v>
      </c>
      <c r="L249" s="85">
        <f t="shared" si="151"/>
        <v>73.709500000000006</v>
      </c>
      <c r="M249" s="130">
        <f t="shared" si="144"/>
        <v>82.223249603092881</v>
      </c>
      <c r="N249" s="8">
        <f t="shared" si="145"/>
        <v>314.03184464785829</v>
      </c>
      <c r="O249" s="84">
        <f t="shared" si="146"/>
        <v>231.80859504476544</v>
      </c>
    </row>
    <row r="250" spans="1:15" x14ac:dyDescent="0.2">
      <c r="A250" s="96" t="s">
        <v>71</v>
      </c>
      <c r="B250" s="81" t="str">
        <f t="shared" si="154"/>
        <v>Q2/2021</v>
      </c>
      <c r="C250" s="82">
        <f t="shared" si="149"/>
        <v>44287</v>
      </c>
      <c r="D250" s="82">
        <f t="shared" si="150"/>
        <v>44377</v>
      </c>
      <c r="E250" s="81">
        <f t="shared" si="147"/>
        <v>91</v>
      </c>
      <c r="F250" s="83">
        <f>VLOOKUP(D250,'FERC Interest Rate'!$A:$B,2,TRUE)</f>
        <v>6.5000000000000002E-2</v>
      </c>
      <c r="G250" s="84">
        <f t="shared" si="148"/>
        <v>231.80859504476544</v>
      </c>
      <c r="H250" s="84">
        <v>0</v>
      </c>
      <c r="I250" s="109">
        <f t="shared" si="152"/>
        <v>3.5600316815882991</v>
      </c>
      <c r="J250" s="85">
        <f t="shared" si="153"/>
        <v>3.7565694238076373</v>
      </c>
      <c r="K250" s="129">
        <f t="shared" si="143"/>
        <v>7.3166011053959359</v>
      </c>
      <c r="L250" s="85">
        <f t="shared" si="151"/>
        <v>73.709500000000006</v>
      </c>
      <c r="M250" s="130">
        <f t="shared" si="144"/>
        <v>81.026101105395938</v>
      </c>
      <c r="N250" s="8">
        <f t="shared" si="145"/>
        <v>235.56516446857307</v>
      </c>
      <c r="O250" s="84">
        <f t="shared" si="146"/>
        <v>154.53906336317712</v>
      </c>
    </row>
    <row r="251" spans="1:15" x14ac:dyDescent="0.2">
      <c r="A251" s="96" t="s">
        <v>72</v>
      </c>
      <c r="B251" s="81" t="str">
        <f t="shared" si="154"/>
        <v>Q3/2021</v>
      </c>
      <c r="C251" s="82">
        <f t="shared" si="149"/>
        <v>44378</v>
      </c>
      <c r="D251" s="82">
        <f t="shared" si="150"/>
        <v>44469</v>
      </c>
      <c r="E251" s="81">
        <f t="shared" si="147"/>
        <v>92</v>
      </c>
      <c r="F251" s="83">
        <f>VLOOKUP(D251,'FERC Interest Rate'!$A:$B,2,TRUE)</f>
        <v>6.5000000000000002E-2</v>
      </c>
      <c r="G251" s="84">
        <f t="shared" si="148"/>
        <v>154.53906336317712</v>
      </c>
      <c r="H251" s="84">
        <v>0</v>
      </c>
      <c r="I251" s="109">
        <f t="shared" si="152"/>
        <v>3.5600316815882991</v>
      </c>
      <c r="J251" s="85">
        <f t="shared" si="153"/>
        <v>2.5319002709912311</v>
      </c>
      <c r="K251" s="129">
        <f t="shared" si="143"/>
        <v>6.0919319525795306</v>
      </c>
      <c r="L251" s="85">
        <f t="shared" si="151"/>
        <v>73.709500000000006</v>
      </c>
      <c r="M251" s="130">
        <f t="shared" si="144"/>
        <v>79.801431952579534</v>
      </c>
      <c r="N251" s="8">
        <f t="shared" si="145"/>
        <v>157.07096363416835</v>
      </c>
      <c r="O251" s="84">
        <f t="shared" si="146"/>
        <v>77.269531681588816</v>
      </c>
    </row>
    <row r="252" spans="1:15" x14ac:dyDescent="0.2">
      <c r="A252" s="96" t="s">
        <v>73</v>
      </c>
      <c r="B252" s="81" t="str">
        <f t="shared" si="154"/>
        <v>Q4/2021</v>
      </c>
      <c r="C252" s="82">
        <f t="shared" si="149"/>
        <v>44470</v>
      </c>
      <c r="D252" s="82">
        <f t="shared" si="150"/>
        <v>44561</v>
      </c>
      <c r="E252" s="81">
        <f t="shared" si="147"/>
        <v>92</v>
      </c>
      <c r="F252" s="83">
        <f>VLOOKUP(D252,'FERC Interest Rate'!$A:$B,2,TRUE)</f>
        <v>6.5000000000000002E-2</v>
      </c>
      <c r="G252" s="84">
        <f t="shared" si="148"/>
        <v>77.269531681588816</v>
      </c>
      <c r="H252" s="84">
        <v>0</v>
      </c>
      <c r="I252" s="109">
        <f t="shared" si="152"/>
        <v>3.5600316815882991</v>
      </c>
      <c r="J252" s="85">
        <f t="shared" si="153"/>
        <v>1.2659501354956195</v>
      </c>
      <c r="K252" s="129">
        <f t="shared" si="143"/>
        <v>4.8259818170839184</v>
      </c>
      <c r="L252" s="85">
        <f t="shared" si="151"/>
        <v>73.709500000000006</v>
      </c>
      <c r="M252" s="130">
        <f t="shared" si="144"/>
        <v>78.53548181708392</v>
      </c>
      <c r="N252" s="8">
        <f t="shared" si="145"/>
        <v>78.535481817084431</v>
      </c>
      <c r="O252" s="84">
        <f t="shared" si="146"/>
        <v>5.1159076974727213E-13</v>
      </c>
    </row>
    <row r="253" spans="1:15" x14ac:dyDescent="0.2">
      <c r="A253" s="96"/>
      <c r="B253" s="81"/>
      <c r="C253" s="82"/>
      <c r="D253" s="82"/>
      <c r="E253" s="81"/>
      <c r="F253" s="83"/>
      <c r="G253" s="84"/>
      <c r="H253" s="84"/>
      <c r="I253" s="109"/>
      <c r="J253" s="85"/>
      <c r="K253" s="129"/>
      <c r="L253" s="85"/>
      <c r="M253" s="130"/>
      <c r="N253" s="8"/>
      <c r="O253" s="84"/>
    </row>
    <row r="254" spans="1:15" ht="13.5" thickBot="1" x14ac:dyDescent="0.25">
      <c r="A254" s="151"/>
      <c r="B254" s="152"/>
      <c r="C254" s="153"/>
      <c r="D254" s="153"/>
      <c r="E254" s="154"/>
      <c r="F254" s="152"/>
      <c r="G254" s="137">
        <f t="shared" ref="G254:O254" si="155">SUM(G228:G253)</f>
        <v>23685.406214024944</v>
      </c>
      <c r="H254" s="137">
        <f t="shared" si="155"/>
        <v>71.200633631765982</v>
      </c>
      <c r="I254" s="138">
        <f t="shared" si="155"/>
        <v>71.200633631765982</v>
      </c>
      <c r="J254" s="137">
        <f t="shared" si="155"/>
        <v>185.99062885510889</v>
      </c>
      <c r="K254" s="137">
        <f t="shared" si="155"/>
        <v>257.1912624868749</v>
      </c>
      <c r="L254" s="137">
        <f t="shared" si="155"/>
        <v>1474.1899999999998</v>
      </c>
      <c r="M254" s="139">
        <f t="shared" si="155"/>
        <v>1731.3812624868751</v>
      </c>
      <c r="N254" s="137">
        <f t="shared" si="155"/>
        <v>23942.597476511823</v>
      </c>
      <c r="O254" s="137">
        <f t="shared" si="155"/>
        <v>22211.216214024949</v>
      </c>
    </row>
    <row r="255" spans="1:15" ht="14.25" thickTop="1" thickBot="1" x14ac:dyDescent="0.25">
      <c r="I255" s="231"/>
      <c r="J255" s="232"/>
      <c r="K255" s="232"/>
      <c r="L255" s="232"/>
      <c r="M255" s="233"/>
    </row>
  </sheetData>
  <mergeCells count="8">
    <mergeCell ref="J196:K196"/>
    <mergeCell ref="J226:K226"/>
    <mergeCell ref="A41:F41"/>
    <mergeCell ref="J13:K13"/>
    <mergeCell ref="J100:K100"/>
    <mergeCell ref="J133:K133"/>
    <mergeCell ref="J165:K165"/>
    <mergeCell ref="J66:K66"/>
  </mergeCells>
  <pageMargins left="0.7" right="0.7" top="0.75" bottom="0.75" header="0.3" footer="0.3"/>
  <pageSetup scale="54" fitToHeight="0" orientation="landscape" r:id="rId1"/>
  <headerFooter alignWithMargins="0">
    <oddHeader>&amp;RTO2019 Annual Update
Attachment 4
WP Schedule 22
Page &amp;P of &amp;N</oddHeader>
    <oddFooter>&amp;R&amp;A</oddFooter>
  </headerFooter>
  <rowBreaks count="3" manualBreakCount="3">
    <brk id="65" max="14" man="1"/>
    <brk id="132" max="14" man="1"/>
    <brk id="195" max="14"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206"/>
  <sheetViews>
    <sheetView zoomScale="80" zoomScaleNormal="80" workbookViewId="0"/>
  </sheetViews>
  <sheetFormatPr defaultColWidth="9.140625" defaultRowHeight="12.75" x14ac:dyDescent="0.2"/>
  <cols>
    <col min="1" max="1" width="11.85546875" style="6" customWidth="1"/>
    <col min="2" max="2" width="13.5703125" style="6" customWidth="1"/>
    <col min="3" max="4" width="13.42578125" style="6" customWidth="1"/>
    <col min="5" max="5" width="14.140625" style="6" customWidth="1"/>
    <col min="6" max="6" width="14.7109375" style="6" customWidth="1"/>
    <col min="7" max="7" width="15.140625" style="6" bestFit="1" customWidth="1"/>
    <col min="8" max="8" width="16.28515625" style="6" customWidth="1"/>
    <col min="9" max="9" width="22.7109375" style="6" customWidth="1"/>
    <col min="10" max="10" width="17.7109375" style="6" customWidth="1"/>
    <col min="11" max="15" width="16.28515625" style="6" customWidth="1"/>
    <col min="16" max="16" width="2.7109375" style="6" customWidth="1"/>
    <col min="17" max="18" width="15" style="6" customWidth="1"/>
    <col min="19" max="22" width="15.28515625" style="6" customWidth="1"/>
    <col min="23" max="23" width="10.28515625" style="6" bestFit="1" customWidth="1"/>
    <col min="24" max="16384" width="9.140625" style="6"/>
  </cols>
  <sheetData>
    <row r="1" spans="1:24" ht="38.25" x14ac:dyDescent="0.2">
      <c r="A1" s="101" t="s">
        <v>8</v>
      </c>
      <c r="B1" s="102" t="s">
        <v>88</v>
      </c>
      <c r="C1" s="101" t="s">
        <v>2</v>
      </c>
      <c r="D1" s="101" t="s">
        <v>1</v>
      </c>
      <c r="E1" s="102" t="s">
        <v>74</v>
      </c>
      <c r="F1" s="102" t="s">
        <v>48</v>
      </c>
    </row>
    <row r="2" spans="1:24" x14ac:dyDescent="0.2">
      <c r="A2" s="96" t="s">
        <v>54</v>
      </c>
      <c r="B2" s="228">
        <v>42172</v>
      </c>
      <c r="C2" s="55">
        <v>145335</v>
      </c>
      <c r="D2" s="55">
        <v>0</v>
      </c>
      <c r="E2" s="55">
        <v>76013</v>
      </c>
      <c r="F2" s="7">
        <f>SUM(C2:E2)</f>
        <v>221348</v>
      </c>
    </row>
    <row r="3" spans="1:24" x14ac:dyDescent="0.2">
      <c r="A3" s="96" t="s">
        <v>55</v>
      </c>
      <c r="B3" s="18">
        <v>42201</v>
      </c>
      <c r="C3" s="55">
        <v>91779</v>
      </c>
      <c r="D3" s="55">
        <v>0</v>
      </c>
      <c r="E3" s="55">
        <v>48001</v>
      </c>
      <c r="F3" s="7">
        <f t="shared" ref="F3:F6" si="0">SUM(C3:E3)</f>
        <v>139780</v>
      </c>
    </row>
    <row r="4" spans="1:24" x14ac:dyDescent="0.2">
      <c r="A4" s="96" t="s">
        <v>56</v>
      </c>
      <c r="B4" s="18">
        <v>42262</v>
      </c>
      <c r="C4" s="55">
        <v>111285</v>
      </c>
      <c r="D4" s="55">
        <v>0</v>
      </c>
      <c r="E4" s="55">
        <v>58203</v>
      </c>
      <c r="F4" s="7">
        <f t="shared" si="0"/>
        <v>169488</v>
      </c>
    </row>
    <row r="5" spans="1:24" x14ac:dyDescent="0.2">
      <c r="A5" s="96" t="s">
        <v>57</v>
      </c>
      <c r="B5" s="18">
        <v>42299</v>
      </c>
      <c r="C5" s="55">
        <v>118991</v>
      </c>
      <c r="D5" s="55">
        <v>0</v>
      </c>
      <c r="E5" s="55">
        <v>62233</v>
      </c>
      <c r="F5" s="7">
        <f t="shared" si="0"/>
        <v>181224</v>
      </c>
    </row>
    <row r="6" spans="1:24" x14ac:dyDescent="0.2">
      <c r="A6" s="96" t="s">
        <v>58</v>
      </c>
      <c r="B6" s="18">
        <v>42298</v>
      </c>
      <c r="C6" s="55">
        <v>41253.83401279027</v>
      </c>
      <c r="D6" s="55">
        <v>0</v>
      </c>
      <c r="E6" s="55">
        <v>21576.165987209733</v>
      </c>
      <c r="F6" s="7">
        <f t="shared" si="0"/>
        <v>62830</v>
      </c>
    </row>
    <row r="7" spans="1:24" ht="13.5" thickBot="1" x14ac:dyDescent="0.25">
      <c r="B7" s="44" t="s">
        <v>0</v>
      </c>
      <c r="C7" s="124">
        <f>SUM(C2:C6)</f>
        <v>508643.83401279029</v>
      </c>
      <c r="D7" s="124">
        <f>SUM(D2:D6)</f>
        <v>0</v>
      </c>
      <c r="E7" s="124">
        <f>SUM(E2:E6)</f>
        <v>266026.16598720971</v>
      </c>
      <c r="F7" s="124">
        <f>SUM(F2:F6)</f>
        <v>774670</v>
      </c>
    </row>
    <row r="8" spans="1:24" x14ac:dyDescent="0.2">
      <c r="A8" s="17" t="s">
        <v>19</v>
      </c>
      <c r="B8" s="18" t="s">
        <v>22</v>
      </c>
      <c r="C8" s="8">
        <v>0</v>
      </c>
      <c r="D8" s="8">
        <v>0</v>
      </c>
      <c r="E8" s="8">
        <v>0</v>
      </c>
      <c r="F8" s="8">
        <f>SUM(C8:E8)</f>
        <v>0</v>
      </c>
      <c r="J8" s="159"/>
      <c r="K8" s="158" t="s">
        <v>14</v>
      </c>
      <c r="L8" s="250" t="s">
        <v>13</v>
      </c>
    </row>
    <row r="9" spans="1:24" x14ac:dyDescent="0.2">
      <c r="A9" s="17" t="s">
        <v>20</v>
      </c>
      <c r="B9" s="18" t="s">
        <v>22</v>
      </c>
      <c r="C9" s="8">
        <v>0</v>
      </c>
      <c r="D9" s="8">
        <v>0</v>
      </c>
      <c r="E9" s="8">
        <v>0</v>
      </c>
      <c r="F9" s="8">
        <f>SUM(C9:E9)</f>
        <v>0</v>
      </c>
      <c r="J9" s="156" t="s">
        <v>11</v>
      </c>
      <c r="K9" s="103">
        <v>42491</v>
      </c>
      <c r="L9" s="251">
        <f>K9</f>
        <v>42491</v>
      </c>
    </row>
    <row r="10" spans="1:24" ht="13.5" thickBot="1" x14ac:dyDescent="0.25">
      <c r="B10" s="44" t="s">
        <v>52</v>
      </c>
      <c r="C10" s="79">
        <f>+SUM(C7:C9)</f>
        <v>508643.83401279029</v>
      </c>
      <c r="D10" s="79">
        <f>+SUM(D7:D9)</f>
        <v>0</v>
      </c>
      <c r="E10" s="79">
        <f>+SUM(E7:E9)</f>
        <v>266026.16598720971</v>
      </c>
      <c r="F10" s="79">
        <f>+SUM(F7:F9)</f>
        <v>774670</v>
      </c>
      <c r="J10" s="157" t="s">
        <v>17</v>
      </c>
      <c r="K10" s="104">
        <v>42608</v>
      </c>
      <c r="L10" s="273">
        <f>K10</f>
        <v>42608</v>
      </c>
    </row>
    <row r="11" spans="1:24" ht="13.5" thickTop="1" x14ac:dyDescent="0.2">
      <c r="A11" s="17"/>
      <c r="B11" s="76"/>
      <c r="C11" s="55"/>
      <c r="D11" s="55"/>
      <c r="E11" s="55"/>
      <c r="F11" s="7"/>
    </row>
    <row r="12" spans="1:24" ht="13.5" thickBot="1" x14ac:dyDescent="0.25">
      <c r="A12" s="17"/>
      <c r="B12" s="76"/>
      <c r="C12" s="55"/>
      <c r="D12" s="55"/>
      <c r="E12" s="55"/>
      <c r="F12" s="7"/>
      <c r="H12" s="271"/>
      <c r="I12" s="272"/>
    </row>
    <row r="13" spans="1:24" x14ac:dyDescent="0.2">
      <c r="I13" s="143"/>
      <c r="J13" s="128"/>
      <c r="K13" s="128"/>
      <c r="L13" s="128"/>
      <c r="M13" s="108"/>
    </row>
    <row r="14" spans="1:24" ht="36.75" x14ac:dyDescent="0.2">
      <c r="A14" s="90" t="s">
        <v>53</v>
      </c>
      <c r="B14" s="90" t="s">
        <v>3</v>
      </c>
      <c r="C14" s="90" t="s">
        <v>4</v>
      </c>
      <c r="D14" s="90" t="s">
        <v>5</v>
      </c>
      <c r="E14" s="90" t="s">
        <v>6</v>
      </c>
      <c r="F14" s="90" t="s">
        <v>7</v>
      </c>
      <c r="G14" s="90" t="s">
        <v>80</v>
      </c>
      <c r="H14" s="90" t="s">
        <v>81</v>
      </c>
      <c r="I14" s="105" t="s">
        <v>82</v>
      </c>
      <c r="J14" s="106" t="s">
        <v>83</v>
      </c>
      <c r="K14" s="106" t="s">
        <v>84</v>
      </c>
      <c r="L14" s="106" t="s">
        <v>85</v>
      </c>
      <c r="M14" s="107" t="s">
        <v>75</v>
      </c>
      <c r="N14" s="90" t="s">
        <v>86</v>
      </c>
      <c r="O14" s="90" t="s">
        <v>87</v>
      </c>
    </row>
    <row r="15" spans="1:24" x14ac:dyDescent="0.2">
      <c r="A15" s="96" t="s">
        <v>22</v>
      </c>
      <c r="B15" s="81" t="str">
        <f t="shared" ref="B15:B34" si="1">+IF(MONTH(C15)&lt;4,"Q1",IF(MONTH(C15)&lt;7,"Q2",IF(MONTH(C15)&lt;10,"Q3","Q4")))&amp;"/"&amp;YEAR(C15)</f>
        <v>Q2/2016</v>
      </c>
      <c r="C15" s="146">
        <f>$L$9</f>
        <v>42491</v>
      </c>
      <c r="D15" s="146">
        <f>DATE(YEAR(C15),IF(MONTH(C15)&lt;=3,3,IF(MONTH(C15)&lt;=6,6,IF(MONTH(C15)&lt;=9,9,12))),IF(OR(MONTH(C15)&lt;=3,MONTH(C15)&gt;=10),31,30))</f>
        <v>42551</v>
      </c>
      <c r="E15" s="81">
        <f>D15-C15+1</f>
        <v>61</v>
      </c>
      <c r="F15" s="83">
        <f>VLOOKUP(D15,'FERC Interest Rate'!$A:$C,2,TRUE)</f>
        <v>3.4599999999999999E-2</v>
      </c>
      <c r="G15" s="84">
        <f>$C$7</f>
        <v>508643.83401279029</v>
      </c>
      <c r="H15" s="84">
        <f>G15*F15*(E15/(DATE(YEAR(D15),12,31)-DATE(YEAR(D15),1,1)+1))</f>
        <v>2933.1794428070903</v>
      </c>
      <c r="I15" s="109">
        <v>0</v>
      </c>
      <c r="J15" s="85">
        <v>0</v>
      </c>
      <c r="K15" s="129">
        <f>+SUM(I15:J15)</f>
        <v>0</v>
      </c>
      <c r="L15" s="85">
        <v>0</v>
      </c>
      <c r="M15" s="130">
        <f>+SUM(K15:L15)</f>
        <v>0</v>
      </c>
      <c r="N15" s="8">
        <f>+G15+H15+J15</f>
        <v>511577.01345559739</v>
      </c>
      <c r="O15" s="84">
        <f t="shared" ref="O15:O34" si="2">G15+H15-L15-I15</f>
        <v>511577.01345559739</v>
      </c>
      <c r="W15" s="117"/>
      <c r="X15" s="117"/>
    </row>
    <row r="16" spans="1:24" x14ac:dyDescent="0.2">
      <c r="A16" s="96" t="s">
        <v>22</v>
      </c>
      <c r="B16" s="81" t="str">
        <f t="shared" si="1"/>
        <v>Q3/2016</v>
      </c>
      <c r="C16" s="146">
        <f>D15+1</f>
        <v>42552</v>
      </c>
      <c r="D16" s="146">
        <f t="shared" ref="D16:D35" si="3">EOMONTH(D15,3)</f>
        <v>42643</v>
      </c>
      <c r="E16" s="81">
        <f t="shared" ref="E16:E34" si="4">D16-C16+1</f>
        <v>92</v>
      </c>
      <c r="F16" s="83">
        <f>VLOOKUP(D16,'FERC Interest Rate'!$A:$C,2,TRUE)</f>
        <v>3.5000000000000003E-2</v>
      </c>
      <c r="G16" s="84">
        <f t="shared" ref="G16:G34" si="5">O15</f>
        <v>511577.01345559739</v>
      </c>
      <c r="H16" s="84">
        <f>G16*F16*(E16/(DATE(YEAR(D16),12,31)-DATE(YEAR(D16),1,1)+1))</f>
        <v>4500.7595172869496</v>
      </c>
      <c r="I16" s="109">
        <v>0</v>
      </c>
      <c r="J16" s="85">
        <v>0</v>
      </c>
      <c r="K16" s="129">
        <f t="shared" ref="K16:K34" si="6">+SUM(I16:J16)</f>
        <v>0</v>
      </c>
      <c r="L16" s="85">
        <v>0</v>
      </c>
      <c r="M16" s="130">
        <f t="shared" ref="M16:M34" si="7">+SUM(K16:L16)</f>
        <v>0</v>
      </c>
      <c r="N16" s="8">
        <f t="shared" ref="N16:N34" si="8">+G16+H16+J16</f>
        <v>516077.77297288436</v>
      </c>
      <c r="O16" s="84">
        <f t="shared" si="2"/>
        <v>516077.77297288436</v>
      </c>
      <c r="W16" s="85"/>
      <c r="X16" s="129"/>
    </row>
    <row r="17" spans="1:24" x14ac:dyDescent="0.2">
      <c r="A17" s="96" t="s">
        <v>22</v>
      </c>
      <c r="B17" s="81" t="str">
        <f t="shared" si="1"/>
        <v>Q4/2016</v>
      </c>
      <c r="C17" s="146">
        <f t="shared" ref="C17:C34" si="9">D16+1</f>
        <v>42644</v>
      </c>
      <c r="D17" s="146">
        <f t="shared" si="3"/>
        <v>42735</v>
      </c>
      <c r="E17" s="81">
        <f t="shared" si="4"/>
        <v>92</v>
      </c>
      <c r="F17" s="83">
        <f>VLOOKUP(D17,'FERC Interest Rate'!$A:$C,2,TRUE)</f>
        <v>3.5000000000000003E-2</v>
      </c>
      <c r="G17" s="84">
        <f t="shared" si="5"/>
        <v>516077.77297288436</v>
      </c>
      <c r="H17" s="84">
        <v>0</v>
      </c>
      <c r="I17" s="109">
        <v>0</v>
      </c>
      <c r="J17" s="85">
        <f t="shared" ref="J17:J18" si="10">G17*F17*(E17/(DATE(YEAR(D17),12,31)-DATE(YEAR(D17),1,1)+1))</f>
        <v>4540.3563633133544</v>
      </c>
      <c r="K17" s="129">
        <f>+SUM(I17:J17)</f>
        <v>4540.3563633133544</v>
      </c>
      <c r="L17" s="85">
        <v>0</v>
      </c>
      <c r="M17" s="130">
        <v>0</v>
      </c>
      <c r="N17" s="8">
        <f t="shared" si="8"/>
        <v>520618.12933619769</v>
      </c>
      <c r="O17" s="84">
        <f>+N17-M17</f>
        <v>520618.12933619769</v>
      </c>
      <c r="W17" s="85"/>
      <c r="X17" s="129"/>
    </row>
    <row r="18" spans="1:24" x14ac:dyDescent="0.2">
      <c r="A18" s="96" t="s">
        <v>22</v>
      </c>
      <c r="B18" s="81" t="str">
        <f t="shared" si="1"/>
        <v>Q1/2017</v>
      </c>
      <c r="C18" s="146">
        <f t="shared" si="9"/>
        <v>42736</v>
      </c>
      <c r="D18" s="146">
        <f t="shared" si="3"/>
        <v>42825</v>
      </c>
      <c r="E18" s="81">
        <f t="shared" si="4"/>
        <v>90</v>
      </c>
      <c r="F18" s="83">
        <f>VLOOKUP(D18,'FERC Interest Rate'!$A:$C,2,TRUE)</f>
        <v>3.5000000000000003E-2</v>
      </c>
      <c r="G18" s="84">
        <f t="shared" si="5"/>
        <v>520618.12933619769</v>
      </c>
      <c r="H18" s="84">
        <v>0</v>
      </c>
      <c r="I18" s="109">
        <v>0</v>
      </c>
      <c r="J18" s="85">
        <f t="shared" si="10"/>
        <v>4493.0057737233501</v>
      </c>
      <c r="K18" s="129">
        <f>+SUM(I18:J18)</f>
        <v>4493.0057737233501</v>
      </c>
      <c r="L18" s="85">
        <v>0</v>
      </c>
      <c r="M18" s="130">
        <v>0</v>
      </c>
      <c r="N18" s="8">
        <f t="shared" si="8"/>
        <v>525111.13510992099</v>
      </c>
      <c r="O18" s="84">
        <f>+N18-M18</f>
        <v>525111.13510992099</v>
      </c>
      <c r="W18" s="85"/>
      <c r="X18" s="129"/>
    </row>
    <row r="19" spans="1:24" x14ac:dyDescent="0.2">
      <c r="A19" s="274" t="s">
        <v>102</v>
      </c>
      <c r="B19" s="81" t="str">
        <f t="shared" si="1"/>
        <v>Q2/2017</v>
      </c>
      <c r="C19" s="146">
        <f t="shared" si="9"/>
        <v>42826</v>
      </c>
      <c r="D19" s="146">
        <f t="shared" si="3"/>
        <v>42916</v>
      </c>
      <c r="E19" s="81">
        <f t="shared" si="4"/>
        <v>91</v>
      </c>
      <c r="F19" s="83">
        <f>VLOOKUP(D19,'FERC Interest Rate'!$A:$C,2,TRUE)</f>
        <v>3.7100000000000001E-2</v>
      </c>
      <c r="G19" s="84">
        <f t="shared" si="5"/>
        <v>525111.13510992099</v>
      </c>
      <c r="H19" s="84">
        <v>0</v>
      </c>
      <c r="I19" s="109">
        <f>(SUM($H$15:$H$36)/20)*4</f>
        <v>1486.787792018808</v>
      </c>
      <c r="J19" s="85">
        <f t="shared" ref="J19:J34" si="11">G19*F19*(E19/(DATE(YEAR(D19),12,31)-DATE(YEAR(D19),1,1)+1))</f>
        <v>4857.0622006701487</v>
      </c>
      <c r="K19" s="129">
        <f>+SUM(I19:J19)</f>
        <v>6343.8499926889563</v>
      </c>
      <c r="L19" s="85">
        <f>($C$7/20)*4</f>
        <v>101728.76680255806</v>
      </c>
      <c r="M19" s="130">
        <f>+SUM(K17:L19)</f>
        <v>117105.97893228373</v>
      </c>
      <c r="N19" s="8">
        <f t="shared" si="8"/>
        <v>529968.19731059112</v>
      </c>
      <c r="O19" s="84">
        <f>+N19-M19</f>
        <v>412862.21837830741</v>
      </c>
      <c r="W19" s="85"/>
      <c r="X19" s="129"/>
    </row>
    <row r="20" spans="1:24" x14ac:dyDescent="0.2">
      <c r="A20" s="17" t="s">
        <v>58</v>
      </c>
      <c r="B20" s="81" t="str">
        <f t="shared" si="1"/>
        <v>Q3/2017</v>
      </c>
      <c r="C20" s="146">
        <f t="shared" si="9"/>
        <v>42917</v>
      </c>
      <c r="D20" s="146">
        <f t="shared" si="3"/>
        <v>43008</v>
      </c>
      <c r="E20" s="81">
        <f t="shared" si="4"/>
        <v>92</v>
      </c>
      <c r="F20" s="83">
        <f>VLOOKUP(D20,'FERC Interest Rate'!$A:$C,2,TRUE)</f>
        <v>3.9600000000000003E-2</v>
      </c>
      <c r="G20" s="84">
        <f t="shared" si="5"/>
        <v>412862.21837830741</v>
      </c>
      <c r="H20" s="84">
        <v>0</v>
      </c>
      <c r="I20" s="109">
        <f t="shared" ref="I20:I35" si="12">(SUM($H$15:$H$36)/20)</f>
        <v>371.69694800470199</v>
      </c>
      <c r="J20" s="85">
        <f t="shared" si="11"/>
        <v>4120.9305040982181</v>
      </c>
      <c r="K20" s="129">
        <f t="shared" si="6"/>
        <v>4492.62745210292</v>
      </c>
      <c r="L20" s="85">
        <f t="shared" ref="L20:L35" si="13">($C$7/20)</f>
        <v>25432.191700639516</v>
      </c>
      <c r="M20" s="130">
        <f t="shared" si="7"/>
        <v>29924.819152742435</v>
      </c>
      <c r="N20" s="8">
        <f t="shared" si="8"/>
        <v>416983.14888240566</v>
      </c>
      <c r="O20" s="84">
        <f t="shared" si="2"/>
        <v>387058.32972966321</v>
      </c>
      <c r="W20" s="85"/>
      <c r="X20" s="129"/>
    </row>
    <row r="21" spans="1:24" x14ac:dyDescent="0.2">
      <c r="A21" s="17" t="s">
        <v>59</v>
      </c>
      <c r="B21" s="81" t="str">
        <f t="shared" si="1"/>
        <v>Q4/2017</v>
      </c>
      <c r="C21" s="146">
        <f t="shared" si="9"/>
        <v>43009</v>
      </c>
      <c r="D21" s="146">
        <f t="shared" si="3"/>
        <v>43100</v>
      </c>
      <c r="E21" s="81">
        <f t="shared" si="4"/>
        <v>92</v>
      </c>
      <c r="F21" s="83">
        <f>VLOOKUP(D21,'FERC Interest Rate'!$A:$C,2,TRUE)</f>
        <v>4.2099999999999999E-2</v>
      </c>
      <c r="G21" s="84">
        <f t="shared" si="5"/>
        <v>387058.32972966321</v>
      </c>
      <c r="H21" s="84">
        <v>0</v>
      </c>
      <c r="I21" s="109">
        <f t="shared" si="12"/>
        <v>371.69694800470199</v>
      </c>
      <c r="J21" s="85">
        <f t="shared" si="11"/>
        <v>4107.2721170107716</v>
      </c>
      <c r="K21" s="129">
        <f t="shared" si="6"/>
        <v>4478.9690650154735</v>
      </c>
      <c r="L21" s="85">
        <f t="shared" si="13"/>
        <v>25432.191700639516</v>
      </c>
      <c r="M21" s="130">
        <f t="shared" si="7"/>
        <v>29911.16076565499</v>
      </c>
      <c r="N21" s="8">
        <f t="shared" si="8"/>
        <v>391165.60184667399</v>
      </c>
      <c r="O21" s="84">
        <f t="shared" si="2"/>
        <v>361254.441081019</v>
      </c>
      <c r="W21" s="85"/>
      <c r="X21" s="129"/>
    </row>
    <row r="22" spans="1:24" x14ac:dyDescent="0.2">
      <c r="A22" s="17" t="s">
        <v>60</v>
      </c>
      <c r="B22" s="81" t="str">
        <f t="shared" si="1"/>
        <v>Q1/2018</v>
      </c>
      <c r="C22" s="146">
        <f t="shared" si="9"/>
        <v>43101</v>
      </c>
      <c r="D22" s="146">
        <f t="shared" si="3"/>
        <v>43190</v>
      </c>
      <c r="E22" s="81">
        <f t="shared" si="4"/>
        <v>90</v>
      </c>
      <c r="F22" s="83">
        <f>VLOOKUP(D22,'FERC Interest Rate'!$A:$C,2,TRUE)</f>
        <v>4.2500000000000003E-2</v>
      </c>
      <c r="G22" s="84">
        <f t="shared" si="5"/>
        <v>361254.441081019</v>
      </c>
      <c r="H22" s="84">
        <v>0</v>
      </c>
      <c r="I22" s="109">
        <f t="shared" si="12"/>
        <v>371.69694800470199</v>
      </c>
      <c r="J22" s="85">
        <f t="shared" si="11"/>
        <v>3785.7485948901308</v>
      </c>
      <c r="K22" s="129">
        <f t="shared" si="6"/>
        <v>4157.4455428948331</v>
      </c>
      <c r="L22" s="85">
        <f t="shared" si="13"/>
        <v>25432.191700639516</v>
      </c>
      <c r="M22" s="130">
        <f t="shared" si="7"/>
        <v>29589.637243534351</v>
      </c>
      <c r="N22" s="8">
        <f t="shared" si="8"/>
        <v>365040.18967590912</v>
      </c>
      <c r="O22" s="84">
        <f t="shared" si="2"/>
        <v>335450.5524323748</v>
      </c>
      <c r="W22" s="85"/>
      <c r="X22" s="129"/>
    </row>
    <row r="23" spans="1:24" x14ac:dyDescent="0.2">
      <c r="A23" s="17" t="s">
        <v>61</v>
      </c>
      <c r="B23" s="81" t="str">
        <f t="shared" si="1"/>
        <v>Q2/2018</v>
      </c>
      <c r="C23" s="146">
        <f t="shared" si="9"/>
        <v>43191</v>
      </c>
      <c r="D23" s="146">
        <f t="shared" si="3"/>
        <v>43281</v>
      </c>
      <c r="E23" s="81">
        <f t="shared" si="4"/>
        <v>91</v>
      </c>
      <c r="F23" s="83">
        <f>VLOOKUP(D23,'FERC Interest Rate'!$A:$C,2,TRUE)</f>
        <v>4.4699999999999997E-2</v>
      </c>
      <c r="G23" s="84">
        <f t="shared" si="5"/>
        <v>335450.5524323748</v>
      </c>
      <c r="H23" s="84">
        <v>0</v>
      </c>
      <c r="I23" s="109">
        <f t="shared" si="12"/>
        <v>371.69694800470199</v>
      </c>
      <c r="J23" s="85">
        <f t="shared" si="11"/>
        <v>3738.3896222717012</v>
      </c>
      <c r="K23" s="129">
        <f t="shared" si="6"/>
        <v>4110.0865702764031</v>
      </c>
      <c r="L23" s="85">
        <f t="shared" si="13"/>
        <v>25432.191700639516</v>
      </c>
      <c r="M23" s="130">
        <f t="shared" si="7"/>
        <v>29542.278270915918</v>
      </c>
      <c r="N23" s="8">
        <f t="shared" si="8"/>
        <v>339188.9420546465</v>
      </c>
      <c r="O23" s="84">
        <f t="shared" si="2"/>
        <v>309646.66378373059</v>
      </c>
      <c r="W23" s="85"/>
      <c r="X23" s="129"/>
    </row>
    <row r="24" spans="1:24" x14ac:dyDescent="0.2">
      <c r="A24" s="17" t="s">
        <v>62</v>
      </c>
      <c r="B24" s="81" t="str">
        <f t="shared" si="1"/>
        <v>Q3/2018</v>
      </c>
      <c r="C24" s="146">
        <f t="shared" si="9"/>
        <v>43282</v>
      </c>
      <c r="D24" s="146">
        <f t="shared" si="3"/>
        <v>43373</v>
      </c>
      <c r="E24" s="81">
        <f t="shared" si="4"/>
        <v>92</v>
      </c>
      <c r="F24" s="83">
        <f>VLOOKUP(D24,'FERC Interest Rate'!$A:$C,2,TRUE)</f>
        <v>5.011111E-2</v>
      </c>
      <c r="G24" s="84">
        <f t="shared" si="5"/>
        <v>309646.66378373059</v>
      </c>
      <c r="H24" s="84">
        <v>0</v>
      </c>
      <c r="I24" s="109">
        <f t="shared" si="12"/>
        <v>371.69694800470199</v>
      </c>
      <c r="J24" s="85">
        <f t="shared" si="11"/>
        <v>3911.0682157807064</v>
      </c>
      <c r="K24" s="129">
        <f t="shared" si="6"/>
        <v>4282.7651637854087</v>
      </c>
      <c r="L24" s="85">
        <f t="shared" si="13"/>
        <v>25432.191700639516</v>
      </c>
      <c r="M24" s="130">
        <f t="shared" si="7"/>
        <v>29714.956864424923</v>
      </c>
      <c r="N24" s="8">
        <f t="shared" si="8"/>
        <v>313557.73199951131</v>
      </c>
      <c r="O24" s="84">
        <f t="shared" si="2"/>
        <v>283842.77513508638</v>
      </c>
      <c r="W24" s="85"/>
      <c r="X24" s="129"/>
    </row>
    <row r="25" spans="1:24" x14ac:dyDescent="0.2">
      <c r="A25" s="17" t="s">
        <v>63</v>
      </c>
      <c r="B25" s="81" t="str">
        <f t="shared" si="1"/>
        <v>Q4/2018</v>
      </c>
      <c r="C25" s="146">
        <f t="shared" si="9"/>
        <v>43374</v>
      </c>
      <c r="D25" s="146">
        <f t="shared" si="3"/>
        <v>43465</v>
      </c>
      <c r="E25" s="81">
        <f t="shared" si="4"/>
        <v>92</v>
      </c>
      <c r="F25" s="83">
        <f>VLOOKUP(D25,'FERC Interest Rate'!$A:$C,2,TRUE)</f>
        <v>5.2822580000000001E-2</v>
      </c>
      <c r="G25" s="84">
        <f t="shared" si="5"/>
        <v>283842.77513508638</v>
      </c>
      <c r="H25" s="84">
        <v>0</v>
      </c>
      <c r="I25" s="109">
        <f t="shared" si="12"/>
        <v>371.69694800470199</v>
      </c>
      <c r="J25" s="85">
        <f t="shared" si="11"/>
        <v>3779.135090749453</v>
      </c>
      <c r="K25" s="129">
        <f t="shared" si="6"/>
        <v>4150.8320387541553</v>
      </c>
      <c r="L25" s="85">
        <f t="shared" si="13"/>
        <v>25432.191700639516</v>
      </c>
      <c r="M25" s="130">
        <f t="shared" si="7"/>
        <v>29583.02373939367</v>
      </c>
      <c r="N25" s="8">
        <f t="shared" si="8"/>
        <v>287621.91022583586</v>
      </c>
      <c r="O25" s="84">
        <f t="shared" si="2"/>
        <v>258038.88648644215</v>
      </c>
      <c r="W25" s="85"/>
      <c r="X25" s="129"/>
    </row>
    <row r="26" spans="1:24" x14ac:dyDescent="0.2">
      <c r="A26" s="17" t="s">
        <v>64</v>
      </c>
      <c r="B26" s="81" t="str">
        <f t="shared" si="1"/>
        <v>Q1/2019</v>
      </c>
      <c r="C26" s="146">
        <f t="shared" si="9"/>
        <v>43466</v>
      </c>
      <c r="D26" s="146">
        <f t="shared" si="3"/>
        <v>43555</v>
      </c>
      <c r="E26" s="81">
        <f t="shared" si="4"/>
        <v>90</v>
      </c>
      <c r="F26" s="83">
        <f>VLOOKUP(D26,'FERC Interest Rate'!$A:$C,2,TRUE)</f>
        <v>5.5296770000000002E-2</v>
      </c>
      <c r="G26" s="84">
        <f t="shared" si="5"/>
        <v>258038.88648644215</v>
      </c>
      <c r="H26" s="84">
        <v>0</v>
      </c>
      <c r="I26" s="109">
        <f t="shared" si="12"/>
        <v>371.69694800470199</v>
      </c>
      <c r="J26" s="85">
        <f t="shared" si="11"/>
        <v>3518.3137702430708</v>
      </c>
      <c r="K26" s="129">
        <f t="shared" si="6"/>
        <v>3890.0107182477727</v>
      </c>
      <c r="L26" s="85">
        <f t="shared" si="13"/>
        <v>25432.191700639516</v>
      </c>
      <c r="M26" s="130">
        <f t="shared" si="7"/>
        <v>29322.202418887289</v>
      </c>
      <c r="N26" s="8">
        <f t="shared" si="8"/>
        <v>261557.20025668523</v>
      </c>
      <c r="O26" s="84">
        <f t="shared" si="2"/>
        <v>232234.99783779791</v>
      </c>
      <c r="W26" s="85"/>
      <c r="X26" s="129"/>
    </row>
    <row r="27" spans="1:24" x14ac:dyDescent="0.2">
      <c r="A27" s="17" t="s">
        <v>65</v>
      </c>
      <c r="B27" s="81" t="str">
        <f t="shared" si="1"/>
        <v>Q2/2019</v>
      </c>
      <c r="C27" s="146">
        <f t="shared" si="9"/>
        <v>43556</v>
      </c>
      <c r="D27" s="146">
        <f t="shared" si="3"/>
        <v>43646</v>
      </c>
      <c r="E27" s="81">
        <f t="shared" si="4"/>
        <v>91</v>
      </c>
      <c r="F27" s="83">
        <f>VLOOKUP(D27,'FERC Interest Rate'!$A:$C,2,TRUE)</f>
        <v>5.7999999999999996E-2</v>
      </c>
      <c r="G27" s="84">
        <f t="shared" si="5"/>
        <v>232234.99783779791</v>
      </c>
      <c r="H27" s="84">
        <v>0</v>
      </c>
      <c r="I27" s="109">
        <f t="shared" si="12"/>
        <v>371.69694800470199</v>
      </c>
      <c r="J27" s="85">
        <f t="shared" si="11"/>
        <v>3358.1816947613625</v>
      </c>
      <c r="K27" s="129">
        <f t="shared" si="6"/>
        <v>3729.8786427660643</v>
      </c>
      <c r="L27" s="85">
        <f t="shared" si="13"/>
        <v>25432.191700639516</v>
      </c>
      <c r="M27" s="130">
        <f t="shared" si="7"/>
        <v>29162.070343405579</v>
      </c>
      <c r="N27" s="8">
        <f t="shared" si="8"/>
        <v>235593.17953255927</v>
      </c>
      <c r="O27" s="84">
        <f t="shared" si="2"/>
        <v>206431.10918915368</v>
      </c>
      <c r="W27" s="85"/>
      <c r="X27" s="129"/>
    </row>
    <row r="28" spans="1:24" x14ac:dyDescent="0.2">
      <c r="A28" s="17" t="s">
        <v>66</v>
      </c>
      <c r="B28" s="81" t="str">
        <f t="shared" si="1"/>
        <v>Q3/2019</v>
      </c>
      <c r="C28" s="146">
        <f t="shared" si="9"/>
        <v>43647</v>
      </c>
      <c r="D28" s="146">
        <f t="shared" si="3"/>
        <v>43738</v>
      </c>
      <c r="E28" s="81">
        <f t="shared" si="4"/>
        <v>92</v>
      </c>
      <c r="F28" s="83">
        <f>VLOOKUP(D28,'FERC Interest Rate'!$A:$C,2,TRUE)</f>
        <v>0.06</v>
      </c>
      <c r="G28" s="84">
        <f t="shared" si="5"/>
        <v>206431.10918915368</v>
      </c>
      <c r="H28" s="84">
        <v>0</v>
      </c>
      <c r="I28" s="109">
        <f t="shared" si="12"/>
        <v>371.69694800470199</v>
      </c>
      <c r="J28" s="85">
        <f t="shared" si="11"/>
        <v>3121.9170485592558</v>
      </c>
      <c r="K28" s="129">
        <f t="shared" si="6"/>
        <v>3493.6139965639577</v>
      </c>
      <c r="L28" s="85">
        <f t="shared" si="13"/>
        <v>25432.191700639516</v>
      </c>
      <c r="M28" s="130">
        <f t="shared" si="7"/>
        <v>28925.805697203476</v>
      </c>
      <c r="N28" s="8">
        <f t="shared" si="8"/>
        <v>209553.02623771294</v>
      </c>
      <c r="O28" s="84">
        <f t="shared" si="2"/>
        <v>180627.22054050944</v>
      </c>
      <c r="W28" s="85"/>
      <c r="X28" s="129"/>
    </row>
    <row r="29" spans="1:24" x14ac:dyDescent="0.2">
      <c r="A29" s="17" t="s">
        <v>67</v>
      </c>
      <c r="B29" s="81" t="str">
        <f t="shared" si="1"/>
        <v>Q4/2019</v>
      </c>
      <c r="C29" s="146">
        <f t="shared" si="9"/>
        <v>43739</v>
      </c>
      <c r="D29" s="146">
        <f t="shared" si="3"/>
        <v>43830</v>
      </c>
      <c r="E29" s="81">
        <f t="shared" si="4"/>
        <v>92</v>
      </c>
      <c r="F29" s="83">
        <f>VLOOKUP(D29,'FERC Interest Rate'!$A:$C,2,TRUE)</f>
        <v>6.0349460000000001E-2</v>
      </c>
      <c r="G29" s="84">
        <f t="shared" si="5"/>
        <v>180627.22054050944</v>
      </c>
      <c r="H29" s="84">
        <v>0</v>
      </c>
      <c r="I29" s="109">
        <f t="shared" si="12"/>
        <v>371.69694800470199</v>
      </c>
      <c r="J29" s="85">
        <f t="shared" si="11"/>
        <v>2747.5876173279457</v>
      </c>
      <c r="K29" s="129">
        <f t="shared" si="6"/>
        <v>3119.2845653326476</v>
      </c>
      <c r="L29" s="85">
        <f t="shared" si="13"/>
        <v>25432.191700639516</v>
      </c>
      <c r="M29" s="130">
        <f t="shared" si="7"/>
        <v>28551.476265972164</v>
      </c>
      <c r="N29" s="8">
        <f t="shared" si="8"/>
        <v>183374.8081578374</v>
      </c>
      <c r="O29" s="84">
        <f t="shared" si="2"/>
        <v>154823.33189186521</v>
      </c>
      <c r="W29" s="85"/>
      <c r="X29" s="129"/>
    </row>
    <row r="30" spans="1:24" x14ac:dyDescent="0.2">
      <c r="A30" s="17" t="s">
        <v>68</v>
      </c>
      <c r="B30" s="81" t="str">
        <f t="shared" si="1"/>
        <v>Q1/2020</v>
      </c>
      <c r="C30" s="146">
        <f t="shared" si="9"/>
        <v>43831</v>
      </c>
      <c r="D30" s="146">
        <f t="shared" si="3"/>
        <v>43921</v>
      </c>
      <c r="E30" s="81">
        <f t="shared" si="4"/>
        <v>91</v>
      </c>
      <c r="F30" s="83">
        <f>VLOOKUP(D30,'FERC Interest Rate'!$A:$C,2,TRUE)</f>
        <v>6.2501040000000008E-2</v>
      </c>
      <c r="G30" s="84">
        <f t="shared" si="5"/>
        <v>154823.33189186521</v>
      </c>
      <c r="H30" s="84">
        <v>0</v>
      </c>
      <c r="I30" s="109">
        <f t="shared" si="12"/>
        <v>371.69694800470199</v>
      </c>
      <c r="J30" s="85">
        <f t="shared" si="11"/>
        <v>2405.9353896587804</v>
      </c>
      <c r="K30" s="129">
        <f t="shared" si="6"/>
        <v>2777.6323376634823</v>
      </c>
      <c r="L30" s="85">
        <f t="shared" si="13"/>
        <v>25432.191700639516</v>
      </c>
      <c r="M30" s="130">
        <f t="shared" si="7"/>
        <v>28209.824038302999</v>
      </c>
      <c r="N30" s="8">
        <f t="shared" si="8"/>
        <v>157229.26728152399</v>
      </c>
      <c r="O30" s="84">
        <f t="shared" si="2"/>
        <v>129019.44324322099</v>
      </c>
      <c r="W30" s="85"/>
      <c r="X30" s="129"/>
    </row>
    <row r="31" spans="1:24" x14ac:dyDescent="0.2">
      <c r="A31" s="17" t="s">
        <v>69</v>
      </c>
      <c r="B31" s="81" t="str">
        <f t="shared" si="1"/>
        <v>Q2/2020</v>
      </c>
      <c r="C31" s="146">
        <f t="shared" si="9"/>
        <v>43922</v>
      </c>
      <c r="D31" s="146">
        <f t="shared" si="3"/>
        <v>44012</v>
      </c>
      <c r="E31" s="81">
        <f t="shared" si="4"/>
        <v>91</v>
      </c>
      <c r="F31" s="83">
        <f>VLOOKUP(D31,'FERC Interest Rate'!$A:$C,2,TRUE)</f>
        <v>6.3055559999999997E-2</v>
      </c>
      <c r="G31" s="84">
        <f t="shared" si="5"/>
        <v>129019.44324322099</v>
      </c>
      <c r="H31" s="84">
        <v>0</v>
      </c>
      <c r="I31" s="109">
        <f t="shared" si="12"/>
        <v>371.69694800470199</v>
      </c>
      <c r="J31" s="85">
        <f t="shared" si="11"/>
        <v>2022.7343859498521</v>
      </c>
      <c r="K31" s="129">
        <f t="shared" si="6"/>
        <v>2394.4313339545542</v>
      </c>
      <c r="L31" s="85">
        <f t="shared" si="13"/>
        <v>25432.191700639516</v>
      </c>
      <c r="M31" s="130">
        <f t="shared" si="7"/>
        <v>27826.623034594071</v>
      </c>
      <c r="N31" s="8">
        <f t="shared" si="8"/>
        <v>131042.17762917084</v>
      </c>
      <c r="O31" s="84">
        <f t="shared" si="2"/>
        <v>103215.55459457678</v>
      </c>
      <c r="W31" s="85"/>
      <c r="X31" s="129"/>
    </row>
    <row r="32" spans="1:24" x14ac:dyDescent="0.2">
      <c r="A32" s="17" t="s">
        <v>70</v>
      </c>
      <c r="B32" s="81" t="str">
        <f t="shared" si="1"/>
        <v>Q3/2020</v>
      </c>
      <c r="C32" s="146">
        <f t="shared" si="9"/>
        <v>44013</v>
      </c>
      <c r="D32" s="146">
        <f t="shared" si="3"/>
        <v>44104</v>
      </c>
      <c r="E32" s="81">
        <f t="shared" si="4"/>
        <v>92</v>
      </c>
      <c r="F32" s="83">
        <f>VLOOKUP(D32,'FERC Interest Rate'!$A:$C,2,TRUE)</f>
        <v>6.5000000000000002E-2</v>
      </c>
      <c r="G32" s="84">
        <f t="shared" si="5"/>
        <v>103215.55459457678</v>
      </c>
      <c r="H32" s="84">
        <v>0</v>
      </c>
      <c r="I32" s="109">
        <f t="shared" si="12"/>
        <v>371.69694800470199</v>
      </c>
      <c r="J32" s="85">
        <f t="shared" si="11"/>
        <v>1686.4180778021016</v>
      </c>
      <c r="K32" s="129">
        <f t="shared" si="6"/>
        <v>2058.1150258068037</v>
      </c>
      <c r="L32" s="85">
        <f t="shared" si="13"/>
        <v>25432.191700639516</v>
      </c>
      <c r="M32" s="130">
        <f t="shared" si="7"/>
        <v>27490.306726446321</v>
      </c>
      <c r="N32" s="8">
        <f t="shared" si="8"/>
        <v>104901.97267237888</v>
      </c>
      <c r="O32" s="84">
        <f t="shared" si="2"/>
        <v>77411.665945932575</v>
      </c>
      <c r="W32" s="85"/>
      <c r="X32" s="129"/>
    </row>
    <row r="33" spans="1:24" x14ac:dyDescent="0.2">
      <c r="A33" s="17" t="s">
        <v>71</v>
      </c>
      <c r="B33" s="81" t="str">
        <f t="shared" si="1"/>
        <v>Q4/2020</v>
      </c>
      <c r="C33" s="146">
        <f t="shared" si="9"/>
        <v>44105</v>
      </c>
      <c r="D33" s="146">
        <f t="shared" si="3"/>
        <v>44196</v>
      </c>
      <c r="E33" s="81">
        <f t="shared" si="4"/>
        <v>92</v>
      </c>
      <c r="F33" s="83">
        <f>VLOOKUP(D33,'FERC Interest Rate'!$A:$C,2,TRUE)</f>
        <v>6.5000000000000002E-2</v>
      </c>
      <c r="G33" s="84">
        <f t="shared" si="5"/>
        <v>77411.665945932575</v>
      </c>
      <c r="H33" s="84">
        <v>0</v>
      </c>
      <c r="I33" s="109">
        <f t="shared" si="12"/>
        <v>371.69694800470199</v>
      </c>
      <c r="J33" s="85">
        <f t="shared" si="11"/>
        <v>1264.8135583515759</v>
      </c>
      <c r="K33" s="129">
        <f t="shared" si="6"/>
        <v>1636.5105063562778</v>
      </c>
      <c r="L33" s="85">
        <f t="shared" si="13"/>
        <v>25432.191700639516</v>
      </c>
      <c r="M33" s="130">
        <f t="shared" si="7"/>
        <v>27068.702206995793</v>
      </c>
      <c r="N33" s="8">
        <f t="shared" si="8"/>
        <v>78676.479504284158</v>
      </c>
      <c r="O33" s="84">
        <f t="shared" si="2"/>
        <v>51607.777297288354</v>
      </c>
      <c r="W33" s="85"/>
      <c r="X33" s="129"/>
    </row>
    <row r="34" spans="1:24" x14ac:dyDescent="0.2">
      <c r="A34" s="17" t="s">
        <v>72</v>
      </c>
      <c r="B34" s="81" t="str">
        <f t="shared" si="1"/>
        <v>Q1/2021</v>
      </c>
      <c r="C34" s="146">
        <f t="shared" si="9"/>
        <v>44197</v>
      </c>
      <c r="D34" s="146">
        <f t="shared" si="3"/>
        <v>44286</v>
      </c>
      <c r="E34" s="81">
        <f t="shared" si="4"/>
        <v>90</v>
      </c>
      <c r="F34" s="83">
        <f>VLOOKUP(D34,'FERC Interest Rate'!$A:$C,2,TRUE)</f>
        <v>6.5000000000000002E-2</v>
      </c>
      <c r="G34" s="84">
        <f t="shared" si="5"/>
        <v>51607.777297288354</v>
      </c>
      <c r="H34" s="84">
        <v>0</v>
      </c>
      <c r="I34" s="109">
        <f t="shared" si="12"/>
        <v>371.69694800470199</v>
      </c>
      <c r="J34" s="85">
        <f t="shared" si="11"/>
        <v>827.13834846338864</v>
      </c>
      <c r="K34" s="129">
        <f t="shared" si="6"/>
        <v>1198.8352964680907</v>
      </c>
      <c r="L34" s="85">
        <f t="shared" si="13"/>
        <v>25432.191700639516</v>
      </c>
      <c r="M34" s="130">
        <f t="shared" si="7"/>
        <v>26631.026997107605</v>
      </c>
      <c r="N34" s="8">
        <f t="shared" si="8"/>
        <v>52434.915645751746</v>
      </c>
      <c r="O34" s="84">
        <f t="shared" si="2"/>
        <v>25803.888648644137</v>
      </c>
      <c r="W34" s="85"/>
      <c r="X34" s="129"/>
    </row>
    <row r="35" spans="1:24" x14ac:dyDescent="0.2">
      <c r="A35" s="17" t="s">
        <v>73</v>
      </c>
      <c r="B35" s="81" t="str">
        <f>+IF(MONTH(C35)&lt;4,"Q1",IF(MONTH(C35)&lt;7,"Q2",IF(MONTH(C35)&lt;10,"Q3","Q4")))&amp;"/"&amp;YEAR(C35)</f>
        <v>Q2/2021</v>
      </c>
      <c r="C35" s="146">
        <f>D34+1</f>
        <v>44287</v>
      </c>
      <c r="D35" s="146">
        <f t="shared" si="3"/>
        <v>44377</v>
      </c>
      <c r="E35" s="81">
        <f>D35-C35+1</f>
        <v>91</v>
      </c>
      <c r="F35" s="83">
        <f>VLOOKUP(D35,'FERC Interest Rate'!$A:$C,2,TRUE)</f>
        <v>6.5000000000000002E-2</v>
      </c>
      <c r="G35" s="84">
        <f>O34</f>
        <v>25803.888648644137</v>
      </c>
      <c r="H35" s="84">
        <v>0</v>
      </c>
      <c r="I35" s="109">
        <f t="shared" si="12"/>
        <v>371.69694800470199</v>
      </c>
      <c r="J35" s="85">
        <f>G35*F35*(E35/(DATE(YEAR(D35),12,31)-DATE(YEAR(D35),1,1)+1))</f>
        <v>418.16438727871252</v>
      </c>
      <c r="K35" s="129">
        <f>+SUM(I35:J35)</f>
        <v>789.86133528341452</v>
      </c>
      <c r="L35" s="85">
        <f t="shared" si="13"/>
        <v>25432.191700639516</v>
      </c>
      <c r="M35" s="130">
        <f>+SUM(K35:L35)</f>
        <v>26222.053035922931</v>
      </c>
      <c r="N35" s="8">
        <f>+G35+H35+J35</f>
        <v>26222.053035922851</v>
      </c>
      <c r="O35" s="84">
        <f>G35+H35-L35-I35</f>
        <v>-8.1058715295512229E-11</v>
      </c>
      <c r="W35" s="85"/>
      <c r="X35" s="129"/>
    </row>
    <row r="36" spans="1:24" x14ac:dyDescent="0.2">
      <c r="A36" s="17"/>
      <c r="B36" s="81"/>
      <c r="C36" s="146"/>
      <c r="D36" s="146"/>
      <c r="E36" s="81"/>
      <c r="F36" s="83"/>
      <c r="G36" s="84"/>
      <c r="H36" s="84"/>
      <c r="I36" s="109"/>
      <c r="J36" s="85"/>
      <c r="K36" s="129"/>
      <c r="L36" s="85"/>
      <c r="M36" s="130"/>
      <c r="N36" s="8"/>
      <c r="O36" s="84"/>
      <c r="W36" s="85"/>
      <c r="X36" s="129"/>
    </row>
    <row r="37" spans="1:24" ht="13.5" thickBot="1" x14ac:dyDescent="0.25">
      <c r="A37" s="151"/>
      <c r="B37" s="152"/>
      <c r="C37" s="155"/>
      <c r="D37" s="155"/>
      <c r="E37" s="154"/>
      <c r="F37" s="152"/>
      <c r="G37" s="140">
        <f t="shared" ref="G37:O37" si="14">+SUM(G15:G35)</f>
        <v>6091356.7411030028</v>
      </c>
      <c r="H37" s="140">
        <f t="shared" si="14"/>
        <v>7433.9389600940394</v>
      </c>
      <c r="I37" s="141">
        <f t="shared" si="14"/>
        <v>7433.9389600940385</v>
      </c>
      <c r="J37" s="140">
        <f t="shared" si="14"/>
        <v>58704.172760903879</v>
      </c>
      <c r="K37" s="140">
        <f t="shared" si="14"/>
        <v>66138.111720997927</v>
      </c>
      <c r="L37" s="140">
        <f t="shared" si="14"/>
        <v>508643.83401279018</v>
      </c>
      <c r="M37" s="142">
        <f t="shared" si="14"/>
        <v>574781.94573378831</v>
      </c>
      <c r="N37" s="140">
        <f t="shared" si="14"/>
        <v>6157494.8528240016</v>
      </c>
      <c r="O37" s="140">
        <f t="shared" si="14"/>
        <v>5582712.9070902122</v>
      </c>
      <c r="W37" s="117"/>
      <c r="X37" s="117"/>
    </row>
    <row r="38" spans="1:24" ht="14.25" thickTop="1" thickBot="1" x14ac:dyDescent="0.25">
      <c r="G38" s="85"/>
      <c r="H38" s="70"/>
      <c r="I38" s="115"/>
      <c r="J38" s="85"/>
      <c r="K38" s="117"/>
      <c r="L38" s="70"/>
      <c r="M38" s="131"/>
      <c r="N38" s="117"/>
      <c r="O38" s="117"/>
      <c r="P38" s="117"/>
      <c r="W38" s="117"/>
      <c r="X38" s="117"/>
    </row>
    <row r="39" spans="1:24" x14ac:dyDescent="0.2">
      <c r="A39" s="310" t="s">
        <v>16</v>
      </c>
      <c r="B39" s="310"/>
      <c r="C39" s="310"/>
      <c r="D39" s="310"/>
      <c r="E39" s="310"/>
      <c r="F39" s="310"/>
      <c r="G39" s="85"/>
      <c r="H39" s="70"/>
      <c r="I39" s="253"/>
      <c r="J39" s="254"/>
      <c r="K39" s="128"/>
      <c r="L39" s="255"/>
      <c r="M39" s="128"/>
      <c r="N39" s="117"/>
      <c r="O39" s="117"/>
      <c r="P39" s="117"/>
      <c r="W39" s="117"/>
      <c r="X39" s="117"/>
    </row>
    <row r="40" spans="1:24" ht="51" x14ac:dyDescent="0.2">
      <c r="A40" s="106" t="s">
        <v>4</v>
      </c>
      <c r="B40" s="106" t="s">
        <v>5</v>
      </c>
      <c r="C40" s="106" t="s">
        <v>95</v>
      </c>
      <c r="D40" s="106" t="s">
        <v>96</v>
      </c>
      <c r="E40" s="106" t="s">
        <v>97</v>
      </c>
      <c r="F40" s="106" t="s">
        <v>98</v>
      </c>
      <c r="G40" s="85"/>
      <c r="H40" s="70"/>
      <c r="I40" s="12"/>
      <c r="J40" s="85"/>
      <c r="K40" s="117"/>
      <c r="L40" s="70"/>
      <c r="M40" s="117"/>
      <c r="N40" s="117"/>
      <c r="O40" s="117"/>
      <c r="P40" s="117"/>
      <c r="Q40" s="117"/>
      <c r="R40" s="117"/>
      <c r="S40" s="129"/>
      <c r="T40" s="129"/>
      <c r="U40" s="129"/>
      <c r="V40" s="129"/>
      <c r="W40" s="117"/>
      <c r="X40" s="117"/>
    </row>
    <row r="41" spans="1:24" x14ac:dyDescent="0.2">
      <c r="A41" s="146">
        <f>$L$9</f>
        <v>42491</v>
      </c>
      <c r="B41" s="146">
        <f>DATE(YEAR(A41),IF(MONTH(A41)&lt;=3,3,IF(MONTH(A41)&lt;=6,6,IF(MONTH(A41)&lt;=9,9,12))),IF(OR(MONTH(A41)&lt;=3,MONTH(A41)&gt;=10),31,30))</f>
        <v>42551</v>
      </c>
      <c r="C41" s="85">
        <f t="shared" ref="C41:C61" si="15">I72+I100+I128+I155+I182</f>
        <v>0</v>
      </c>
      <c r="D41" s="85">
        <f t="shared" ref="D41:D61" si="16">J72+J100+J128+J155+J182</f>
        <v>0</v>
      </c>
      <c r="E41" s="84">
        <f t="shared" ref="E41:E44" si="17">D41+C41</f>
        <v>0</v>
      </c>
      <c r="F41" s="85">
        <f t="shared" ref="F41:F61" si="18">L72+L100+L128+L155+L182</f>
        <v>0</v>
      </c>
      <c r="G41" s="85"/>
      <c r="H41" s="70"/>
      <c r="I41" s="12"/>
      <c r="J41" s="85"/>
      <c r="K41" s="117"/>
      <c r="L41" s="70"/>
      <c r="M41" s="117"/>
      <c r="N41" s="117"/>
      <c r="O41" s="117"/>
      <c r="P41" s="117"/>
      <c r="Q41" s="117"/>
      <c r="R41" s="117"/>
      <c r="S41" s="129"/>
      <c r="T41" s="129"/>
      <c r="U41" s="129"/>
      <c r="V41" s="129"/>
      <c r="W41" s="117"/>
      <c r="X41" s="117"/>
    </row>
    <row r="42" spans="1:24" x14ac:dyDescent="0.2">
      <c r="A42" s="146">
        <f>B41+1</f>
        <v>42552</v>
      </c>
      <c r="B42" s="146">
        <f>EOMONTH(B41,3)</f>
        <v>42643</v>
      </c>
      <c r="C42" s="85">
        <f t="shared" si="15"/>
        <v>0</v>
      </c>
      <c r="D42" s="85">
        <f t="shared" si="16"/>
        <v>691.99890310117621</v>
      </c>
      <c r="E42" s="84">
        <f t="shared" si="17"/>
        <v>691.99890310117621</v>
      </c>
      <c r="F42" s="85">
        <f t="shared" si="18"/>
        <v>0</v>
      </c>
      <c r="G42" s="85"/>
      <c r="H42" s="70"/>
      <c r="I42" s="12"/>
      <c r="J42" s="85"/>
      <c r="K42" s="117"/>
      <c r="L42" s="70"/>
      <c r="M42" s="117"/>
      <c r="N42" s="117"/>
      <c r="O42" s="117"/>
      <c r="P42" s="117"/>
      <c r="Q42" s="117"/>
      <c r="R42" s="117"/>
      <c r="S42" s="129"/>
      <c r="T42" s="129"/>
      <c r="U42" s="129"/>
      <c r="V42" s="129"/>
      <c r="W42" s="117"/>
      <c r="X42" s="117"/>
    </row>
    <row r="43" spans="1:24" x14ac:dyDescent="0.2">
      <c r="A43" s="146">
        <f t="shared" ref="A43:A58" si="19">B42+1</f>
        <v>42644</v>
      </c>
      <c r="B43" s="146">
        <f t="shared" ref="B43:B61" si="20">EOMONTH(B42,3)</f>
        <v>42735</v>
      </c>
      <c r="C43" s="85">
        <f t="shared" si="15"/>
        <v>0</v>
      </c>
      <c r="D43" s="85">
        <f t="shared" si="16"/>
        <v>2435.2328444928089</v>
      </c>
      <c r="E43" s="84">
        <f t="shared" si="17"/>
        <v>2435.2328444928089</v>
      </c>
      <c r="F43" s="85">
        <f t="shared" si="18"/>
        <v>0</v>
      </c>
      <c r="G43" s="85"/>
      <c r="H43" s="70"/>
      <c r="I43" s="12"/>
      <c r="J43" s="85"/>
      <c r="K43" s="117"/>
      <c r="L43" s="70"/>
      <c r="M43" s="117"/>
      <c r="N43" s="117"/>
      <c r="O43" s="117"/>
      <c r="P43" s="117"/>
      <c r="Q43" s="117"/>
      <c r="R43" s="117"/>
      <c r="S43" s="129"/>
      <c r="T43" s="129"/>
      <c r="U43" s="129"/>
      <c r="V43" s="129"/>
      <c r="W43" s="117"/>
      <c r="X43" s="117"/>
    </row>
    <row r="44" spans="1:24" x14ac:dyDescent="0.2">
      <c r="A44" s="146">
        <f t="shared" si="19"/>
        <v>42736</v>
      </c>
      <c r="B44" s="146">
        <f t="shared" si="20"/>
        <v>42825</v>
      </c>
      <c r="C44" s="85">
        <f t="shared" si="15"/>
        <v>0</v>
      </c>
      <c r="D44" s="85">
        <f t="shared" si="16"/>
        <v>2409.8362232259419</v>
      </c>
      <c r="E44" s="84">
        <f t="shared" si="17"/>
        <v>2409.8362232259419</v>
      </c>
      <c r="F44" s="85">
        <f t="shared" si="18"/>
        <v>0</v>
      </c>
      <c r="G44" s="85"/>
      <c r="H44" s="70"/>
      <c r="I44" s="12"/>
      <c r="J44" s="85"/>
      <c r="K44" s="117"/>
      <c r="L44" s="70"/>
      <c r="M44" s="117"/>
      <c r="N44" s="117"/>
      <c r="O44" s="117"/>
      <c r="P44" s="117"/>
      <c r="Q44" s="117"/>
      <c r="R44" s="117"/>
      <c r="S44" s="129"/>
      <c r="T44" s="129"/>
      <c r="U44" s="129"/>
      <c r="V44" s="129"/>
      <c r="W44" s="117"/>
      <c r="X44" s="117"/>
    </row>
    <row r="45" spans="1:24" x14ac:dyDescent="0.2">
      <c r="A45" s="146">
        <f t="shared" si="19"/>
        <v>42826</v>
      </c>
      <c r="B45" s="146">
        <f t="shared" si="20"/>
        <v>42916</v>
      </c>
      <c r="C45" s="85">
        <f t="shared" si="15"/>
        <v>2016.3186420848931</v>
      </c>
      <c r="D45" s="85">
        <f t="shared" si="16"/>
        <v>2605.0989068586796</v>
      </c>
      <c r="E45" s="84">
        <f t="shared" ref="E45:E61" si="21">D45+C45</f>
        <v>4621.4175489435729</v>
      </c>
      <c r="F45" s="85">
        <f t="shared" si="18"/>
        <v>53205.23319744195</v>
      </c>
      <c r="G45" s="85"/>
      <c r="H45" s="70"/>
      <c r="I45" s="12"/>
      <c r="J45" s="85"/>
      <c r="K45" s="117"/>
      <c r="L45" s="70"/>
      <c r="M45" s="117"/>
      <c r="N45" s="117"/>
      <c r="O45" s="117"/>
      <c r="P45" s="117"/>
      <c r="Q45" s="117"/>
      <c r="R45" s="117"/>
      <c r="S45" s="129"/>
      <c r="T45" s="129"/>
      <c r="U45" s="129"/>
      <c r="V45" s="129"/>
      <c r="W45" s="117"/>
      <c r="X45" s="117"/>
    </row>
    <row r="46" spans="1:24" x14ac:dyDescent="0.2">
      <c r="A46" s="146">
        <f t="shared" si="19"/>
        <v>42917</v>
      </c>
      <c r="B46" s="146">
        <f t="shared" si="20"/>
        <v>43008</v>
      </c>
      <c r="C46" s="85">
        <f t="shared" si="15"/>
        <v>504.07966052122327</v>
      </c>
      <c r="D46" s="85">
        <f t="shared" si="16"/>
        <v>2204.7469332796081</v>
      </c>
      <c r="E46" s="84">
        <f t="shared" si="21"/>
        <v>2708.8265938008312</v>
      </c>
      <c r="F46" s="85">
        <f t="shared" si="18"/>
        <v>13301.308299360488</v>
      </c>
      <c r="G46" s="85"/>
      <c r="H46" s="70"/>
      <c r="I46" s="12"/>
      <c r="J46" s="85"/>
      <c r="K46" s="117"/>
      <c r="L46" s="70"/>
      <c r="M46" s="117"/>
      <c r="N46" s="117"/>
      <c r="O46" s="117"/>
      <c r="P46" s="117"/>
      <c r="Q46" s="117"/>
      <c r="R46" s="117"/>
      <c r="S46" s="129"/>
      <c r="T46" s="129"/>
      <c r="U46" s="129"/>
      <c r="V46" s="129"/>
      <c r="W46" s="117"/>
      <c r="X46" s="117"/>
    </row>
    <row r="47" spans="1:24" x14ac:dyDescent="0.2">
      <c r="A47" s="146">
        <f t="shared" si="19"/>
        <v>43009</v>
      </c>
      <c r="B47" s="146">
        <f t="shared" si="20"/>
        <v>43100</v>
      </c>
      <c r="C47" s="85">
        <f t="shared" si="15"/>
        <v>504.07966052122327</v>
      </c>
      <c r="D47" s="85">
        <f t="shared" si="16"/>
        <v>2197.4395334060482</v>
      </c>
      <c r="E47" s="84">
        <f t="shared" si="21"/>
        <v>2701.5191939272713</v>
      </c>
      <c r="F47" s="85">
        <f t="shared" si="18"/>
        <v>13301.308299360488</v>
      </c>
      <c r="G47" s="85"/>
      <c r="H47" s="70"/>
      <c r="I47" s="12"/>
      <c r="J47" s="85"/>
      <c r="K47" s="117"/>
      <c r="L47" s="70"/>
      <c r="M47" s="117"/>
      <c r="N47" s="117"/>
      <c r="O47" s="117"/>
      <c r="P47" s="117"/>
      <c r="Q47" s="117"/>
      <c r="R47" s="117"/>
      <c r="S47" s="129"/>
      <c r="T47" s="129"/>
      <c r="U47" s="129"/>
      <c r="V47" s="129"/>
      <c r="W47" s="117"/>
      <c r="X47" s="117"/>
    </row>
    <row r="48" spans="1:24" x14ac:dyDescent="0.2">
      <c r="A48" s="146">
        <f t="shared" si="19"/>
        <v>43101</v>
      </c>
      <c r="B48" s="146">
        <f t="shared" si="20"/>
        <v>43190</v>
      </c>
      <c r="C48" s="85">
        <f t="shared" si="15"/>
        <v>504.07966052122327</v>
      </c>
      <c r="D48" s="85">
        <f t="shared" si="16"/>
        <v>2025.4206171278506</v>
      </c>
      <c r="E48" s="84">
        <f t="shared" si="21"/>
        <v>2529.5002776490737</v>
      </c>
      <c r="F48" s="85">
        <f t="shared" si="18"/>
        <v>13301.308299360488</v>
      </c>
      <c r="G48" s="85"/>
      <c r="H48" s="70"/>
      <c r="I48" s="12"/>
      <c r="J48" s="85"/>
      <c r="K48" s="117"/>
      <c r="L48" s="70"/>
      <c r="M48" s="117"/>
      <c r="N48" s="117"/>
      <c r="O48" s="117"/>
      <c r="P48" s="117"/>
      <c r="Q48" s="117"/>
      <c r="R48" s="117"/>
      <c r="S48" s="129"/>
      <c r="T48" s="129"/>
      <c r="U48" s="129"/>
      <c r="V48" s="129"/>
      <c r="W48" s="117"/>
      <c r="X48" s="117"/>
    </row>
    <row r="49" spans="1:24" x14ac:dyDescent="0.2">
      <c r="A49" s="146">
        <f t="shared" si="19"/>
        <v>43191</v>
      </c>
      <c r="B49" s="146">
        <f t="shared" si="20"/>
        <v>43281</v>
      </c>
      <c r="C49" s="85">
        <f t="shared" si="15"/>
        <v>504.07966052122327</v>
      </c>
      <c r="D49" s="85">
        <f t="shared" si="16"/>
        <v>2000.0830023488786</v>
      </c>
      <c r="E49" s="84">
        <f t="shared" si="21"/>
        <v>2504.1626628701019</v>
      </c>
      <c r="F49" s="85">
        <f t="shared" si="18"/>
        <v>13301.308299360488</v>
      </c>
      <c r="G49" s="85"/>
      <c r="H49" s="70"/>
      <c r="I49" s="12"/>
      <c r="J49" s="85"/>
      <c r="K49" s="117"/>
      <c r="L49" s="70"/>
      <c r="M49" s="117"/>
      <c r="N49" s="117"/>
      <c r="O49" s="117"/>
      <c r="P49" s="117"/>
      <c r="Q49" s="117"/>
      <c r="R49" s="117"/>
      <c r="S49" s="129"/>
      <c r="T49" s="129"/>
      <c r="U49" s="129"/>
      <c r="V49" s="129"/>
      <c r="W49" s="117"/>
      <c r="X49" s="117"/>
    </row>
    <row r="50" spans="1:24" x14ac:dyDescent="0.2">
      <c r="A50" s="146">
        <f t="shared" si="19"/>
        <v>43282</v>
      </c>
      <c r="B50" s="146">
        <f t="shared" si="20"/>
        <v>43373</v>
      </c>
      <c r="C50" s="85">
        <f t="shared" si="15"/>
        <v>504.07966052122327</v>
      </c>
      <c r="D50" s="85">
        <f t="shared" si="16"/>
        <v>2092.4681078738076</v>
      </c>
      <c r="E50" s="84">
        <f t="shared" si="21"/>
        <v>2596.5477683950307</v>
      </c>
      <c r="F50" s="85">
        <f t="shared" si="18"/>
        <v>13301.308299360488</v>
      </c>
      <c r="G50" s="85"/>
      <c r="H50" s="70"/>
      <c r="I50" s="12"/>
      <c r="J50" s="85"/>
      <c r="K50" s="117"/>
      <c r="L50" s="70"/>
      <c r="M50" s="117"/>
      <c r="N50" s="117"/>
      <c r="O50" s="117"/>
      <c r="P50" s="117"/>
      <c r="Q50" s="117"/>
      <c r="R50" s="117"/>
      <c r="S50" s="129"/>
      <c r="T50" s="129"/>
      <c r="U50" s="129"/>
      <c r="V50" s="129"/>
      <c r="W50" s="117"/>
      <c r="X50" s="117"/>
    </row>
    <row r="51" spans="1:24" x14ac:dyDescent="0.2">
      <c r="A51" s="146">
        <f t="shared" si="19"/>
        <v>43374</v>
      </c>
      <c r="B51" s="146">
        <f t="shared" si="20"/>
        <v>43465</v>
      </c>
      <c r="C51" s="85">
        <f t="shared" si="15"/>
        <v>504.07966052122327</v>
      </c>
      <c r="D51" s="85">
        <f t="shared" si="16"/>
        <v>2021.8823135923039</v>
      </c>
      <c r="E51" s="84">
        <f t="shared" si="21"/>
        <v>2525.961974113527</v>
      </c>
      <c r="F51" s="85">
        <f t="shared" si="18"/>
        <v>13301.308299360488</v>
      </c>
      <c r="G51" s="85"/>
      <c r="H51" s="70"/>
      <c r="I51" s="12"/>
      <c r="J51" s="85"/>
      <c r="K51" s="117"/>
      <c r="L51" s="70"/>
      <c r="M51" s="117"/>
      <c r="N51" s="117"/>
      <c r="O51" s="117"/>
      <c r="P51" s="117"/>
      <c r="Q51" s="117"/>
      <c r="R51" s="117"/>
      <c r="S51" s="129"/>
      <c r="T51" s="129"/>
      <c r="U51" s="129"/>
      <c r="V51" s="129"/>
      <c r="W51" s="117"/>
      <c r="X51" s="117"/>
    </row>
    <row r="52" spans="1:24" x14ac:dyDescent="0.2">
      <c r="A52" s="146">
        <f t="shared" si="19"/>
        <v>43466</v>
      </c>
      <c r="B52" s="146">
        <f t="shared" si="20"/>
        <v>43555</v>
      </c>
      <c r="C52" s="85">
        <f t="shared" si="15"/>
        <v>504.07966052122327</v>
      </c>
      <c r="D52" s="85">
        <f t="shared" si="16"/>
        <v>1882.3397986315429</v>
      </c>
      <c r="E52" s="84">
        <f t="shared" si="21"/>
        <v>2386.4194591527662</v>
      </c>
      <c r="F52" s="85">
        <f t="shared" si="18"/>
        <v>13301.308299360488</v>
      </c>
      <c r="G52" s="85"/>
      <c r="H52" s="70"/>
      <c r="I52" s="12"/>
      <c r="J52" s="85"/>
      <c r="K52" s="117"/>
      <c r="L52" s="70"/>
      <c r="M52" s="117"/>
      <c r="N52" s="117"/>
      <c r="O52" s="117"/>
      <c r="P52" s="117"/>
      <c r="Q52" s="117"/>
      <c r="R52" s="117"/>
      <c r="S52" s="129"/>
      <c r="T52" s="129"/>
      <c r="U52" s="129"/>
      <c r="V52" s="129"/>
      <c r="W52" s="117"/>
      <c r="X52" s="117"/>
    </row>
    <row r="53" spans="1:24" x14ac:dyDescent="0.2">
      <c r="A53" s="146">
        <f t="shared" si="19"/>
        <v>43556</v>
      </c>
      <c r="B53" s="146">
        <f t="shared" si="20"/>
        <v>43646</v>
      </c>
      <c r="C53" s="85">
        <f t="shared" si="15"/>
        <v>504.07966052122327</v>
      </c>
      <c r="D53" s="85">
        <f t="shared" si="16"/>
        <v>1796.6672297816456</v>
      </c>
      <c r="E53" s="84">
        <f t="shared" si="21"/>
        <v>2300.7468903028689</v>
      </c>
      <c r="F53" s="85">
        <f t="shared" si="18"/>
        <v>13301.308299360488</v>
      </c>
      <c r="G53" s="85"/>
      <c r="H53" s="70"/>
      <c r="I53" s="12"/>
      <c r="J53" s="85"/>
      <c r="K53" s="117"/>
      <c r="L53" s="70"/>
      <c r="M53" s="117"/>
      <c r="N53" s="117"/>
      <c r="O53" s="117"/>
      <c r="P53" s="117"/>
      <c r="Q53" s="117"/>
      <c r="R53" s="117"/>
      <c r="S53" s="129"/>
      <c r="T53" s="129"/>
      <c r="U53" s="129"/>
      <c r="V53" s="129"/>
      <c r="W53" s="117"/>
      <c r="X53" s="117"/>
    </row>
    <row r="54" spans="1:24" x14ac:dyDescent="0.2">
      <c r="A54" s="146">
        <f t="shared" si="19"/>
        <v>43647</v>
      </c>
      <c r="B54" s="146">
        <f t="shared" si="20"/>
        <v>43738</v>
      </c>
      <c r="C54" s="85">
        <f t="shared" si="15"/>
        <v>504.07966052122327</v>
      </c>
      <c r="D54" s="85">
        <f t="shared" si="16"/>
        <v>1670.2628282421263</v>
      </c>
      <c r="E54" s="84">
        <f t="shared" si="21"/>
        <v>2174.3424887633496</v>
      </c>
      <c r="F54" s="85">
        <f t="shared" si="18"/>
        <v>13301.308299360488</v>
      </c>
      <c r="G54" s="85"/>
      <c r="H54" s="70"/>
      <c r="I54" s="12"/>
      <c r="J54" s="85"/>
      <c r="K54" s="117"/>
      <c r="L54" s="70"/>
      <c r="M54" s="117"/>
      <c r="N54" s="117"/>
      <c r="O54" s="117"/>
      <c r="P54" s="117"/>
      <c r="Q54" s="117"/>
      <c r="R54" s="117"/>
      <c r="S54" s="129"/>
      <c r="T54" s="129"/>
      <c r="U54" s="129"/>
      <c r="V54" s="129"/>
      <c r="W54" s="117"/>
      <c r="X54" s="117"/>
    </row>
    <row r="55" spans="1:24" x14ac:dyDescent="0.2">
      <c r="A55" s="146">
        <f t="shared" si="19"/>
        <v>43739</v>
      </c>
      <c r="B55" s="146">
        <f t="shared" si="20"/>
        <v>43830</v>
      </c>
      <c r="C55" s="85">
        <f t="shared" si="15"/>
        <v>504.07966052122327</v>
      </c>
      <c r="D55" s="85">
        <f t="shared" si="16"/>
        <v>1469.9921212445736</v>
      </c>
      <c r="E55" s="84">
        <f t="shared" si="21"/>
        <v>1974.0717817657969</v>
      </c>
      <c r="F55" s="85">
        <f t="shared" si="18"/>
        <v>13301.308299360488</v>
      </c>
      <c r="G55" s="85"/>
      <c r="H55" s="70"/>
      <c r="I55" s="12"/>
      <c r="J55" s="85"/>
      <c r="K55" s="117"/>
      <c r="L55" s="70"/>
      <c r="M55" s="117"/>
      <c r="N55" s="117"/>
      <c r="O55" s="117"/>
      <c r="P55" s="117"/>
      <c r="Q55" s="117"/>
      <c r="R55" s="117"/>
      <c r="S55" s="129"/>
      <c r="T55" s="129"/>
      <c r="U55" s="129"/>
      <c r="V55" s="129"/>
      <c r="W55" s="117"/>
      <c r="X55" s="117"/>
    </row>
    <row r="56" spans="1:24" x14ac:dyDescent="0.2">
      <c r="A56" s="146">
        <f t="shared" si="19"/>
        <v>43831</v>
      </c>
      <c r="B56" s="146">
        <f t="shared" si="20"/>
        <v>43921</v>
      </c>
      <c r="C56" s="85">
        <f t="shared" si="15"/>
        <v>504.07966052122327</v>
      </c>
      <c r="D56" s="85">
        <f t="shared" si="16"/>
        <v>1287.2041076023561</v>
      </c>
      <c r="E56" s="84">
        <f t="shared" si="21"/>
        <v>1791.2837681235794</v>
      </c>
      <c r="F56" s="85">
        <f t="shared" si="18"/>
        <v>13301.308299360488</v>
      </c>
      <c r="G56" s="85"/>
      <c r="H56" s="70"/>
      <c r="I56" s="12"/>
      <c r="J56" s="85"/>
      <c r="K56" s="117"/>
      <c r="L56" s="70"/>
      <c r="M56" s="117"/>
      <c r="N56" s="117"/>
      <c r="O56" s="117"/>
      <c r="P56" s="117"/>
      <c r="Q56" s="117"/>
      <c r="R56" s="117"/>
      <c r="S56" s="129"/>
      <c r="T56" s="129"/>
      <c r="U56" s="129"/>
      <c r="V56" s="129"/>
      <c r="W56" s="117"/>
      <c r="X56" s="117"/>
    </row>
    <row r="57" spans="1:24" x14ac:dyDescent="0.2">
      <c r="A57" s="146">
        <f t="shared" si="19"/>
        <v>43922</v>
      </c>
      <c r="B57" s="146">
        <f t="shared" si="20"/>
        <v>44012</v>
      </c>
      <c r="C57" s="85">
        <f t="shared" si="15"/>
        <v>504.07966052122327</v>
      </c>
      <c r="D57" s="85">
        <f t="shared" si="16"/>
        <v>1082.1870035971506</v>
      </c>
      <c r="E57" s="84">
        <f t="shared" si="21"/>
        <v>1586.2666641183739</v>
      </c>
      <c r="F57" s="85">
        <f t="shared" si="18"/>
        <v>13301.308299360488</v>
      </c>
      <c r="G57" s="85"/>
      <c r="H57" s="70"/>
      <c r="I57" s="12"/>
      <c r="J57" s="85"/>
      <c r="K57" s="117"/>
      <c r="L57" s="70"/>
      <c r="M57" s="117"/>
      <c r="N57" s="117"/>
      <c r="O57" s="117"/>
      <c r="P57" s="117"/>
      <c r="Q57" s="117"/>
      <c r="R57" s="117"/>
      <c r="S57" s="129"/>
      <c r="T57" s="129"/>
      <c r="U57" s="129"/>
      <c r="V57" s="129"/>
      <c r="W57" s="117"/>
      <c r="X57" s="117"/>
    </row>
    <row r="58" spans="1:24" x14ac:dyDescent="0.2">
      <c r="A58" s="146">
        <f t="shared" si="19"/>
        <v>44013</v>
      </c>
      <c r="B58" s="146">
        <f t="shared" si="20"/>
        <v>44104</v>
      </c>
      <c r="C58" s="85">
        <f t="shared" si="15"/>
        <v>504.07966052122327</v>
      </c>
      <c r="D58" s="85">
        <f t="shared" si="16"/>
        <v>902.25377049281474</v>
      </c>
      <c r="E58" s="84">
        <f t="shared" si="21"/>
        <v>1406.3334310140381</v>
      </c>
      <c r="F58" s="85">
        <f t="shared" si="18"/>
        <v>13301.308299360488</v>
      </c>
      <c r="G58" s="85"/>
      <c r="H58" s="70"/>
      <c r="I58" s="12"/>
      <c r="J58" s="85"/>
      <c r="K58" s="117"/>
      <c r="L58" s="70"/>
      <c r="M58" s="117"/>
      <c r="N58" s="117"/>
      <c r="O58" s="117"/>
      <c r="P58" s="117"/>
      <c r="Q58" s="117"/>
      <c r="R58" s="117"/>
      <c r="S58" s="129"/>
      <c r="T58" s="129"/>
      <c r="U58" s="129"/>
      <c r="V58" s="129"/>
      <c r="W58" s="117"/>
      <c r="X58" s="117"/>
    </row>
    <row r="59" spans="1:24" x14ac:dyDescent="0.2">
      <c r="A59" s="146">
        <f>B58+1</f>
        <v>44105</v>
      </c>
      <c r="B59" s="146">
        <f t="shared" si="20"/>
        <v>44196</v>
      </c>
      <c r="C59" s="85">
        <f t="shared" si="15"/>
        <v>504.07966052122327</v>
      </c>
      <c r="D59" s="85">
        <f t="shared" si="16"/>
        <v>676.69032786961088</v>
      </c>
      <c r="E59" s="84">
        <f t="shared" si="21"/>
        <v>1180.7699883908342</v>
      </c>
      <c r="F59" s="85">
        <f t="shared" si="18"/>
        <v>13301.308299360488</v>
      </c>
      <c r="G59" s="85"/>
      <c r="H59" s="70"/>
      <c r="I59" s="12"/>
      <c r="J59" s="85"/>
      <c r="K59" s="117"/>
      <c r="L59" s="70"/>
      <c r="M59" s="117"/>
      <c r="N59" s="117"/>
      <c r="O59" s="117"/>
      <c r="P59" s="117"/>
      <c r="Q59" s="117"/>
      <c r="R59" s="117"/>
      <c r="S59" s="129"/>
      <c r="T59" s="129"/>
      <c r="U59" s="129"/>
      <c r="V59" s="129"/>
      <c r="W59" s="117"/>
      <c r="X59" s="117"/>
    </row>
    <row r="60" spans="1:24" x14ac:dyDescent="0.2">
      <c r="A60" s="146">
        <f>B59+1</f>
        <v>44197</v>
      </c>
      <c r="B60" s="146">
        <f t="shared" si="20"/>
        <v>44286</v>
      </c>
      <c r="C60" s="85">
        <f t="shared" si="15"/>
        <v>504.07966052122327</v>
      </c>
      <c r="D60" s="85">
        <f t="shared" si="16"/>
        <v>442.52887433045396</v>
      </c>
      <c r="E60" s="84">
        <f t="shared" si="21"/>
        <v>946.60853485167718</v>
      </c>
      <c r="F60" s="85">
        <f t="shared" si="18"/>
        <v>13301.308299360488</v>
      </c>
      <c r="G60" s="85"/>
      <c r="H60" s="70"/>
      <c r="I60" s="12"/>
      <c r="J60" s="85"/>
      <c r="K60" s="117"/>
      <c r="L60" s="70"/>
      <c r="M60" s="117"/>
      <c r="N60" s="117"/>
      <c r="O60" s="117"/>
      <c r="P60" s="117"/>
      <c r="Q60" s="117"/>
      <c r="R60" s="117"/>
      <c r="S60" s="129"/>
      <c r="T60" s="129"/>
      <c r="U60" s="129"/>
      <c r="V60" s="129"/>
      <c r="W60" s="117"/>
      <c r="X60" s="117"/>
    </row>
    <row r="61" spans="1:24" x14ac:dyDescent="0.2">
      <c r="A61" s="146">
        <f t="shared" ref="A61" si="22">B60+1</f>
        <v>44287</v>
      </c>
      <c r="B61" s="146">
        <f t="shared" si="20"/>
        <v>44377</v>
      </c>
      <c r="C61" s="85">
        <f t="shared" si="15"/>
        <v>504.07966052122327</v>
      </c>
      <c r="D61" s="85">
        <f t="shared" si="16"/>
        <v>223.72293091150689</v>
      </c>
      <c r="E61" s="84">
        <f t="shared" si="21"/>
        <v>727.8025914327302</v>
      </c>
      <c r="F61" s="85">
        <f t="shared" si="18"/>
        <v>13301.308299360488</v>
      </c>
      <c r="G61" s="85"/>
      <c r="H61" s="70"/>
      <c r="I61" s="12"/>
      <c r="J61" s="85"/>
      <c r="K61" s="117"/>
      <c r="L61" s="70"/>
      <c r="M61" s="117"/>
      <c r="N61" s="117"/>
      <c r="O61" s="117"/>
      <c r="P61" s="117"/>
      <c r="Q61" s="117"/>
      <c r="R61" s="117"/>
      <c r="S61" s="129"/>
      <c r="T61" s="129"/>
      <c r="U61" s="129"/>
      <c r="V61" s="129"/>
      <c r="W61" s="117"/>
      <c r="X61" s="117"/>
    </row>
    <row r="62" spans="1:24" x14ac:dyDescent="0.2">
      <c r="A62" s="146"/>
      <c r="B62" s="146"/>
      <c r="C62" s="85"/>
      <c r="D62" s="85"/>
      <c r="E62" s="84"/>
      <c r="F62" s="85"/>
      <c r="G62" s="85"/>
      <c r="H62" s="70"/>
      <c r="I62" s="12"/>
      <c r="J62" s="85"/>
      <c r="K62" s="117"/>
      <c r="L62" s="70"/>
      <c r="M62" s="117"/>
      <c r="N62" s="117"/>
      <c r="O62" s="117"/>
      <c r="P62" s="117"/>
      <c r="Q62" s="117"/>
      <c r="R62" s="117"/>
      <c r="S62" s="129"/>
      <c r="T62" s="129"/>
      <c r="U62" s="129"/>
      <c r="V62" s="129"/>
      <c r="W62" s="117"/>
      <c r="X62" s="117"/>
    </row>
    <row r="63" spans="1:24" x14ac:dyDescent="0.2">
      <c r="A63" s="125"/>
      <c r="B63" s="125"/>
      <c r="C63" s="175">
        <f>SUM(C41:C62)</f>
        <v>10081.593210424468</v>
      </c>
      <c r="D63" s="175">
        <f>SUM(D41:D62)</f>
        <v>32118.056378010886</v>
      </c>
      <c r="E63" s="175">
        <f>SUM(E41:E62)</f>
        <v>42199.64958843535</v>
      </c>
      <c r="F63" s="175">
        <f>SUM(F41:F62)</f>
        <v>266026.16598720965</v>
      </c>
      <c r="G63" s="85"/>
      <c r="H63" s="70"/>
      <c r="I63" s="12"/>
      <c r="J63" s="85"/>
      <c r="K63" s="117"/>
      <c r="L63" s="70"/>
      <c r="M63" s="117"/>
      <c r="N63" s="117"/>
      <c r="O63" s="117"/>
      <c r="P63" s="117"/>
      <c r="Q63" s="117"/>
      <c r="R63" s="117"/>
      <c r="S63" s="129"/>
      <c r="T63" s="129"/>
      <c r="U63" s="129"/>
      <c r="V63" s="129"/>
      <c r="W63" s="117"/>
      <c r="X63" s="117"/>
    </row>
    <row r="64" spans="1:24" x14ac:dyDescent="0.2">
      <c r="A64" s="117"/>
      <c r="B64" s="117"/>
      <c r="C64" s="129">
        <f>I94+I122+I150+I177+I204</f>
        <v>10081.593210424466</v>
      </c>
      <c r="D64" s="129">
        <f>J94+J122+J150+J177+J204</f>
        <v>32118.05637801089</v>
      </c>
      <c r="E64" s="129">
        <f>K94+K122+K150+K177+K204</f>
        <v>42199.64958843535</v>
      </c>
      <c r="F64" s="129">
        <f>L94+L122+L150+L177+L204</f>
        <v>266026.16598720982</v>
      </c>
      <c r="G64" s="85"/>
      <c r="H64" s="70"/>
      <c r="I64" s="12"/>
      <c r="J64" s="85"/>
      <c r="K64" s="117"/>
      <c r="L64" s="70"/>
      <c r="M64" s="117"/>
      <c r="N64" s="117"/>
      <c r="O64" s="117"/>
      <c r="P64" s="117"/>
      <c r="Q64" s="117"/>
      <c r="R64" s="117"/>
      <c r="S64" s="129"/>
      <c r="T64" s="129"/>
      <c r="U64" s="129"/>
      <c r="V64" s="129"/>
      <c r="W64" s="117"/>
      <c r="X64" s="117"/>
    </row>
    <row r="65" spans="1:24" ht="13.5" thickBot="1" x14ac:dyDescent="0.25">
      <c r="A65" s="117"/>
      <c r="B65" s="117"/>
      <c r="C65" s="129"/>
      <c r="D65" s="129"/>
      <c r="E65" s="129"/>
      <c r="F65" s="129"/>
      <c r="G65" s="85"/>
      <c r="H65" s="70"/>
      <c r="I65" s="256"/>
      <c r="J65" s="169"/>
      <c r="K65" s="122"/>
      <c r="L65" s="148"/>
      <c r="M65" s="122"/>
      <c r="N65" s="117"/>
      <c r="O65" s="117"/>
      <c r="P65" s="117"/>
      <c r="Q65" s="117"/>
      <c r="R65" s="117"/>
      <c r="S65" s="129"/>
      <c r="T65" s="129"/>
      <c r="U65" s="129"/>
      <c r="V65" s="129"/>
      <c r="W65" s="117"/>
      <c r="X65" s="117"/>
    </row>
    <row r="66" spans="1:24" x14ac:dyDescent="0.2">
      <c r="B66" s="11"/>
      <c r="C66" s="125"/>
      <c r="D66" s="125"/>
      <c r="E66" s="10"/>
      <c r="F66" s="11"/>
      <c r="G66" s="85"/>
      <c r="H66" s="70"/>
      <c r="I66" s="115"/>
      <c r="J66" s="85"/>
      <c r="K66" s="117"/>
      <c r="L66" s="70"/>
      <c r="M66" s="131"/>
      <c r="N66" s="117"/>
      <c r="O66" s="117"/>
      <c r="P66" s="117"/>
      <c r="Q66" s="117"/>
      <c r="R66" s="117"/>
      <c r="S66" s="129"/>
      <c r="T66" s="129"/>
      <c r="U66" s="129"/>
      <c r="V66" s="129"/>
      <c r="W66" s="117"/>
      <c r="X66" s="117"/>
    </row>
    <row r="67" spans="1:24" ht="36.75" x14ac:dyDescent="0.2">
      <c r="A67" s="90" t="s">
        <v>53</v>
      </c>
      <c r="B67" s="90" t="s">
        <v>3</v>
      </c>
      <c r="C67" s="90" t="s">
        <v>4</v>
      </c>
      <c r="D67" s="90" t="s">
        <v>5</v>
      </c>
      <c r="E67" s="90" t="s">
        <v>6</v>
      </c>
      <c r="F67" s="90" t="s">
        <v>7</v>
      </c>
      <c r="G67" s="90" t="s">
        <v>80</v>
      </c>
      <c r="H67" s="90" t="s">
        <v>81</v>
      </c>
      <c r="I67" s="105" t="s">
        <v>82</v>
      </c>
      <c r="J67" s="106" t="s">
        <v>83</v>
      </c>
      <c r="K67" s="106" t="s">
        <v>84</v>
      </c>
      <c r="L67" s="106" t="s">
        <v>85</v>
      </c>
      <c r="M67" s="107" t="s">
        <v>75</v>
      </c>
      <c r="N67" s="90" t="s">
        <v>86</v>
      </c>
      <c r="O67" s="90" t="s">
        <v>87</v>
      </c>
      <c r="P67" s="117"/>
      <c r="Q67" s="117"/>
      <c r="R67" s="117"/>
      <c r="S67" s="129"/>
      <c r="T67" s="129"/>
      <c r="U67" s="129"/>
      <c r="V67" s="129"/>
      <c r="W67" s="117"/>
      <c r="X67" s="117"/>
    </row>
    <row r="68" spans="1:24" x14ac:dyDescent="0.2">
      <c r="A68" s="275" t="s">
        <v>38</v>
      </c>
      <c r="B68" s="276" t="s">
        <v>54</v>
      </c>
      <c r="C68" s="82">
        <f>VLOOKUP(B68,A$1:F$11,2,FALSE)</f>
        <v>42172</v>
      </c>
      <c r="D68" s="82">
        <f>DATE(YEAR(C68),IF(MONTH(C68)&lt;=3,3,IF(MONTH(C68)&lt;=6,6,IF(MONTH(C68)&lt;=9,9,12))),IF(OR(MONTH(C68)&lt;=3,MONTH(C68)&gt;=10),31,30))</f>
        <v>42185</v>
      </c>
      <c r="E68" s="81">
        <f>D68-C68+1</f>
        <v>14</v>
      </c>
      <c r="F68" s="83">
        <f>VLOOKUP(D68,'FERC Interest Rate'!$A:$B,2,TRUE)</f>
        <v>3.2500000000000001E-2</v>
      </c>
      <c r="G68" s="84">
        <f>VLOOKUP(B68,$A$1:$F$11,5,FALSE)</f>
        <v>76013</v>
      </c>
      <c r="H68" s="84">
        <f t="shared" ref="H68:H73" si="23">G68*F68*(E68/(DATE(YEAR(D68),12,31)-DATE(YEAR(D68),1,1)+1))</f>
        <v>94.755931506849322</v>
      </c>
      <c r="I68" s="173">
        <v>0</v>
      </c>
      <c r="J68" s="85">
        <v>0</v>
      </c>
      <c r="K68" s="129">
        <f t="shared" ref="K68:K74" si="24">+SUM(I68:J68)</f>
        <v>0</v>
      </c>
      <c r="L68" s="85">
        <v>0</v>
      </c>
      <c r="M68" s="130">
        <f t="shared" ref="M68:M91" si="25">+SUM(K68:L68)</f>
        <v>0</v>
      </c>
      <c r="N68" s="8">
        <f t="shared" ref="N68:N91" si="26">+G68+H68+J68</f>
        <v>76107.75593150685</v>
      </c>
      <c r="O68" s="84">
        <f t="shared" ref="O68:O91" si="27">G68+H68-L68-I68</f>
        <v>76107.75593150685</v>
      </c>
      <c r="P68" s="117"/>
      <c r="Q68" s="117"/>
      <c r="R68" s="117"/>
      <c r="S68" s="117"/>
      <c r="T68" s="117"/>
      <c r="U68" s="117"/>
      <c r="V68" s="117"/>
      <c r="W68" s="117"/>
      <c r="X68" s="117"/>
    </row>
    <row r="69" spans="1:24" x14ac:dyDescent="0.2">
      <c r="A69" s="96" t="s">
        <v>22</v>
      </c>
      <c r="B69" s="81" t="str">
        <f t="shared" ref="B69:B92" si="28">+IF(MONTH(C69)&lt;4,"Q1",IF(MONTH(C69)&lt;7,"Q2",IF(MONTH(C69)&lt;10,"Q3","Q4")))&amp;"/"&amp;YEAR(C69)</f>
        <v>Q3/2015</v>
      </c>
      <c r="C69" s="82">
        <f>D68+1</f>
        <v>42186</v>
      </c>
      <c r="D69" s="82">
        <f>EOMONTH(D68,3)</f>
        <v>42277</v>
      </c>
      <c r="E69" s="81">
        <f t="shared" ref="E69:E91" si="29">D69-C69+1</f>
        <v>92</v>
      </c>
      <c r="F69" s="83">
        <f>VLOOKUP(D69,'FERC Interest Rate'!$A:$B,2,TRUE)</f>
        <v>3.2500000000000001E-2</v>
      </c>
      <c r="G69" s="84">
        <f t="shared" ref="G69:G91" si="30">O68</f>
        <v>76107.75593150685</v>
      </c>
      <c r="H69" s="84">
        <f t="shared" si="23"/>
        <v>623.45805543891913</v>
      </c>
      <c r="I69" s="173">
        <v>0</v>
      </c>
      <c r="J69" s="85">
        <v>0</v>
      </c>
      <c r="K69" s="129">
        <f t="shared" si="24"/>
        <v>0</v>
      </c>
      <c r="L69" s="85">
        <v>0</v>
      </c>
      <c r="M69" s="130">
        <f t="shared" si="25"/>
        <v>0</v>
      </c>
      <c r="N69" s="8">
        <f t="shared" si="26"/>
        <v>76731.213986945775</v>
      </c>
      <c r="O69" s="84">
        <f t="shared" si="27"/>
        <v>76731.213986945775</v>
      </c>
      <c r="P69" s="117"/>
      <c r="Q69" s="117"/>
      <c r="R69" s="117"/>
      <c r="S69" s="117"/>
      <c r="T69" s="117"/>
      <c r="U69" s="117"/>
      <c r="V69" s="117"/>
      <c r="W69" s="117"/>
      <c r="X69" s="117"/>
    </row>
    <row r="70" spans="1:24" x14ac:dyDescent="0.2">
      <c r="A70" s="96" t="s">
        <v>22</v>
      </c>
      <c r="B70" s="81" t="str">
        <f t="shared" si="28"/>
        <v>Q4/2015</v>
      </c>
      <c r="C70" s="82">
        <f t="shared" ref="C70:C91" si="31">D69+1</f>
        <v>42278</v>
      </c>
      <c r="D70" s="82">
        <f t="shared" ref="D70:D92" si="32">EOMONTH(D69,3)</f>
        <v>42369</v>
      </c>
      <c r="E70" s="81">
        <f t="shared" si="29"/>
        <v>92</v>
      </c>
      <c r="F70" s="83">
        <f>VLOOKUP(D70,'FERC Interest Rate'!$A:$B,2,TRUE)</f>
        <v>3.2500000000000001E-2</v>
      </c>
      <c r="G70" s="84">
        <f t="shared" si="30"/>
        <v>76731.213986945775</v>
      </c>
      <c r="H70" s="84">
        <f t="shared" si="23"/>
        <v>628.565287180734</v>
      </c>
      <c r="I70" s="173">
        <v>0</v>
      </c>
      <c r="J70" s="85">
        <v>0</v>
      </c>
      <c r="K70" s="129">
        <f t="shared" si="24"/>
        <v>0</v>
      </c>
      <c r="L70" s="85">
        <v>0</v>
      </c>
      <c r="M70" s="130">
        <f t="shared" si="25"/>
        <v>0</v>
      </c>
      <c r="N70" s="8">
        <f t="shared" si="26"/>
        <v>77359.779274126515</v>
      </c>
      <c r="O70" s="84">
        <f t="shared" si="27"/>
        <v>77359.779274126515</v>
      </c>
      <c r="P70" s="117"/>
      <c r="Q70" s="117"/>
      <c r="R70" s="117"/>
      <c r="S70" s="117"/>
      <c r="T70" s="117"/>
      <c r="U70" s="117"/>
      <c r="V70" s="117"/>
      <c r="W70" s="117"/>
      <c r="X70" s="117"/>
    </row>
    <row r="71" spans="1:24" x14ac:dyDescent="0.2">
      <c r="A71" s="96" t="s">
        <v>22</v>
      </c>
      <c r="B71" s="81" t="str">
        <f t="shared" si="28"/>
        <v>Q1/2016</v>
      </c>
      <c r="C71" s="82">
        <f t="shared" si="31"/>
        <v>42370</v>
      </c>
      <c r="D71" s="82">
        <f t="shared" si="32"/>
        <v>42460</v>
      </c>
      <c r="E71" s="81">
        <f t="shared" si="29"/>
        <v>91</v>
      </c>
      <c r="F71" s="83">
        <f>VLOOKUP(D71,'FERC Interest Rate'!$A:$B,2,TRUE)</f>
        <v>3.2500000000000001E-2</v>
      </c>
      <c r="G71" s="84">
        <f t="shared" si="30"/>
        <v>77359.779274126515</v>
      </c>
      <c r="H71" s="84">
        <f t="shared" si="23"/>
        <v>625.11351694871348</v>
      </c>
      <c r="I71" s="173">
        <v>0</v>
      </c>
      <c r="J71" s="85">
        <v>0</v>
      </c>
      <c r="K71" s="129">
        <f t="shared" si="24"/>
        <v>0</v>
      </c>
      <c r="L71" s="85">
        <v>0</v>
      </c>
      <c r="M71" s="130">
        <f t="shared" si="25"/>
        <v>0</v>
      </c>
      <c r="N71" s="8">
        <f t="shared" si="26"/>
        <v>77984.892791075225</v>
      </c>
      <c r="O71" s="84">
        <f t="shared" si="27"/>
        <v>77984.892791075225</v>
      </c>
      <c r="P71" s="117"/>
      <c r="Q71" s="117"/>
      <c r="R71" s="117"/>
      <c r="S71" s="117"/>
      <c r="T71" s="117"/>
      <c r="U71" s="117"/>
      <c r="V71" s="117"/>
      <c r="W71" s="117"/>
      <c r="X71" s="117"/>
    </row>
    <row r="72" spans="1:24" x14ac:dyDescent="0.2">
      <c r="A72" s="96" t="s">
        <v>22</v>
      </c>
      <c r="B72" s="81" t="str">
        <f t="shared" si="28"/>
        <v>Q2/2016</v>
      </c>
      <c r="C72" s="82">
        <f t="shared" si="31"/>
        <v>42461</v>
      </c>
      <c r="D72" s="82">
        <f t="shared" si="32"/>
        <v>42551</v>
      </c>
      <c r="E72" s="81">
        <f t="shared" si="29"/>
        <v>91</v>
      </c>
      <c r="F72" s="83">
        <f>VLOOKUP(D72,'FERC Interest Rate'!$A:$B,2,TRUE)</f>
        <v>3.4599999999999999E-2</v>
      </c>
      <c r="G72" s="84">
        <f t="shared" si="30"/>
        <v>77984.892791075225</v>
      </c>
      <c r="H72" s="84">
        <f t="shared" si="23"/>
        <v>670.88315148081813</v>
      </c>
      <c r="I72" s="109">
        <v>0</v>
      </c>
      <c r="J72" s="85">
        <v>0</v>
      </c>
      <c r="K72" s="129">
        <f t="shared" si="24"/>
        <v>0</v>
      </c>
      <c r="L72" s="85">
        <v>0</v>
      </c>
      <c r="M72" s="130">
        <f t="shared" si="25"/>
        <v>0</v>
      </c>
      <c r="N72" s="8">
        <f t="shared" si="26"/>
        <v>78655.775942556036</v>
      </c>
      <c r="O72" s="84">
        <f t="shared" si="27"/>
        <v>78655.775942556036</v>
      </c>
      <c r="P72" s="117"/>
      <c r="Q72" s="117"/>
      <c r="R72" s="117"/>
      <c r="S72" s="117"/>
      <c r="T72" s="117"/>
      <c r="U72" s="117"/>
      <c r="V72" s="117"/>
      <c r="W72" s="117"/>
      <c r="X72" s="117"/>
    </row>
    <row r="73" spans="1:24" x14ac:dyDescent="0.2">
      <c r="A73" s="96" t="s">
        <v>22</v>
      </c>
      <c r="B73" s="81" t="str">
        <f t="shared" si="28"/>
        <v>Q3/2016</v>
      </c>
      <c r="C73" s="82">
        <f t="shared" si="31"/>
        <v>42552</v>
      </c>
      <c r="D73" s="82">
        <f t="shared" si="32"/>
        <v>42643</v>
      </c>
      <c r="E73" s="81">
        <f t="shared" si="29"/>
        <v>92</v>
      </c>
      <c r="F73" s="83">
        <f>VLOOKUP(D73,'FERC Interest Rate'!$A:$B,2,TRUE)</f>
        <v>3.5000000000000003E-2</v>
      </c>
      <c r="G73" s="84">
        <f t="shared" si="30"/>
        <v>78655.775942556036</v>
      </c>
      <c r="H73" s="84">
        <f t="shared" si="23"/>
        <v>691.99890310117621</v>
      </c>
      <c r="I73" s="109">
        <v>0</v>
      </c>
      <c r="J73" s="85">
        <f t="shared" ref="J73:J75" si="33">G73*F73*(E73/(DATE(YEAR(D73),12,31)-DATE(YEAR(D73),1,1)+1))</f>
        <v>691.99890310117621</v>
      </c>
      <c r="K73" s="129">
        <f t="shared" si="24"/>
        <v>691.99890310117621</v>
      </c>
      <c r="L73" s="85">
        <v>0</v>
      </c>
      <c r="M73" s="130">
        <v>0</v>
      </c>
      <c r="N73" s="8">
        <f t="shared" si="26"/>
        <v>80039.773748758395</v>
      </c>
      <c r="O73" s="84">
        <f>+N73-M73</f>
        <v>80039.773748758395</v>
      </c>
      <c r="P73" s="117"/>
      <c r="Q73" s="117"/>
      <c r="R73" s="117"/>
      <c r="S73" s="117"/>
      <c r="T73" s="117"/>
      <c r="U73" s="117"/>
      <c r="V73" s="117"/>
      <c r="W73" s="117"/>
      <c r="X73" s="117"/>
    </row>
    <row r="74" spans="1:24" x14ac:dyDescent="0.2">
      <c r="A74" s="96" t="s">
        <v>22</v>
      </c>
      <c r="B74" s="81" t="str">
        <f t="shared" si="28"/>
        <v>Q4/2016</v>
      </c>
      <c r="C74" s="82">
        <f t="shared" si="31"/>
        <v>42644</v>
      </c>
      <c r="D74" s="82">
        <f t="shared" si="32"/>
        <v>42735</v>
      </c>
      <c r="E74" s="81">
        <f t="shared" si="29"/>
        <v>92</v>
      </c>
      <c r="F74" s="83">
        <f>VLOOKUP(D74,'FERC Interest Rate'!$A:$B,2,TRUE)</f>
        <v>3.5000000000000003E-2</v>
      </c>
      <c r="G74" s="84">
        <f t="shared" si="30"/>
        <v>80039.773748758395</v>
      </c>
      <c r="H74" s="84">
        <v>0</v>
      </c>
      <c r="I74" s="109">
        <v>0</v>
      </c>
      <c r="J74" s="85">
        <f t="shared" si="33"/>
        <v>704.17505866394004</v>
      </c>
      <c r="K74" s="129">
        <f t="shared" si="24"/>
        <v>704.17505866394004</v>
      </c>
      <c r="L74" s="85">
        <v>0</v>
      </c>
      <c r="M74" s="130">
        <v>0</v>
      </c>
      <c r="N74" s="8">
        <f t="shared" si="26"/>
        <v>80743.948807422334</v>
      </c>
      <c r="O74" s="84">
        <f t="shared" ref="O74:O75" si="34">+N74-M74</f>
        <v>80743.948807422334</v>
      </c>
      <c r="P74" s="117"/>
      <c r="Q74" s="117"/>
      <c r="R74" s="117"/>
      <c r="S74" s="117"/>
      <c r="T74" s="117"/>
      <c r="U74" s="117"/>
      <c r="V74" s="117"/>
      <c r="W74" s="117"/>
      <c r="X74" s="117"/>
    </row>
    <row r="75" spans="1:24" x14ac:dyDescent="0.2">
      <c r="A75" s="96" t="s">
        <v>22</v>
      </c>
      <c r="B75" s="81" t="str">
        <f t="shared" si="28"/>
        <v>Q1/2017</v>
      </c>
      <c r="C75" s="82">
        <f t="shared" si="31"/>
        <v>42736</v>
      </c>
      <c r="D75" s="82">
        <f t="shared" si="32"/>
        <v>42825</v>
      </c>
      <c r="E75" s="81">
        <f t="shared" si="29"/>
        <v>90</v>
      </c>
      <c r="F75" s="83">
        <f>VLOOKUP(D75,'FERC Interest Rate'!$A:$B,2,TRUE)</f>
        <v>3.5000000000000003E-2</v>
      </c>
      <c r="G75" s="84">
        <f t="shared" si="30"/>
        <v>80743.948807422334</v>
      </c>
      <c r="H75" s="84">
        <v>0</v>
      </c>
      <c r="I75" s="109">
        <v>0</v>
      </c>
      <c r="J75" s="85">
        <f t="shared" si="33"/>
        <v>696.83133902295992</v>
      </c>
      <c r="K75" s="129">
        <f t="shared" ref="K75:K91" si="35">+SUM(I75:J75)</f>
        <v>696.83133902295992</v>
      </c>
      <c r="L75" s="85">
        <v>0</v>
      </c>
      <c r="M75" s="130">
        <v>0</v>
      </c>
      <c r="N75" s="8">
        <f t="shared" si="26"/>
        <v>81440.780146445293</v>
      </c>
      <c r="O75" s="84">
        <f t="shared" si="34"/>
        <v>81440.780146445293</v>
      </c>
      <c r="P75" s="117"/>
      <c r="Q75" s="117"/>
      <c r="R75" s="117"/>
      <c r="S75" s="117"/>
      <c r="T75" s="117"/>
      <c r="U75" s="117"/>
      <c r="V75" s="117"/>
      <c r="W75" s="117"/>
      <c r="X75" s="117"/>
    </row>
    <row r="76" spans="1:24" x14ac:dyDescent="0.2">
      <c r="A76" s="274" t="s">
        <v>102</v>
      </c>
      <c r="B76" s="81" t="str">
        <f t="shared" si="28"/>
        <v>Q2/2017</v>
      </c>
      <c r="C76" s="82">
        <f t="shared" si="31"/>
        <v>42826</v>
      </c>
      <c r="D76" s="82">
        <f t="shared" si="32"/>
        <v>42916</v>
      </c>
      <c r="E76" s="81">
        <f t="shared" si="29"/>
        <v>91</v>
      </c>
      <c r="F76" s="83">
        <f>VLOOKUP(D76,'FERC Interest Rate'!$A:$B,2,TRUE)</f>
        <v>3.7100000000000001E-2</v>
      </c>
      <c r="G76" s="84">
        <f t="shared" si="30"/>
        <v>81440.780146445293</v>
      </c>
      <c r="H76" s="84">
        <v>0</v>
      </c>
      <c r="I76" s="109">
        <f>(SUM($H$68:$H$92)/20)*4</f>
        <v>666.954969131442</v>
      </c>
      <c r="J76" s="85">
        <f t="shared" ref="J76:J91" si="36">G76*F76*(E76/(DATE(YEAR(D76),12,31)-DATE(YEAR(D76),1,1)+1))</f>
        <v>753.29374754086018</v>
      </c>
      <c r="K76" s="129">
        <f>+SUM(I76:J76)</f>
        <v>1420.2487166723022</v>
      </c>
      <c r="L76" s="85">
        <f>($G$68/20)*4</f>
        <v>15202.6</v>
      </c>
      <c r="M76" s="130">
        <f>+SUM(K73:L76)</f>
        <v>18715.854017460377</v>
      </c>
      <c r="N76" s="8">
        <f t="shared" si="26"/>
        <v>82194.073893986148</v>
      </c>
      <c r="O76" s="84">
        <f>+N76-M76</f>
        <v>63478.219876525771</v>
      </c>
      <c r="P76" s="117"/>
      <c r="Q76" s="117"/>
      <c r="R76" s="117"/>
      <c r="S76" s="117"/>
      <c r="T76" s="117"/>
      <c r="U76" s="117"/>
      <c r="V76" s="117"/>
      <c r="W76" s="117"/>
      <c r="X76" s="117"/>
    </row>
    <row r="77" spans="1:24" x14ac:dyDescent="0.2">
      <c r="A77" s="17" t="s">
        <v>58</v>
      </c>
      <c r="B77" s="81" t="str">
        <f t="shared" si="28"/>
        <v>Q3/2017</v>
      </c>
      <c r="C77" s="82">
        <f t="shared" si="31"/>
        <v>42917</v>
      </c>
      <c r="D77" s="82">
        <f t="shared" si="32"/>
        <v>43008</v>
      </c>
      <c r="E77" s="81">
        <f t="shared" si="29"/>
        <v>92</v>
      </c>
      <c r="F77" s="83">
        <f>VLOOKUP(D77,'FERC Interest Rate'!$A:$B,2,TRUE)</f>
        <v>3.9600000000000003E-2</v>
      </c>
      <c r="G77" s="84">
        <f t="shared" si="30"/>
        <v>63478.219876525771</v>
      </c>
      <c r="H77" s="84">
        <v>0</v>
      </c>
      <c r="I77" s="109">
        <f t="shared" ref="I77:I92" si="37">(SUM($H$68:$H$92)/20)</f>
        <v>166.7387422828605</v>
      </c>
      <c r="J77" s="85">
        <f t="shared" si="36"/>
        <v>633.59959083331159</v>
      </c>
      <c r="K77" s="129">
        <f t="shared" si="35"/>
        <v>800.33833311617207</v>
      </c>
      <c r="L77" s="85">
        <f>($G$68/20)</f>
        <v>3800.65</v>
      </c>
      <c r="M77" s="130">
        <f t="shared" si="25"/>
        <v>4600.9883331161718</v>
      </c>
      <c r="N77" s="8">
        <f t="shared" si="26"/>
        <v>64111.819467359084</v>
      </c>
      <c r="O77" s="84">
        <f t="shared" si="27"/>
        <v>59510.831134242908</v>
      </c>
      <c r="P77" s="117"/>
      <c r="Q77" s="117"/>
      <c r="R77" s="117"/>
      <c r="S77" s="117"/>
      <c r="T77" s="117"/>
      <c r="U77" s="117"/>
      <c r="V77" s="117"/>
      <c r="W77" s="117"/>
      <c r="X77" s="117"/>
    </row>
    <row r="78" spans="1:24" x14ac:dyDescent="0.2">
      <c r="A78" s="17" t="s">
        <v>59</v>
      </c>
      <c r="B78" s="81" t="str">
        <f t="shared" si="28"/>
        <v>Q4/2017</v>
      </c>
      <c r="C78" s="82">
        <f t="shared" si="31"/>
        <v>43009</v>
      </c>
      <c r="D78" s="82">
        <f t="shared" si="32"/>
        <v>43100</v>
      </c>
      <c r="E78" s="81">
        <f t="shared" si="29"/>
        <v>92</v>
      </c>
      <c r="F78" s="83">
        <f>VLOOKUP(D78,'FERC Interest Rate'!$A:$B,2,TRUE)</f>
        <v>4.2099999999999999E-2</v>
      </c>
      <c r="G78" s="84">
        <f t="shared" si="30"/>
        <v>59510.831134242908</v>
      </c>
      <c r="H78" s="84">
        <v>0</v>
      </c>
      <c r="I78" s="109">
        <f t="shared" si="37"/>
        <v>166.7387422828605</v>
      </c>
      <c r="J78" s="85">
        <f t="shared" si="36"/>
        <v>631.49959218945105</v>
      </c>
      <c r="K78" s="129">
        <f t="shared" si="35"/>
        <v>798.23833447231152</v>
      </c>
      <c r="L78" s="85">
        <f t="shared" ref="L78:L92" si="38">($G$68/20)</f>
        <v>3800.65</v>
      </c>
      <c r="M78" s="130">
        <f t="shared" si="25"/>
        <v>4598.8883344723117</v>
      </c>
      <c r="N78" s="8">
        <f t="shared" si="26"/>
        <v>60142.330726432359</v>
      </c>
      <c r="O78" s="84">
        <f t="shared" si="27"/>
        <v>55543.442391960045</v>
      </c>
      <c r="P78" s="117"/>
      <c r="Q78" s="117"/>
      <c r="R78" s="117"/>
      <c r="S78" s="117"/>
      <c r="T78" s="117"/>
      <c r="U78" s="117"/>
      <c r="V78" s="117"/>
      <c r="W78" s="117"/>
      <c r="X78" s="117"/>
    </row>
    <row r="79" spans="1:24" x14ac:dyDescent="0.2">
      <c r="A79" s="17" t="s">
        <v>60</v>
      </c>
      <c r="B79" s="81" t="str">
        <f t="shared" si="28"/>
        <v>Q1/2018</v>
      </c>
      <c r="C79" s="82">
        <f t="shared" si="31"/>
        <v>43101</v>
      </c>
      <c r="D79" s="82">
        <f t="shared" si="32"/>
        <v>43190</v>
      </c>
      <c r="E79" s="81">
        <f t="shared" si="29"/>
        <v>90</v>
      </c>
      <c r="F79" s="83">
        <f>VLOOKUP(D79,'FERC Interest Rate'!$A:$B,2,TRUE)</f>
        <v>4.2500000000000003E-2</v>
      </c>
      <c r="G79" s="84">
        <f t="shared" si="30"/>
        <v>55543.442391960045</v>
      </c>
      <c r="H79" s="84">
        <v>0</v>
      </c>
      <c r="I79" s="109">
        <f t="shared" si="37"/>
        <v>166.7387422828605</v>
      </c>
      <c r="J79" s="85">
        <f t="shared" si="36"/>
        <v>582.06484150478673</v>
      </c>
      <c r="K79" s="129">
        <f t="shared" si="35"/>
        <v>748.8035837876472</v>
      </c>
      <c r="L79" s="85">
        <f t="shared" si="38"/>
        <v>3800.65</v>
      </c>
      <c r="M79" s="130">
        <f t="shared" si="25"/>
        <v>4549.4535837876474</v>
      </c>
      <c r="N79" s="8">
        <f t="shared" si="26"/>
        <v>56125.507233464828</v>
      </c>
      <c r="O79" s="84">
        <f t="shared" si="27"/>
        <v>51576.053649677182</v>
      </c>
      <c r="P79" s="117"/>
      <c r="Q79" s="117"/>
      <c r="R79" s="117"/>
      <c r="S79" s="117"/>
      <c r="T79" s="117"/>
      <c r="U79" s="117"/>
      <c r="V79" s="117"/>
      <c r="W79" s="117"/>
      <c r="X79" s="117"/>
    </row>
    <row r="80" spans="1:24" x14ac:dyDescent="0.2">
      <c r="A80" s="17" t="s">
        <v>61</v>
      </c>
      <c r="B80" s="81" t="str">
        <f t="shared" si="28"/>
        <v>Q2/2018</v>
      </c>
      <c r="C80" s="82">
        <f t="shared" si="31"/>
        <v>43191</v>
      </c>
      <c r="D80" s="82">
        <f t="shared" si="32"/>
        <v>43281</v>
      </c>
      <c r="E80" s="81">
        <f t="shared" si="29"/>
        <v>91</v>
      </c>
      <c r="F80" s="83">
        <f>VLOOKUP(D80,'FERC Interest Rate'!$A:$B,2,TRUE)</f>
        <v>4.4699999999999997E-2</v>
      </c>
      <c r="G80" s="84">
        <f t="shared" si="30"/>
        <v>51576.053649677182</v>
      </c>
      <c r="H80" s="84">
        <v>0</v>
      </c>
      <c r="I80" s="109">
        <f t="shared" si="37"/>
        <v>166.7387422828605</v>
      </c>
      <c r="J80" s="85">
        <f t="shared" si="36"/>
        <v>574.78332446792285</v>
      </c>
      <c r="K80" s="129">
        <f t="shared" si="35"/>
        <v>741.52206675078332</v>
      </c>
      <c r="L80" s="85">
        <f t="shared" si="38"/>
        <v>3800.65</v>
      </c>
      <c r="M80" s="130">
        <f t="shared" si="25"/>
        <v>4542.1720667507834</v>
      </c>
      <c r="N80" s="8">
        <f t="shared" si="26"/>
        <v>52150.836974145102</v>
      </c>
      <c r="O80" s="84">
        <f t="shared" si="27"/>
        <v>47608.664907394319</v>
      </c>
      <c r="P80" s="117"/>
      <c r="Q80" s="117"/>
      <c r="R80" s="117"/>
      <c r="S80" s="117"/>
      <c r="T80" s="117"/>
      <c r="U80" s="117"/>
      <c r="V80" s="117"/>
      <c r="W80" s="117"/>
      <c r="X80" s="117"/>
    </row>
    <row r="81" spans="1:24" x14ac:dyDescent="0.2">
      <c r="A81" s="17" t="s">
        <v>62</v>
      </c>
      <c r="B81" s="81" t="str">
        <f t="shared" si="28"/>
        <v>Q3/2018</v>
      </c>
      <c r="C81" s="82">
        <f t="shared" si="31"/>
        <v>43282</v>
      </c>
      <c r="D81" s="82">
        <f t="shared" si="32"/>
        <v>43373</v>
      </c>
      <c r="E81" s="81">
        <f t="shared" si="29"/>
        <v>92</v>
      </c>
      <c r="F81" s="83">
        <f>VLOOKUP(D81,'FERC Interest Rate'!$A:$B,2,TRUE)</f>
        <v>5.011111E-2</v>
      </c>
      <c r="G81" s="84">
        <f t="shared" si="30"/>
        <v>47608.664907394319</v>
      </c>
      <c r="H81" s="84">
        <v>0</v>
      </c>
      <c r="I81" s="109">
        <f t="shared" si="37"/>
        <v>166.7387422828605</v>
      </c>
      <c r="J81" s="85">
        <f t="shared" si="36"/>
        <v>601.33293167051249</v>
      </c>
      <c r="K81" s="129">
        <f t="shared" si="35"/>
        <v>768.07167395337297</v>
      </c>
      <c r="L81" s="85">
        <f t="shared" si="38"/>
        <v>3800.65</v>
      </c>
      <c r="M81" s="130">
        <f t="shared" si="25"/>
        <v>4568.7216739533733</v>
      </c>
      <c r="N81" s="8">
        <f t="shared" si="26"/>
        <v>48209.997839064832</v>
      </c>
      <c r="O81" s="84">
        <f t="shared" si="27"/>
        <v>43641.276165111456</v>
      </c>
      <c r="P81" s="117"/>
      <c r="Q81" s="117"/>
      <c r="R81" s="117"/>
      <c r="S81" s="117"/>
      <c r="T81" s="117"/>
      <c r="U81" s="117"/>
      <c r="V81" s="117"/>
      <c r="W81" s="117"/>
      <c r="X81" s="117"/>
    </row>
    <row r="82" spans="1:24" x14ac:dyDescent="0.2">
      <c r="A82" s="17" t="s">
        <v>63</v>
      </c>
      <c r="B82" s="81" t="str">
        <f t="shared" si="28"/>
        <v>Q4/2018</v>
      </c>
      <c r="C82" s="82">
        <f t="shared" si="31"/>
        <v>43374</v>
      </c>
      <c r="D82" s="82">
        <f t="shared" si="32"/>
        <v>43465</v>
      </c>
      <c r="E82" s="81">
        <f t="shared" si="29"/>
        <v>92</v>
      </c>
      <c r="F82" s="83">
        <f>VLOOKUP(D82,'FERC Interest Rate'!$A:$B,2,TRUE)</f>
        <v>5.2822580000000001E-2</v>
      </c>
      <c r="G82" s="84">
        <f t="shared" si="30"/>
        <v>43641.276165111456</v>
      </c>
      <c r="H82" s="84">
        <v>0</v>
      </c>
      <c r="I82" s="109">
        <f t="shared" si="37"/>
        <v>166.7387422828605</v>
      </c>
      <c r="J82" s="85">
        <f t="shared" si="36"/>
        <v>581.04800477013634</v>
      </c>
      <c r="K82" s="129">
        <f t="shared" si="35"/>
        <v>747.78674705299682</v>
      </c>
      <c r="L82" s="85">
        <f t="shared" si="38"/>
        <v>3800.65</v>
      </c>
      <c r="M82" s="130">
        <f t="shared" si="25"/>
        <v>4548.4367470529969</v>
      </c>
      <c r="N82" s="8">
        <f t="shared" si="26"/>
        <v>44222.324169881591</v>
      </c>
      <c r="O82" s="84">
        <f t="shared" si="27"/>
        <v>39673.887422828593</v>
      </c>
      <c r="P82" s="117"/>
      <c r="Q82" s="117"/>
      <c r="R82" s="117"/>
      <c r="S82" s="117"/>
      <c r="T82" s="117"/>
      <c r="U82" s="117"/>
      <c r="V82" s="117"/>
      <c r="W82" s="117"/>
      <c r="X82" s="117"/>
    </row>
    <row r="83" spans="1:24" x14ac:dyDescent="0.2">
      <c r="A83" s="17" t="s">
        <v>64</v>
      </c>
      <c r="B83" s="81" t="str">
        <f t="shared" si="28"/>
        <v>Q1/2019</v>
      </c>
      <c r="C83" s="82">
        <f t="shared" si="31"/>
        <v>43466</v>
      </c>
      <c r="D83" s="82">
        <f t="shared" si="32"/>
        <v>43555</v>
      </c>
      <c r="E83" s="81">
        <f t="shared" si="29"/>
        <v>90</v>
      </c>
      <c r="F83" s="83">
        <f>VLOOKUP(D83,'FERC Interest Rate'!$A:$B,2,TRUE)</f>
        <v>5.5296770000000002E-2</v>
      </c>
      <c r="G83" s="84">
        <f t="shared" si="30"/>
        <v>39673.887422828593</v>
      </c>
      <c r="H83" s="84">
        <v>0</v>
      </c>
      <c r="I83" s="109">
        <f t="shared" si="37"/>
        <v>166.7387422828605</v>
      </c>
      <c r="J83" s="85">
        <f t="shared" si="36"/>
        <v>540.94631371053174</v>
      </c>
      <c r="K83" s="129">
        <f t="shared" si="35"/>
        <v>707.68505599339221</v>
      </c>
      <c r="L83" s="85">
        <f t="shared" si="38"/>
        <v>3800.65</v>
      </c>
      <c r="M83" s="130">
        <f t="shared" si="25"/>
        <v>4508.3350559933924</v>
      </c>
      <c r="N83" s="8">
        <f t="shared" si="26"/>
        <v>40214.833736539127</v>
      </c>
      <c r="O83" s="84">
        <f t="shared" si="27"/>
        <v>35706.49868054573</v>
      </c>
      <c r="P83" s="117"/>
      <c r="Q83" s="117"/>
      <c r="R83" s="117"/>
      <c r="S83" s="117"/>
      <c r="T83" s="117"/>
      <c r="U83" s="117"/>
      <c r="V83" s="117"/>
      <c r="W83" s="117"/>
      <c r="X83" s="117"/>
    </row>
    <row r="84" spans="1:24" x14ac:dyDescent="0.2">
      <c r="A84" s="17" t="s">
        <v>65</v>
      </c>
      <c r="B84" s="81" t="str">
        <f t="shared" si="28"/>
        <v>Q2/2019</v>
      </c>
      <c r="C84" s="82">
        <f t="shared" si="31"/>
        <v>43556</v>
      </c>
      <c r="D84" s="82">
        <f t="shared" si="32"/>
        <v>43646</v>
      </c>
      <c r="E84" s="81">
        <f t="shared" si="29"/>
        <v>91</v>
      </c>
      <c r="F84" s="83">
        <f>VLOOKUP(D84,'FERC Interest Rate'!$A:$B,2,TRUE)</f>
        <v>5.7999999999999996E-2</v>
      </c>
      <c r="G84" s="84">
        <f t="shared" si="30"/>
        <v>35706.49868054573</v>
      </c>
      <c r="H84" s="84">
        <v>0</v>
      </c>
      <c r="I84" s="109">
        <f t="shared" si="37"/>
        <v>166.7387422828605</v>
      </c>
      <c r="J84" s="85">
        <f t="shared" si="36"/>
        <v>516.32575352306947</v>
      </c>
      <c r="K84" s="129">
        <f t="shared" si="35"/>
        <v>683.06449580592994</v>
      </c>
      <c r="L84" s="85">
        <f t="shared" si="38"/>
        <v>3800.65</v>
      </c>
      <c r="M84" s="130">
        <f t="shared" si="25"/>
        <v>4483.7144958059298</v>
      </c>
      <c r="N84" s="8">
        <f t="shared" si="26"/>
        <v>36222.824434068796</v>
      </c>
      <c r="O84" s="84">
        <f t="shared" si="27"/>
        <v>31739.109938262867</v>
      </c>
      <c r="P84" s="117"/>
      <c r="Q84" s="117"/>
      <c r="R84" s="117"/>
      <c r="S84" s="117"/>
      <c r="T84" s="117"/>
      <c r="U84" s="117"/>
      <c r="V84" s="117"/>
      <c r="W84" s="117"/>
      <c r="X84" s="117"/>
    </row>
    <row r="85" spans="1:24" x14ac:dyDescent="0.2">
      <c r="A85" s="17" t="s">
        <v>66</v>
      </c>
      <c r="B85" s="81" t="str">
        <f t="shared" si="28"/>
        <v>Q3/2019</v>
      </c>
      <c r="C85" s="82">
        <f t="shared" si="31"/>
        <v>43647</v>
      </c>
      <c r="D85" s="82">
        <f t="shared" si="32"/>
        <v>43738</v>
      </c>
      <c r="E85" s="81">
        <f t="shared" si="29"/>
        <v>92</v>
      </c>
      <c r="F85" s="83">
        <f>VLOOKUP(D85,'FERC Interest Rate'!$A:$B,2,TRUE)</f>
        <v>0.06</v>
      </c>
      <c r="G85" s="84">
        <f t="shared" si="30"/>
        <v>31739.109938262867</v>
      </c>
      <c r="H85" s="84">
        <v>0</v>
      </c>
      <c r="I85" s="109">
        <f t="shared" si="37"/>
        <v>166.7387422828605</v>
      </c>
      <c r="J85" s="85">
        <f t="shared" si="36"/>
        <v>479.99969002523568</v>
      </c>
      <c r="K85" s="129">
        <f t="shared" si="35"/>
        <v>646.73843230809621</v>
      </c>
      <c r="L85" s="85">
        <f t="shared" si="38"/>
        <v>3800.65</v>
      </c>
      <c r="M85" s="130">
        <f t="shared" si="25"/>
        <v>4447.3884323080965</v>
      </c>
      <c r="N85" s="8">
        <f t="shared" si="26"/>
        <v>32219.109628288104</v>
      </c>
      <c r="O85" s="84">
        <f t="shared" si="27"/>
        <v>27771.721195980004</v>
      </c>
      <c r="P85" s="117"/>
      <c r="Q85" s="117"/>
      <c r="R85" s="117"/>
      <c r="S85" s="117"/>
      <c r="T85" s="117"/>
      <c r="U85" s="117"/>
      <c r="V85" s="117"/>
      <c r="W85" s="117"/>
      <c r="X85" s="117"/>
    </row>
    <row r="86" spans="1:24" x14ac:dyDescent="0.2">
      <c r="A86" s="17" t="s">
        <v>67</v>
      </c>
      <c r="B86" s="81" t="str">
        <f t="shared" si="28"/>
        <v>Q4/2019</v>
      </c>
      <c r="C86" s="82">
        <f t="shared" si="31"/>
        <v>43739</v>
      </c>
      <c r="D86" s="82">
        <f t="shared" si="32"/>
        <v>43830</v>
      </c>
      <c r="E86" s="81">
        <f t="shared" si="29"/>
        <v>92</v>
      </c>
      <c r="F86" s="83">
        <f>VLOOKUP(D86,'FERC Interest Rate'!$A:$B,2,TRUE)</f>
        <v>6.0349460000000001E-2</v>
      </c>
      <c r="G86" s="84">
        <f t="shared" si="30"/>
        <v>27771.721195980004</v>
      </c>
      <c r="H86" s="84">
        <v>0</v>
      </c>
      <c r="I86" s="109">
        <f t="shared" si="37"/>
        <v>166.7387422828605</v>
      </c>
      <c r="J86" s="85">
        <f t="shared" si="36"/>
        <v>422.44594719235937</v>
      </c>
      <c r="K86" s="129">
        <f t="shared" si="35"/>
        <v>589.1846894752199</v>
      </c>
      <c r="L86" s="85">
        <f t="shared" si="38"/>
        <v>3800.65</v>
      </c>
      <c r="M86" s="130">
        <f t="shared" si="25"/>
        <v>4389.8346894752203</v>
      </c>
      <c r="N86" s="8">
        <f t="shared" si="26"/>
        <v>28194.167143172363</v>
      </c>
      <c r="O86" s="84">
        <f t="shared" si="27"/>
        <v>23804.332453697141</v>
      </c>
      <c r="P86" s="117"/>
      <c r="Q86" s="117"/>
      <c r="R86" s="117"/>
      <c r="S86" s="117"/>
      <c r="T86" s="117"/>
      <c r="U86" s="117"/>
      <c r="V86" s="117"/>
      <c r="W86" s="117"/>
      <c r="X86" s="117"/>
    </row>
    <row r="87" spans="1:24" x14ac:dyDescent="0.2">
      <c r="A87" s="17" t="s">
        <v>68</v>
      </c>
      <c r="B87" s="81" t="str">
        <f t="shared" si="28"/>
        <v>Q1/2020</v>
      </c>
      <c r="C87" s="82">
        <f t="shared" si="31"/>
        <v>43831</v>
      </c>
      <c r="D87" s="82">
        <f t="shared" si="32"/>
        <v>43921</v>
      </c>
      <c r="E87" s="81">
        <f t="shared" si="29"/>
        <v>91</v>
      </c>
      <c r="F87" s="83">
        <f>VLOOKUP(D87,'FERC Interest Rate'!$A:$B,2,TRUE)</f>
        <v>6.2501040000000008E-2</v>
      </c>
      <c r="G87" s="84">
        <f t="shared" si="30"/>
        <v>23804.332453697141</v>
      </c>
      <c r="H87" s="84">
        <v>0</v>
      </c>
      <c r="I87" s="109">
        <f t="shared" si="37"/>
        <v>166.7387422828605</v>
      </c>
      <c r="J87" s="85">
        <f t="shared" si="36"/>
        <v>369.9163761541692</v>
      </c>
      <c r="K87" s="129">
        <f t="shared" si="35"/>
        <v>536.65511843702973</v>
      </c>
      <c r="L87" s="85">
        <f t="shared" si="38"/>
        <v>3800.65</v>
      </c>
      <c r="M87" s="130">
        <f t="shared" si="25"/>
        <v>4337.3051184370297</v>
      </c>
      <c r="N87" s="8">
        <f t="shared" si="26"/>
        <v>24174.248829851309</v>
      </c>
      <c r="O87" s="84">
        <f t="shared" si="27"/>
        <v>19836.943711414278</v>
      </c>
      <c r="P87" s="117"/>
      <c r="Q87" s="117"/>
      <c r="R87" s="117"/>
      <c r="S87" s="117"/>
      <c r="T87" s="117"/>
      <c r="U87" s="117"/>
      <c r="V87" s="117"/>
      <c r="W87" s="117"/>
      <c r="X87" s="117"/>
    </row>
    <row r="88" spans="1:24" x14ac:dyDescent="0.2">
      <c r="A88" s="17" t="s">
        <v>69</v>
      </c>
      <c r="B88" s="81" t="str">
        <f t="shared" si="28"/>
        <v>Q2/2020</v>
      </c>
      <c r="C88" s="82">
        <f t="shared" si="31"/>
        <v>43922</v>
      </c>
      <c r="D88" s="82">
        <f t="shared" si="32"/>
        <v>44012</v>
      </c>
      <c r="E88" s="81">
        <f t="shared" si="29"/>
        <v>91</v>
      </c>
      <c r="F88" s="83">
        <f>VLOOKUP(D88,'FERC Interest Rate'!$A:$B,2,TRUE)</f>
        <v>6.3055559999999997E-2</v>
      </c>
      <c r="G88" s="84">
        <f t="shared" si="30"/>
        <v>19836.943711414278</v>
      </c>
      <c r="H88" s="84">
        <v>0</v>
      </c>
      <c r="I88" s="109">
        <f t="shared" si="37"/>
        <v>166.7387422828605</v>
      </c>
      <c r="J88" s="85">
        <f t="shared" si="36"/>
        <v>310.99861500400328</v>
      </c>
      <c r="K88" s="129">
        <f t="shared" si="35"/>
        <v>477.73735728686381</v>
      </c>
      <c r="L88" s="85">
        <f t="shared" si="38"/>
        <v>3800.65</v>
      </c>
      <c r="M88" s="130">
        <f t="shared" si="25"/>
        <v>4278.3873572868642</v>
      </c>
      <c r="N88" s="8">
        <f t="shared" si="26"/>
        <v>20147.942326418281</v>
      </c>
      <c r="O88" s="84">
        <f t="shared" si="27"/>
        <v>15869.554969131419</v>
      </c>
      <c r="P88" s="117"/>
      <c r="Q88" s="117"/>
      <c r="R88" s="117"/>
      <c r="S88" s="117"/>
      <c r="T88" s="117"/>
      <c r="U88" s="117"/>
      <c r="V88" s="117"/>
      <c r="W88" s="117"/>
      <c r="X88" s="117"/>
    </row>
    <row r="89" spans="1:24" x14ac:dyDescent="0.2">
      <c r="A89" s="17" t="s">
        <v>70</v>
      </c>
      <c r="B89" s="81" t="str">
        <f t="shared" si="28"/>
        <v>Q3/2020</v>
      </c>
      <c r="C89" s="82">
        <f t="shared" si="31"/>
        <v>44013</v>
      </c>
      <c r="D89" s="82">
        <f t="shared" si="32"/>
        <v>44104</v>
      </c>
      <c r="E89" s="81">
        <f t="shared" si="29"/>
        <v>92</v>
      </c>
      <c r="F89" s="83">
        <f>VLOOKUP(D89,'FERC Interest Rate'!$A:$B,2,TRUE)</f>
        <v>6.5000000000000002E-2</v>
      </c>
      <c r="G89" s="84">
        <f t="shared" si="30"/>
        <v>15869.554969131419</v>
      </c>
      <c r="H89" s="84">
        <v>0</v>
      </c>
      <c r="I89" s="109">
        <f t="shared" si="37"/>
        <v>166.7387422828605</v>
      </c>
      <c r="J89" s="85">
        <f t="shared" si="36"/>
        <v>259.2894500420926</v>
      </c>
      <c r="K89" s="129">
        <f t="shared" si="35"/>
        <v>426.02819232495312</v>
      </c>
      <c r="L89" s="85">
        <f t="shared" si="38"/>
        <v>3800.65</v>
      </c>
      <c r="M89" s="130">
        <f t="shared" si="25"/>
        <v>4226.6781923249528</v>
      </c>
      <c r="N89" s="8">
        <f t="shared" si="26"/>
        <v>16128.844419173513</v>
      </c>
      <c r="O89" s="84">
        <f t="shared" si="27"/>
        <v>11902.16622684856</v>
      </c>
      <c r="P89" s="117"/>
      <c r="Q89" s="117"/>
      <c r="R89" s="117"/>
      <c r="S89" s="117"/>
      <c r="T89" s="117"/>
      <c r="U89" s="117"/>
      <c r="V89" s="117"/>
      <c r="W89" s="117"/>
      <c r="X89" s="117"/>
    </row>
    <row r="90" spans="1:24" x14ac:dyDescent="0.2">
      <c r="A90" s="17" t="s">
        <v>71</v>
      </c>
      <c r="B90" s="81" t="str">
        <f t="shared" si="28"/>
        <v>Q4/2020</v>
      </c>
      <c r="C90" s="82">
        <f t="shared" si="31"/>
        <v>44105</v>
      </c>
      <c r="D90" s="82">
        <f t="shared" si="32"/>
        <v>44196</v>
      </c>
      <c r="E90" s="81">
        <f t="shared" si="29"/>
        <v>92</v>
      </c>
      <c r="F90" s="83">
        <f>VLOOKUP(D90,'FERC Interest Rate'!$A:$B,2,TRUE)</f>
        <v>6.5000000000000002E-2</v>
      </c>
      <c r="G90" s="84">
        <f t="shared" si="30"/>
        <v>11902.16622684856</v>
      </c>
      <c r="H90" s="84">
        <v>0</v>
      </c>
      <c r="I90" s="109">
        <f t="shared" si="37"/>
        <v>166.7387422828605</v>
      </c>
      <c r="J90" s="85">
        <f t="shared" si="36"/>
        <v>194.46708753156938</v>
      </c>
      <c r="K90" s="129">
        <f t="shared" si="35"/>
        <v>361.20582981442988</v>
      </c>
      <c r="L90" s="85">
        <f t="shared" si="38"/>
        <v>3800.65</v>
      </c>
      <c r="M90" s="130">
        <f t="shared" si="25"/>
        <v>4161.8558298144299</v>
      </c>
      <c r="N90" s="8">
        <f t="shared" si="26"/>
        <v>12096.633314380129</v>
      </c>
      <c r="O90" s="84">
        <f t="shared" si="27"/>
        <v>7934.7774845656995</v>
      </c>
      <c r="P90" s="117"/>
      <c r="Q90" s="117"/>
      <c r="R90" s="117"/>
      <c r="S90" s="117"/>
      <c r="T90" s="117"/>
      <c r="U90" s="117"/>
      <c r="V90" s="117"/>
      <c r="W90" s="117"/>
      <c r="X90" s="117"/>
    </row>
    <row r="91" spans="1:24" x14ac:dyDescent="0.2">
      <c r="A91" s="17" t="s">
        <v>72</v>
      </c>
      <c r="B91" s="81" t="str">
        <f t="shared" si="28"/>
        <v>Q1/2021</v>
      </c>
      <c r="C91" s="82">
        <f t="shared" si="31"/>
        <v>44197</v>
      </c>
      <c r="D91" s="82">
        <f t="shared" si="32"/>
        <v>44286</v>
      </c>
      <c r="E91" s="81">
        <f t="shared" si="29"/>
        <v>90</v>
      </c>
      <c r="F91" s="83">
        <f>VLOOKUP(D91,'FERC Interest Rate'!$A:$B,2,TRUE)</f>
        <v>6.5000000000000002E-2</v>
      </c>
      <c r="G91" s="84">
        <f t="shared" si="30"/>
        <v>7934.7774845656995</v>
      </c>
      <c r="H91" s="84">
        <v>0</v>
      </c>
      <c r="I91" s="109">
        <f t="shared" si="37"/>
        <v>166.7387422828605</v>
      </c>
      <c r="J91" s="85">
        <f t="shared" si="36"/>
        <v>127.17383091701188</v>
      </c>
      <c r="K91" s="129">
        <f t="shared" si="35"/>
        <v>293.91257319987238</v>
      </c>
      <c r="L91" s="85">
        <f t="shared" si="38"/>
        <v>3800.65</v>
      </c>
      <c r="M91" s="130">
        <f t="shared" si="25"/>
        <v>4094.5625731998725</v>
      </c>
      <c r="N91" s="8">
        <f t="shared" si="26"/>
        <v>8061.9513154827118</v>
      </c>
      <c r="O91" s="84">
        <f t="shared" si="27"/>
        <v>3967.3887422828384</v>
      </c>
      <c r="P91" s="117"/>
      <c r="Q91" s="117"/>
      <c r="R91" s="117"/>
      <c r="S91" s="117"/>
      <c r="T91" s="117"/>
      <c r="U91" s="117"/>
      <c r="V91" s="117"/>
      <c r="W91" s="117"/>
      <c r="X91" s="117"/>
    </row>
    <row r="92" spans="1:24" x14ac:dyDescent="0.2">
      <c r="A92" s="17" t="s">
        <v>73</v>
      </c>
      <c r="B92" s="81" t="str">
        <f t="shared" si="28"/>
        <v>Q2/2021</v>
      </c>
      <c r="C92" s="82">
        <f>D91+1</f>
        <v>44287</v>
      </c>
      <c r="D92" s="82">
        <f t="shared" si="32"/>
        <v>44377</v>
      </c>
      <c r="E92" s="81">
        <f>D92-C92+1</f>
        <v>91</v>
      </c>
      <c r="F92" s="83">
        <f>VLOOKUP(D92,'FERC Interest Rate'!$A:$B,2,TRUE)</f>
        <v>6.5000000000000002E-2</v>
      </c>
      <c r="G92" s="84">
        <f>O91</f>
        <v>3967.3887422828384</v>
      </c>
      <c r="H92" s="84">
        <v>0</v>
      </c>
      <c r="I92" s="109">
        <f t="shared" si="37"/>
        <v>166.7387422828605</v>
      </c>
      <c r="J92" s="85">
        <f t="shared" ref="J92" si="39">G92*F92*(E92/(DATE(YEAR(D92),12,31)-DATE(YEAR(D92),1,1)+1))</f>
        <v>64.293436741378045</v>
      </c>
      <c r="K92" s="129">
        <f t="shared" ref="K92" si="40">+SUM(I92:J92)</f>
        <v>231.03217902423853</v>
      </c>
      <c r="L92" s="85">
        <f t="shared" si="38"/>
        <v>3800.65</v>
      </c>
      <c r="M92" s="130">
        <f t="shared" ref="M92" si="41">+SUM(K92:L92)</f>
        <v>4031.6821790242384</v>
      </c>
      <c r="N92" s="8">
        <f>+G92+H92+J92</f>
        <v>4031.6821790242166</v>
      </c>
      <c r="O92" s="84">
        <f>G92+H92-L92-I92</f>
        <v>-2.219735506514553E-11</v>
      </c>
      <c r="P92" s="117"/>
      <c r="Q92" s="117"/>
      <c r="R92" s="117"/>
      <c r="S92" s="117"/>
      <c r="T92" s="117"/>
      <c r="U92" s="117"/>
      <c r="V92" s="117"/>
      <c r="W92" s="117"/>
      <c r="X92" s="117"/>
    </row>
    <row r="93" spans="1:24" x14ac:dyDescent="0.2">
      <c r="B93" s="81"/>
      <c r="C93" s="82"/>
      <c r="D93" s="82"/>
      <c r="E93" s="81"/>
      <c r="F93" s="83"/>
      <c r="G93" s="84"/>
      <c r="H93" s="84"/>
      <c r="I93" s="109"/>
      <c r="J93" s="85"/>
      <c r="K93" s="117"/>
      <c r="L93" s="85"/>
      <c r="M93" s="131"/>
      <c r="N93" s="117"/>
      <c r="O93" s="84"/>
      <c r="P93" s="117"/>
      <c r="Q93" s="117"/>
      <c r="R93" s="117"/>
      <c r="S93" s="117"/>
      <c r="T93" s="117"/>
      <c r="U93" s="117"/>
      <c r="V93" s="117"/>
      <c r="W93" s="117"/>
      <c r="X93" s="117"/>
    </row>
    <row r="94" spans="1:24" ht="13.5" thickBot="1" x14ac:dyDescent="0.25">
      <c r="A94" s="151"/>
      <c r="B94" s="152"/>
      <c r="C94" s="153"/>
      <c r="D94" s="153"/>
      <c r="E94" s="154"/>
      <c r="F94" s="152"/>
      <c r="G94" s="137">
        <f t="shared" ref="G94:O94" si="42">SUM(G68:G93)</f>
        <v>1244641.7895793053</v>
      </c>
      <c r="H94" s="137">
        <f t="shared" si="42"/>
        <v>3334.7748456572099</v>
      </c>
      <c r="I94" s="138">
        <f t="shared" si="42"/>
        <v>3334.7748456572108</v>
      </c>
      <c r="J94" s="137">
        <f t="shared" si="42"/>
        <v>9736.4838346064826</v>
      </c>
      <c r="K94" s="137">
        <f t="shared" si="42"/>
        <v>13071.258680263683</v>
      </c>
      <c r="L94" s="137">
        <f t="shared" si="42"/>
        <v>76013</v>
      </c>
      <c r="M94" s="139">
        <f t="shared" si="42"/>
        <v>89084.25868026368</v>
      </c>
      <c r="N94" s="137">
        <f t="shared" si="42"/>
        <v>1257713.0482595691</v>
      </c>
      <c r="O94" s="137">
        <f t="shared" si="42"/>
        <v>1168628.7895793053</v>
      </c>
      <c r="P94" s="117"/>
      <c r="Q94" s="117"/>
      <c r="R94" s="117"/>
      <c r="S94" s="117"/>
      <c r="T94" s="117"/>
      <c r="U94" s="117"/>
      <c r="V94" s="117"/>
      <c r="W94" s="117"/>
      <c r="X94" s="117"/>
    </row>
    <row r="95" spans="1:24" ht="13.5" thickTop="1" x14ac:dyDescent="0.2">
      <c r="B95" s="11"/>
      <c r="C95" s="125"/>
      <c r="D95" s="125"/>
      <c r="E95" s="10"/>
      <c r="F95" s="11"/>
      <c r="G95" s="85"/>
      <c r="H95" s="70"/>
      <c r="I95" s="115"/>
      <c r="J95" s="85"/>
      <c r="K95" s="117"/>
      <c r="L95" s="70"/>
      <c r="M95" s="131"/>
      <c r="N95" s="117"/>
      <c r="O95" s="117"/>
      <c r="P95" s="117"/>
      <c r="Q95" s="117"/>
      <c r="R95" s="117"/>
      <c r="S95" s="117"/>
      <c r="T95" s="117"/>
      <c r="U95" s="117"/>
      <c r="V95" s="117"/>
      <c r="W95" s="117"/>
      <c r="X95" s="117"/>
    </row>
    <row r="96" spans="1:24" ht="36.75" x14ac:dyDescent="0.2">
      <c r="A96" s="90" t="s">
        <v>53</v>
      </c>
      <c r="B96" s="90" t="s">
        <v>3</v>
      </c>
      <c r="C96" s="90" t="s">
        <v>4</v>
      </c>
      <c r="D96" s="90" t="s">
        <v>5</v>
      </c>
      <c r="E96" s="90" t="s">
        <v>6</v>
      </c>
      <c r="F96" s="90" t="s">
        <v>7</v>
      </c>
      <c r="G96" s="90" t="s">
        <v>80</v>
      </c>
      <c r="H96" s="90" t="s">
        <v>81</v>
      </c>
      <c r="I96" s="105" t="s">
        <v>82</v>
      </c>
      <c r="J96" s="106" t="s">
        <v>83</v>
      </c>
      <c r="K96" s="106" t="s">
        <v>84</v>
      </c>
      <c r="L96" s="106" t="s">
        <v>85</v>
      </c>
      <c r="M96" s="107" t="s">
        <v>75</v>
      </c>
      <c r="N96" s="90" t="s">
        <v>86</v>
      </c>
      <c r="O96" s="90" t="s">
        <v>87</v>
      </c>
      <c r="P96" s="117"/>
      <c r="Q96" s="117"/>
      <c r="R96" s="117"/>
      <c r="S96" s="129"/>
      <c r="T96" s="129"/>
      <c r="U96" s="129"/>
      <c r="V96" s="129"/>
      <c r="W96" s="117"/>
      <c r="X96" s="117"/>
    </row>
    <row r="97" spans="1:24" x14ac:dyDescent="0.2">
      <c r="A97" s="275" t="s">
        <v>38</v>
      </c>
      <c r="B97" s="276" t="s">
        <v>55</v>
      </c>
      <c r="C97" s="82">
        <f>VLOOKUP(B97,A$1:F$11,2,FALSE)</f>
        <v>42201</v>
      </c>
      <c r="D97" s="82">
        <f>DATE(YEAR(C97),IF(MONTH(C97)&lt;=3,3,IF(MONTH(C97)&lt;=6,6,IF(MONTH(C97)&lt;=9,9,12))),IF(OR(MONTH(C97)&lt;=3,MONTH(C97)&gt;=10),31,30))</f>
        <v>42277</v>
      </c>
      <c r="E97" s="81">
        <f>D97-C97+1</f>
        <v>77</v>
      </c>
      <c r="F97" s="83">
        <f>VLOOKUP(D97,'FERC Interest Rate'!$A:$B,2,TRUE)</f>
        <v>3.2500000000000001E-2</v>
      </c>
      <c r="G97" s="84">
        <f>VLOOKUP(B97,$A$1:$F$11,5,FALSE)</f>
        <v>48001</v>
      </c>
      <c r="H97" s="84">
        <f t="shared" ref="H97:H101" si="43">G97*F97*(E97/(DATE(YEAR(D97),12,31)-DATE(YEAR(D97),1,1)+1))</f>
        <v>329.10274657534245</v>
      </c>
      <c r="I97" s="173">
        <v>0</v>
      </c>
      <c r="J97" s="85">
        <v>0</v>
      </c>
      <c r="K97" s="129">
        <f t="shared" ref="K97:K120" si="44">+SUM(I97:J97)</f>
        <v>0</v>
      </c>
      <c r="L97" s="85">
        <v>0</v>
      </c>
      <c r="M97" s="130">
        <f t="shared" ref="M97:M120" si="45">+SUM(K97:L97)</f>
        <v>0</v>
      </c>
      <c r="N97" s="8">
        <f t="shared" ref="N97:N120" si="46">+G97+H97+J97</f>
        <v>48330.102746575343</v>
      </c>
      <c r="O97" s="84">
        <f t="shared" ref="O97:O120" si="47">G97+H97-L97-I97</f>
        <v>48330.102746575343</v>
      </c>
      <c r="P97" s="117"/>
      <c r="Q97" s="117"/>
      <c r="R97" s="117"/>
      <c r="S97" s="117"/>
      <c r="T97" s="117"/>
      <c r="U97" s="117"/>
      <c r="V97" s="117"/>
      <c r="W97" s="117"/>
      <c r="X97" s="117"/>
    </row>
    <row r="98" spans="1:24" x14ac:dyDescent="0.2">
      <c r="A98" s="96" t="s">
        <v>22</v>
      </c>
      <c r="B98" s="81" t="str">
        <f t="shared" ref="B98:B101" si="48">+IF(MONTH(C98)&lt;4,"Q1",IF(MONTH(C98)&lt;7,"Q2",IF(MONTH(C98)&lt;10,"Q3","Q4")))&amp;"/"&amp;YEAR(C98)</f>
        <v>Q4/2015</v>
      </c>
      <c r="C98" s="82">
        <f>D97+1</f>
        <v>42278</v>
      </c>
      <c r="D98" s="82">
        <f>EOMONTH(D97,3)</f>
        <v>42369</v>
      </c>
      <c r="E98" s="81">
        <f t="shared" ref="E98:E120" si="49">D98-C98+1</f>
        <v>92</v>
      </c>
      <c r="F98" s="83">
        <f>VLOOKUP(D98,'FERC Interest Rate'!$A:$B,2,TRUE)</f>
        <v>3.2500000000000001E-2</v>
      </c>
      <c r="G98" s="84">
        <f t="shared" ref="G98:G120" si="50">O97</f>
        <v>48330.102746575343</v>
      </c>
      <c r="H98" s="84">
        <f t="shared" si="43"/>
        <v>395.9096088007131</v>
      </c>
      <c r="I98" s="173">
        <v>0</v>
      </c>
      <c r="J98" s="85">
        <v>0</v>
      </c>
      <c r="K98" s="129">
        <f t="shared" si="44"/>
        <v>0</v>
      </c>
      <c r="L98" s="85">
        <v>0</v>
      </c>
      <c r="M98" s="130">
        <f t="shared" si="45"/>
        <v>0</v>
      </c>
      <c r="N98" s="8">
        <f t="shared" si="46"/>
        <v>48726.012355376057</v>
      </c>
      <c r="O98" s="84">
        <f t="shared" si="47"/>
        <v>48726.012355376057</v>
      </c>
      <c r="P98" s="117"/>
      <c r="Q98" s="117"/>
      <c r="R98" s="117"/>
      <c r="S98" s="117"/>
      <c r="T98" s="117"/>
      <c r="U98" s="117"/>
      <c r="V98" s="117"/>
      <c r="W98" s="117"/>
      <c r="X98" s="117"/>
    </row>
    <row r="99" spans="1:24" x14ac:dyDescent="0.2">
      <c r="A99" s="96" t="s">
        <v>22</v>
      </c>
      <c r="B99" s="81" t="str">
        <f t="shared" si="48"/>
        <v>Q1/2016</v>
      </c>
      <c r="C99" s="82">
        <f t="shared" ref="C99:C120" si="51">D98+1</f>
        <v>42370</v>
      </c>
      <c r="D99" s="82">
        <f t="shared" ref="D99:D120" si="52">EOMONTH(D98,3)</f>
        <v>42460</v>
      </c>
      <c r="E99" s="81">
        <f t="shared" si="49"/>
        <v>91</v>
      </c>
      <c r="F99" s="83">
        <f>VLOOKUP(D99,'FERC Interest Rate'!$A:$B,2,TRUE)</f>
        <v>3.2500000000000001E-2</v>
      </c>
      <c r="G99" s="84">
        <f t="shared" si="50"/>
        <v>48726.012355376057</v>
      </c>
      <c r="H99" s="84">
        <f t="shared" si="43"/>
        <v>393.73546869132429</v>
      </c>
      <c r="I99" s="173">
        <v>0</v>
      </c>
      <c r="J99" s="85">
        <v>0</v>
      </c>
      <c r="K99" s="129">
        <f t="shared" si="44"/>
        <v>0</v>
      </c>
      <c r="L99" s="85">
        <v>0</v>
      </c>
      <c r="M99" s="130">
        <f t="shared" si="45"/>
        <v>0</v>
      </c>
      <c r="N99" s="8">
        <f t="shared" si="46"/>
        <v>49119.747824067381</v>
      </c>
      <c r="O99" s="84">
        <f t="shared" si="47"/>
        <v>49119.747824067381</v>
      </c>
      <c r="P99" s="117"/>
      <c r="Q99" s="117"/>
      <c r="R99" s="117"/>
      <c r="S99" s="117"/>
      <c r="T99" s="117"/>
      <c r="U99" s="117"/>
      <c r="V99" s="117"/>
      <c r="W99" s="117"/>
      <c r="X99" s="117"/>
    </row>
    <row r="100" spans="1:24" x14ac:dyDescent="0.2">
      <c r="A100" s="96" t="s">
        <v>22</v>
      </c>
      <c r="B100" s="81" t="str">
        <f t="shared" si="48"/>
        <v>Q2/2016</v>
      </c>
      <c r="C100" s="82">
        <f t="shared" si="51"/>
        <v>42461</v>
      </c>
      <c r="D100" s="82">
        <f t="shared" si="52"/>
        <v>42551</v>
      </c>
      <c r="E100" s="81">
        <f t="shared" si="49"/>
        <v>91</v>
      </c>
      <c r="F100" s="83">
        <f>VLOOKUP(D100,'FERC Interest Rate'!$A:$B,2,TRUE)</f>
        <v>3.4599999999999999E-2</v>
      </c>
      <c r="G100" s="84">
        <f t="shared" si="50"/>
        <v>49119.747824067381</v>
      </c>
      <c r="H100" s="84">
        <f t="shared" si="43"/>
        <v>422.56403824824741</v>
      </c>
      <c r="I100" s="173">
        <v>0</v>
      </c>
      <c r="J100" s="85">
        <v>0</v>
      </c>
      <c r="K100" s="129">
        <f t="shared" si="44"/>
        <v>0</v>
      </c>
      <c r="L100" s="85">
        <v>0</v>
      </c>
      <c r="M100" s="130">
        <f t="shared" si="45"/>
        <v>0</v>
      </c>
      <c r="N100" s="8">
        <f t="shared" si="46"/>
        <v>49542.311862315626</v>
      </c>
      <c r="O100" s="84">
        <f t="shared" si="47"/>
        <v>49542.311862315626</v>
      </c>
      <c r="P100" s="117"/>
      <c r="Q100" s="117"/>
      <c r="R100" s="117"/>
      <c r="S100" s="117"/>
      <c r="T100" s="117"/>
      <c r="U100" s="117"/>
      <c r="V100" s="117"/>
      <c r="W100" s="117"/>
      <c r="X100" s="117"/>
    </row>
    <row r="101" spans="1:24" x14ac:dyDescent="0.2">
      <c r="A101" s="96" t="s">
        <v>22</v>
      </c>
      <c r="B101" s="81" t="str">
        <f t="shared" si="48"/>
        <v>Q3/2016</v>
      </c>
      <c r="C101" s="82">
        <f t="shared" si="51"/>
        <v>42552</v>
      </c>
      <c r="D101" s="82">
        <f t="shared" si="52"/>
        <v>42643</v>
      </c>
      <c r="E101" s="81">
        <f t="shared" si="49"/>
        <v>92</v>
      </c>
      <c r="F101" s="83">
        <f>VLOOKUP(D101,'FERC Interest Rate'!$A:$B,2,TRUE)</f>
        <v>3.5000000000000003E-2</v>
      </c>
      <c r="G101" s="84">
        <f t="shared" si="50"/>
        <v>49542.311862315626</v>
      </c>
      <c r="H101" s="84">
        <f t="shared" si="43"/>
        <v>435.86405518212115</v>
      </c>
      <c r="I101" s="109">
        <v>0</v>
      </c>
      <c r="J101" s="85">
        <v>0</v>
      </c>
      <c r="K101" s="129">
        <f t="shared" si="44"/>
        <v>0</v>
      </c>
      <c r="L101" s="85">
        <v>0</v>
      </c>
      <c r="M101" s="130">
        <f t="shared" si="45"/>
        <v>0</v>
      </c>
      <c r="N101" s="8">
        <f t="shared" si="46"/>
        <v>49978.175917497749</v>
      </c>
      <c r="O101" s="84">
        <f t="shared" si="47"/>
        <v>49978.175917497749</v>
      </c>
      <c r="P101" s="117"/>
      <c r="Q101" s="117"/>
      <c r="R101" s="117"/>
      <c r="S101" s="117"/>
      <c r="T101" s="117"/>
      <c r="U101" s="117"/>
      <c r="V101" s="117"/>
      <c r="W101" s="117"/>
      <c r="X101" s="117"/>
    </row>
    <row r="102" spans="1:24" x14ac:dyDescent="0.2">
      <c r="A102" s="96" t="s">
        <v>22</v>
      </c>
      <c r="B102" s="81" t="str">
        <f t="shared" ref="B102:B120" si="53">+IF(MONTH(C102)&lt;4,"Q1",IF(MONTH(C102)&lt;7,"Q2",IF(MONTH(C102)&lt;10,"Q3","Q4")))&amp;"/"&amp;YEAR(C102)</f>
        <v>Q4/2016</v>
      </c>
      <c r="C102" s="82">
        <f t="shared" si="51"/>
        <v>42644</v>
      </c>
      <c r="D102" s="82">
        <f t="shared" si="52"/>
        <v>42735</v>
      </c>
      <c r="E102" s="81">
        <f t="shared" si="49"/>
        <v>92</v>
      </c>
      <c r="F102" s="83">
        <f>VLOOKUP(D102,'FERC Interest Rate'!$A:$B,2,TRUE)</f>
        <v>3.5000000000000003E-2</v>
      </c>
      <c r="G102" s="84">
        <f t="shared" si="50"/>
        <v>49978.175917497749</v>
      </c>
      <c r="H102" s="84">
        <v>0</v>
      </c>
      <c r="I102" s="109">
        <v>0</v>
      </c>
      <c r="J102" s="85">
        <f t="shared" ref="J102:J105" si="54">G102*F102*(E102/(DATE(YEAR(D102),12,31)-DATE(YEAR(D102),1,1)+1))</f>
        <v>439.69870615940647</v>
      </c>
      <c r="K102" s="129">
        <f t="shared" si="44"/>
        <v>439.69870615940647</v>
      </c>
      <c r="L102" s="85">
        <v>0</v>
      </c>
      <c r="M102" s="130">
        <v>0</v>
      </c>
      <c r="N102" s="8">
        <f t="shared" si="46"/>
        <v>50417.874623657153</v>
      </c>
      <c r="O102" s="84">
        <f>+N102-M102</f>
        <v>50417.874623657153</v>
      </c>
      <c r="P102" s="117"/>
      <c r="Q102" s="117"/>
      <c r="R102" s="117"/>
      <c r="S102" s="117"/>
      <c r="T102" s="117"/>
      <c r="U102" s="117"/>
      <c r="V102" s="117"/>
      <c r="W102" s="117"/>
      <c r="X102" s="117"/>
    </row>
    <row r="103" spans="1:24" x14ac:dyDescent="0.2">
      <c r="A103" s="96" t="s">
        <v>22</v>
      </c>
      <c r="B103" s="81" t="str">
        <f t="shared" si="53"/>
        <v>Q1/2017</v>
      </c>
      <c r="C103" s="82">
        <f t="shared" si="51"/>
        <v>42736</v>
      </c>
      <c r="D103" s="82">
        <f t="shared" si="52"/>
        <v>42825</v>
      </c>
      <c r="E103" s="81">
        <f t="shared" si="49"/>
        <v>90</v>
      </c>
      <c r="F103" s="83">
        <f>VLOOKUP(D103,'FERC Interest Rate'!$A:$B,2,TRUE)</f>
        <v>3.5000000000000003E-2</v>
      </c>
      <c r="G103" s="84">
        <f t="shared" si="50"/>
        <v>50417.874623657153</v>
      </c>
      <c r="H103" s="84">
        <v>0</v>
      </c>
      <c r="I103" s="109">
        <v>0</v>
      </c>
      <c r="J103" s="85">
        <f t="shared" si="54"/>
        <v>435.11316456032887</v>
      </c>
      <c r="K103" s="129">
        <f t="shared" si="44"/>
        <v>435.11316456032887</v>
      </c>
      <c r="L103" s="85">
        <v>0</v>
      </c>
      <c r="M103" s="130">
        <v>0</v>
      </c>
      <c r="N103" s="8">
        <f t="shared" si="46"/>
        <v>50852.987788217484</v>
      </c>
      <c r="O103" s="84">
        <f>+N103-M103</f>
        <v>50852.987788217484</v>
      </c>
      <c r="P103" s="117"/>
      <c r="Q103" s="117"/>
      <c r="R103" s="117"/>
      <c r="S103" s="117"/>
      <c r="T103" s="117"/>
      <c r="U103" s="117"/>
      <c r="V103" s="117"/>
      <c r="W103" s="117"/>
      <c r="X103" s="117"/>
    </row>
    <row r="104" spans="1:24" x14ac:dyDescent="0.2">
      <c r="A104" s="274" t="s">
        <v>102</v>
      </c>
      <c r="B104" s="81" t="str">
        <f t="shared" ref="B104:B105" si="55">+IF(MONTH(C104)&lt;4,"Q1",IF(MONTH(C104)&lt;7,"Q2",IF(MONTH(C104)&lt;10,"Q3","Q4")))&amp;"/"&amp;YEAR(C104)</f>
        <v>Q2/2017</v>
      </c>
      <c r="C104" s="146">
        <f t="shared" ref="C104:C105" si="56">D103+1</f>
        <v>42826</v>
      </c>
      <c r="D104" s="146">
        <f t="shared" si="52"/>
        <v>42916</v>
      </c>
      <c r="E104" s="81">
        <f t="shared" ref="E104:E105" si="57">D104-C104+1</f>
        <v>91</v>
      </c>
      <c r="F104" s="83">
        <f>VLOOKUP(D104,'FERC Interest Rate'!$A:$B,2,TRUE)</f>
        <v>3.7100000000000001E-2</v>
      </c>
      <c r="G104" s="84">
        <f t="shared" ref="G104:G105" si="58">O103</f>
        <v>50852.987788217484</v>
      </c>
      <c r="H104" s="84">
        <v>0</v>
      </c>
      <c r="I104" s="109">
        <f>(SUM($H$97:$H$121)/20)*4</f>
        <v>395.43518349954968</v>
      </c>
      <c r="J104" s="85">
        <f t="shared" si="54"/>
        <v>470.36923855287961</v>
      </c>
      <c r="K104" s="129">
        <f t="shared" ref="K104" si="59">+SUM(I104:J104)</f>
        <v>865.80442205242935</v>
      </c>
      <c r="L104" s="85">
        <f>($G$97/20)*4</f>
        <v>9600.2000000000007</v>
      </c>
      <c r="M104" s="130">
        <f>+SUM(K102:L104)</f>
        <v>11340.816292772166</v>
      </c>
      <c r="N104" s="8">
        <f t="shared" ref="N104:N105" si="60">+G104+H104+J104</f>
        <v>51323.357026770362</v>
      </c>
      <c r="O104" s="84">
        <f>+N104-M104</f>
        <v>39982.540733998198</v>
      </c>
      <c r="P104" s="117"/>
      <c r="Q104" s="117"/>
      <c r="R104" s="117"/>
      <c r="S104" s="117"/>
      <c r="T104" s="117"/>
      <c r="U104" s="117"/>
      <c r="V104" s="117"/>
      <c r="W104" s="117"/>
      <c r="X104" s="117"/>
    </row>
    <row r="105" spans="1:24" x14ac:dyDescent="0.2">
      <c r="A105" s="17" t="s">
        <v>58</v>
      </c>
      <c r="B105" s="81" t="str">
        <f t="shared" si="55"/>
        <v>Q3/2017</v>
      </c>
      <c r="C105" s="82">
        <f t="shared" si="56"/>
        <v>42917</v>
      </c>
      <c r="D105" s="82">
        <f t="shared" si="52"/>
        <v>43008</v>
      </c>
      <c r="E105" s="81">
        <f t="shared" si="57"/>
        <v>92</v>
      </c>
      <c r="F105" s="83">
        <f>VLOOKUP(D105,'FERC Interest Rate'!$A:$B,2,TRUE)</f>
        <v>3.9600000000000003E-2</v>
      </c>
      <c r="G105" s="84">
        <f t="shared" si="58"/>
        <v>39982.540733998198</v>
      </c>
      <c r="H105" s="84">
        <v>0</v>
      </c>
      <c r="I105" s="109">
        <f t="shared" ref="I105:I120" si="61">(SUM($H$97:$H$121)/20)</f>
        <v>98.85879587488742</v>
      </c>
      <c r="J105" s="85">
        <f t="shared" si="54"/>
        <v>399.08052712904725</v>
      </c>
      <c r="K105" s="129">
        <f t="shared" ref="K105" si="62">+SUM(I105:J105)</f>
        <v>497.93932300393465</v>
      </c>
      <c r="L105" s="85">
        <f t="shared" ref="L105:L120" si="63">($G$97/20)</f>
        <v>2400.0500000000002</v>
      </c>
      <c r="M105" s="130">
        <f t="shared" ref="M105" si="64">+SUM(K105:L105)</f>
        <v>2897.9893230039347</v>
      </c>
      <c r="N105" s="8">
        <f t="shared" si="60"/>
        <v>40381.621261127242</v>
      </c>
      <c r="O105" s="84">
        <f t="shared" ref="O105" si="65">G105+H105-L105-I105</f>
        <v>37483.631938123304</v>
      </c>
      <c r="P105" s="117"/>
      <c r="Q105" s="117"/>
      <c r="R105" s="117"/>
      <c r="S105" s="117"/>
      <c r="T105" s="117"/>
      <c r="U105" s="117"/>
      <c r="V105" s="117"/>
      <c r="W105" s="117"/>
      <c r="X105" s="117"/>
    </row>
    <row r="106" spans="1:24" x14ac:dyDescent="0.2">
      <c r="A106" s="17" t="s">
        <v>59</v>
      </c>
      <c r="B106" s="81" t="str">
        <f t="shared" si="53"/>
        <v>Q4/2017</v>
      </c>
      <c r="C106" s="82">
        <f t="shared" si="51"/>
        <v>43009</v>
      </c>
      <c r="D106" s="82">
        <f t="shared" si="52"/>
        <v>43100</v>
      </c>
      <c r="E106" s="81">
        <f t="shared" si="49"/>
        <v>92</v>
      </c>
      <c r="F106" s="83">
        <f>VLOOKUP(D106,'FERC Interest Rate'!$A:$B,2,TRUE)</f>
        <v>4.2099999999999999E-2</v>
      </c>
      <c r="G106" s="84">
        <f t="shared" si="50"/>
        <v>37483.631938123304</v>
      </c>
      <c r="H106" s="84">
        <v>0</v>
      </c>
      <c r="I106" s="109">
        <f t="shared" si="61"/>
        <v>98.85879587488742</v>
      </c>
      <c r="J106" s="85">
        <f t="shared" ref="J106:J120" si="66">G106*F106*(E106/(DATE(YEAR(D106),12,31)-DATE(YEAR(D106),1,1)+1))</f>
        <v>397.75781704860054</v>
      </c>
      <c r="K106" s="129">
        <f t="shared" si="44"/>
        <v>496.61661292348799</v>
      </c>
      <c r="L106" s="85">
        <f t="shared" si="63"/>
        <v>2400.0500000000002</v>
      </c>
      <c r="M106" s="130">
        <f t="shared" si="45"/>
        <v>2896.6666129234882</v>
      </c>
      <c r="N106" s="8">
        <f t="shared" si="46"/>
        <v>37881.389755171906</v>
      </c>
      <c r="O106" s="84">
        <f t="shared" si="47"/>
        <v>34984.723142248411</v>
      </c>
      <c r="P106" s="117"/>
      <c r="Q106" s="117"/>
      <c r="R106" s="117"/>
      <c r="S106" s="117"/>
      <c r="T106" s="117"/>
      <c r="U106" s="117"/>
      <c r="V106" s="117"/>
      <c r="W106" s="117"/>
      <c r="X106" s="117"/>
    </row>
    <row r="107" spans="1:24" x14ac:dyDescent="0.2">
      <c r="A107" s="17" t="s">
        <v>60</v>
      </c>
      <c r="B107" s="81" t="str">
        <f t="shared" si="53"/>
        <v>Q1/2018</v>
      </c>
      <c r="C107" s="82">
        <f t="shared" si="51"/>
        <v>43101</v>
      </c>
      <c r="D107" s="82">
        <f t="shared" si="52"/>
        <v>43190</v>
      </c>
      <c r="E107" s="81">
        <f t="shared" si="49"/>
        <v>90</v>
      </c>
      <c r="F107" s="83">
        <f>VLOOKUP(D107,'FERC Interest Rate'!$A:$B,2,TRUE)</f>
        <v>4.2500000000000003E-2</v>
      </c>
      <c r="G107" s="84">
        <f t="shared" si="50"/>
        <v>34984.723142248411</v>
      </c>
      <c r="H107" s="84">
        <v>0</v>
      </c>
      <c r="I107" s="109">
        <f t="shared" si="61"/>
        <v>98.85879587488742</v>
      </c>
      <c r="J107" s="85">
        <f t="shared" si="66"/>
        <v>366.62072881945255</v>
      </c>
      <c r="K107" s="129">
        <f t="shared" si="44"/>
        <v>465.47952469433994</v>
      </c>
      <c r="L107" s="85">
        <f t="shared" si="63"/>
        <v>2400.0500000000002</v>
      </c>
      <c r="M107" s="130">
        <f t="shared" si="45"/>
        <v>2865.5295246943401</v>
      </c>
      <c r="N107" s="8">
        <f t="shared" si="46"/>
        <v>35351.34387106786</v>
      </c>
      <c r="O107" s="84">
        <f t="shared" si="47"/>
        <v>32485.814346373525</v>
      </c>
      <c r="P107" s="117"/>
      <c r="Q107" s="117"/>
      <c r="R107" s="117"/>
      <c r="S107" s="117"/>
      <c r="T107" s="117"/>
      <c r="U107" s="117"/>
      <c r="V107" s="117"/>
      <c r="W107" s="117"/>
      <c r="X107" s="117"/>
    </row>
    <row r="108" spans="1:24" x14ac:dyDescent="0.2">
      <c r="A108" s="17" t="s">
        <v>61</v>
      </c>
      <c r="B108" s="81" t="str">
        <f t="shared" si="53"/>
        <v>Q2/2018</v>
      </c>
      <c r="C108" s="82">
        <f t="shared" si="51"/>
        <v>43191</v>
      </c>
      <c r="D108" s="82">
        <f t="shared" si="52"/>
        <v>43281</v>
      </c>
      <c r="E108" s="81">
        <f t="shared" si="49"/>
        <v>91</v>
      </c>
      <c r="F108" s="83">
        <f>VLOOKUP(D108,'FERC Interest Rate'!$A:$B,2,TRUE)</f>
        <v>4.4699999999999997E-2</v>
      </c>
      <c r="G108" s="84">
        <f t="shared" si="50"/>
        <v>32485.814346373525</v>
      </c>
      <c r="H108" s="84">
        <v>0</v>
      </c>
      <c r="I108" s="109">
        <f t="shared" si="61"/>
        <v>98.85879587488742</v>
      </c>
      <c r="J108" s="85">
        <f t="shared" si="66"/>
        <v>362.03437538833856</v>
      </c>
      <c r="K108" s="129">
        <f t="shared" si="44"/>
        <v>460.89317126322601</v>
      </c>
      <c r="L108" s="85">
        <f t="shared" si="63"/>
        <v>2400.0500000000002</v>
      </c>
      <c r="M108" s="130">
        <f t="shared" si="45"/>
        <v>2860.9431712632263</v>
      </c>
      <c r="N108" s="8">
        <f t="shared" si="46"/>
        <v>32847.84872176186</v>
      </c>
      <c r="O108" s="84">
        <f t="shared" si="47"/>
        <v>29986.905550498639</v>
      </c>
      <c r="P108" s="117"/>
      <c r="Q108" s="117"/>
      <c r="R108" s="117"/>
      <c r="S108" s="117"/>
      <c r="T108" s="117"/>
      <c r="U108" s="117"/>
      <c r="V108" s="117"/>
      <c r="W108" s="117"/>
      <c r="X108" s="117"/>
    </row>
    <row r="109" spans="1:24" x14ac:dyDescent="0.2">
      <c r="A109" s="17" t="s">
        <v>62</v>
      </c>
      <c r="B109" s="81" t="str">
        <f t="shared" si="53"/>
        <v>Q3/2018</v>
      </c>
      <c r="C109" s="82">
        <f t="shared" si="51"/>
        <v>43282</v>
      </c>
      <c r="D109" s="82">
        <f t="shared" si="52"/>
        <v>43373</v>
      </c>
      <c r="E109" s="81">
        <f t="shared" si="49"/>
        <v>92</v>
      </c>
      <c r="F109" s="83">
        <f>VLOOKUP(D109,'FERC Interest Rate'!$A:$B,2,TRUE)</f>
        <v>5.011111E-2</v>
      </c>
      <c r="G109" s="84">
        <f t="shared" si="50"/>
        <v>29986.905550498639</v>
      </c>
      <c r="H109" s="84">
        <v>0</v>
      </c>
      <c r="I109" s="109">
        <f t="shared" si="61"/>
        <v>98.85879587488742</v>
      </c>
      <c r="J109" s="85">
        <f t="shared" si="66"/>
        <v>378.75697336783458</v>
      </c>
      <c r="K109" s="129">
        <f t="shared" si="44"/>
        <v>477.61576924272197</v>
      </c>
      <c r="L109" s="85">
        <f t="shared" si="63"/>
        <v>2400.0500000000002</v>
      </c>
      <c r="M109" s="130">
        <f t="shared" si="45"/>
        <v>2877.665769242722</v>
      </c>
      <c r="N109" s="8">
        <f t="shared" si="46"/>
        <v>30365.662523866475</v>
      </c>
      <c r="O109" s="84">
        <f t="shared" si="47"/>
        <v>27487.996754623753</v>
      </c>
      <c r="P109" s="117"/>
      <c r="Q109" s="117"/>
      <c r="R109" s="117"/>
      <c r="S109" s="117"/>
      <c r="T109" s="117"/>
      <c r="U109" s="117"/>
      <c r="V109" s="117"/>
      <c r="W109" s="117"/>
      <c r="X109" s="117"/>
    </row>
    <row r="110" spans="1:24" x14ac:dyDescent="0.2">
      <c r="A110" s="17" t="s">
        <v>63</v>
      </c>
      <c r="B110" s="81" t="str">
        <f t="shared" si="53"/>
        <v>Q4/2018</v>
      </c>
      <c r="C110" s="82">
        <f t="shared" si="51"/>
        <v>43374</v>
      </c>
      <c r="D110" s="82">
        <f t="shared" si="52"/>
        <v>43465</v>
      </c>
      <c r="E110" s="81">
        <f t="shared" si="49"/>
        <v>92</v>
      </c>
      <c r="F110" s="83">
        <f>VLOOKUP(D110,'FERC Interest Rate'!$A:$B,2,TRUE)</f>
        <v>5.2822580000000001E-2</v>
      </c>
      <c r="G110" s="84">
        <f t="shared" si="50"/>
        <v>27487.996754623753</v>
      </c>
      <c r="H110" s="84">
        <v>0</v>
      </c>
      <c r="I110" s="109">
        <f t="shared" si="61"/>
        <v>98.85879587488742</v>
      </c>
      <c r="J110" s="85">
        <f t="shared" si="66"/>
        <v>365.9802616443796</v>
      </c>
      <c r="K110" s="129">
        <f t="shared" si="44"/>
        <v>464.83905751926704</v>
      </c>
      <c r="L110" s="85">
        <f t="shared" si="63"/>
        <v>2400.0500000000002</v>
      </c>
      <c r="M110" s="130">
        <f t="shared" si="45"/>
        <v>2864.8890575192672</v>
      </c>
      <c r="N110" s="8">
        <f t="shared" si="46"/>
        <v>27853.977016268134</v>
      </c>
      <c r="O110" s="84">
        <f t="shared" si="47"/>
        <v>24989.087958748867</v>
      </c>
      <c r="P110" s="117"/>
      <c r="Q110" s="117"/>
      <c r="R110" s="117"/>
      <c r="S110" s="117"/>
      <c r="T110" s="117"/>
      <c r="U110" s="117"/>
      <c r="V110" s="117"/>
      <c r="W110" s="117"/>
      <c r="X110" s="117"/>
    </row>
    <row r="111" spans="1:24" x14ac:dyDescent="0.2">
      <c r="A111" s="17" t="s">
        <v>64</v>
      </c>
      <c r="B111" s="81" t="str">
        <f t="shared" si="53"/>
        <v>Q1/2019</v>
      </c>
      <c r="C111" s="82">
        <f t="shared" si="51"/>
        <v>43466</v>
      </c>
      <c r="D111" s="82">
        <f t="shared" si="52"/>
        <v>43555</v>
      </c>
      <c r="E111" s="81">
        <f t="shared" si="49"/>
        <v>90</v>
      </c>
      <c r="F111" s="83">
        <f>VLOOKUP(D111,'FERC Interest Rate'!$A:$B,2,TRUE)</f>
        <v>5.5296770000000002E-2</v>
      </c>
      <c r="G111" s="84">
        <f t="shared" si="50"/>
        <v>24989.087958748867</v>
      </c>
      <c r="H111" s="84">
        <v>0</v>
      </c>
      <c r="I111" s="109">
        <f t="shared" si="61"/>
        <v>98.85879587488742</v>
      </c>
      <c r="J111" s="85">
        <f t="shared" si="66"/>
        <v>340.72171628170821</v>
      </c>
      <c r="K111" s="129">
        <f t="shared" si="44"/>
        <v>439.58051215659566</v>
      </c>
      <c r="L111" s="85">
        <f t="shared" si="63"/>
        <v>2400.0500000000002</v>
      </c>
      <c r="M111" s="130">
        <f t="shared" si="45"/>
        <v>2839.6305121565956</v>
      </c>
      <c r="N111" s="8">
        <f t="shared" si="46"/>
        <v>25329.809675030574</v>
      </c>
      <c r="O111" s="84">
        <f t="shared" si="47"/>
        <v>22490.179162873981</v>
      </c>
      <c r="P111" s="117"/>
      <c r="Q111" s="117"/>
      <c r="R111" s="117"/>
      <c r="S111" s="117"/>
      <c r="T111" s="117"/>
      <c r="U111" s="117"/>
      <c r="V111" s="117"/>
      <c r="W111" s="117"/>
      <c r="X111" s="117"/>
    </row>
    <row r="112" spans="1:24" x14ac:dyDescent="0.2">
      <c r="A112" s="17" t="s">
        <v>65</v>
      </c>
      <c r="B112" s="81" t="str">
        <f t="shared" si="53"/>
        <v>Q2/2019</v>
      </c>
      <c r="C112" s="82">
        <f t="shared" si="51"/>
        <v>43556</v>
      </c>
      <c r="D112" s="82">
        <f t="shared" si="52"/>
        <v>43646</v>
      </c>
      <c r="E112" s="81">
        <f t="shared" si="49"/>
        <v>91</v>
      </c>
      <c r="F112" s="83">
        <f>VLOOKUP(D112,'FERC Interest Rate'!$A:$B,2,TRUE)</f>
        <v>5.7999999999999996E-2</v>
      </c>
      <c r="G112" s="84">
        <f t="shared" si="50"/>
        <v>22490.179162873981</v>
      </c>
      <c r="H112" s="84">
        <v>0</v>
      </c>
      <c r="I112" s="109">
        <f t="shared" si="61"/>
        <v>98.85879587488742</v>
      </c>
      <c r="J112" s="85">
        <f t="shared" si="66"/>
        <v>325.21415238807913</v>
      </c>
      <c r="K112" s="129">
        <f t="shared" si="44"/>
        <v>424.07294826296652</v>
      </c>
      <c r="L112" s="85">
        <f t="shared" si="63"/>
        <v>2400.0500000000002</v>
      </c>
      <c r="M112" s="130">
        <f t="shared" si="45"/>
        <v>2824.1229482629669</v>
      </c>
      <c r="N112" s="8">
        <f t="shared" si="46"/>
        <v>22815.393315262059</v>
      </c>
      <c r="O112" s="84">
        <f t="shared" si="47"/>
        <v>19991.270366999095</v>
      </c>
      <c r="P112" s="117"/>
      <c r="Q112" s="117"/>
      <c r="R112" s="117"/>
      <c r="S112" s="117"/>
      <c r="T112" s="117"/>
      <c r="U112" s="117"/>
      <c r="V112" s="117"/>
      <c r="W112" s="117"/>
      <c r="X112" s="117"/>
    </row>
    <row r="113" spans="1:24" x14ac:dyDescent="0.2">
      <c r="A113" s="17" t="s">
        <v>66</v>
      </c>
      <c r="B113" s="81" t="str">
        <f t="shared" si="53"/>
        <v>Q3/2019</v>
      </c>
      <c r="C113" s="82">
        <f t="shared" si="51"/>
        <v>43647</v>
      </c>
      <c r="D113" s="82">
        <f t="shared" si="52"/>
        <v>43738</v>
      </c>
      <c r="E113" s="81">
        <f t="shared" si="49"/>
        <v>92</v>
      </c>
      <c r="F113" s="83">
        <f>VLOOKUP(D113,'FERC Interest Rate'!$A:$B,2,TRUE)</f>
        <v>0.06</v>
      </c>
      <c r="G113" s="84">
        <f t="shared" si="50"/>
        <v>19991.270366999095</v>
      </c>
      <c r="H113" s="84">
        <v>0</v>
      </c>
      <c r="I113" s="109">
        <f t="shared" si="61"/>
        <v>98.85879587488742</v>
      </c>
      <c r="J113" s="85">
        <f t="shared" si="66"/>
        <v>302.33373267352056</v>
      </c>
      <c r="K113" s="129">
        <f t="shared" si="44"/>
        <v>401.19252854840795</v>
      </c>
      <c r="L113" s="85">
        <f t="shared" si="63"/>
        <v>2400.0500000000002</v>
      </c>
      <c r="M113" s="130">
        <f t="shared" si="45"/>
        <v>2801.2425285484082</v>
      </c>
      <c r="N113" s="8">
        <f t="shared" si="46"/>
        <v>20293.604099672615</v>
      </c>
      <c r="O113" s="84">
        <f t="shared" si="47"/>
        <v>17492.361571124209</v>
      </c>
      <c r="P113" s="117"/>
      <c r="Q113" s="117"/>
      <c r="R113" s="117"/>
      <c r="S113" s="117"/>
      <c r="T113" s="117"/>
      <c r="U113" s="117"/>
      <c r="V113" s="117"/>
      <c r="W113" s="117"/>
      <c r="X113" s="117"/>
    </row>
    <row r="114" spans="1:24" x14ac:dyDescent="0.2">
      <c r="A114" s="17" t="s">
        <v>67</v>
      </c>
      <c r="B114" s="81" t="str">
        <f t="shared" si="53"/>
        <v>Q4/2019</v>
      </c>
      <c r="C114" s="82">
        <f t="shared" si="51"/>
        <v>43739</v>
      </c>
      <c r="D114" s="82">
        <f t="shared" si="52"/>
        <v>43830</v>
      </c>
      <c r="E114" s="81">
        <f t="shared" si="49"/>
        <v>92</v>
      </c>
      <c r="F114" s="83">
        <f>VLOOKUP(D114,'FERC Interest Rate'!$A:$B,2,TRUE)</f>
        <v>6.0349460000000001E-2</v>
      </c>
      <c r="G114" s="84">
        <f t="shared" si="50"/>
        <v>17492.361571124209</v>
      </c>
      <c r="H114" s="84">
        <v>0</v>
      </c>
      <c r="I114" s="109">
        <f t="shared" si="61"/>
        <v>98.85879587488742</v>
      </c>
      <c r="J114" s="85">
        <f t="shared" si="66"/>
        <v>266.08279697170684</v>
      </c>
      <c r="K114" s="129">
        <f t="shared" si="44"/>
        <v>364.94159284659429</v>
      </c>
      <c r="L114" s="85">
        <f t="shared" si="63"/>
        <v>2400.0500000000002</v>
      </c>
      <c r="M114" s="130">
        <f t="shared" si="45"/>
        <v>2764.9915928465944</v>
      </c>
      <c r="N114" s="8">
        <f t="shared" si="46"/>
        <v>17758.444368095916</v>
      </c>
      <c r="O114" s="84">
        <f t="shared" si="47"/>
        <v>14993.452775249323</v>
      </c>
      <c r="P114" s="117"/>
      <c r="Q114" s="117"/>
      <c r="R114" s="117"/>
      <c r="S114" s="117"/>
      <c r="T114" s="117"/>
      <c r="U114" s="117"/>
      <c r="V114" s="117"/>
      <c r="W114" s="117"/>
      <c r="X114" s="117"/>
    </row>
    <row r="115" spans="1:24" x14ac:dyDescent="0.2">
      <c r="A115" s="17" t="s">
        <v>68</v>
      </c>
      <c r="B115" s="81" t="str">
        <f t="shared" si="53"/>
        <v>Q1/2020</v>
      </c>
      <c r="C115" s="82">
        <f t="shared" si="51"/>
        <v>43831</v>
      </c>
      <c r="D115" s="82">
        <f t="shared" si="52"/>
        <v>43921</v>
      </c>
      <c r="E115" s="81">
        <f t="shared" si="49"/>
        <v>91</v>
      </c>
      <c r="F115" s="83">
        <f>VLOOKUP(D115,'FERC Interest Rate'!$A:$B,2,TRUE)</f>
        <v>6.2501040000000008E-2</v>
      </c>
      <c r="G115" s="84">
        <f t="shared" si="50"/>
        <v>14993.452775249323</v>
      </c>
      <c r="H115" s="84">
        <v>0</v>
      </c>
      <c r="I115" s="109">
        <f t="shared" si="61"/>
        <v>98.85879587488742</v>
      </c>
      <c r="J115" s="85">
        <f t="shared" si="66"/>
        <v>232.99639792240762</v>
      </c>
      <c r="K115" s="129">
        <f t="shared" si="44"/>
        <v>331.85519379729504</v>
      </c>
      <c r="L115" s="85">
        <f t="shared" si="63"/>
        <v>2400.0500000000002</v>
      </c>
      <c r="M115" s="130">
        <f t="shared" si="45"/>
        <v>2731.9051937972954</v>
      </c>
      <c r="N115" s="8">
        <f t="shared" si="46"/>
        <v>15226.449173171732</v>
      </c>
      <c r="O115" s="84">
        <f t="shared" si="47"/>
        <v>12494.543979374437</v>
      </c>
      <c r="P115" s="117"/>
      <c r="Q115" s="117"/>
      <c r="R115" s="117"/>
      <c r="S115" s="117"/>
      <c r="T115" s="117"/>
      <c r="U115" s="117"/>
      <c r="V115" s="117"/>
      <c r="W115" s="117"/>
      <c r="X115" s="117"/>
    </row>
    <row r="116" spans="1:24" x14ac:dyDescent="0.2">
      <c r="A116" s="17" t="s">
        <v>69</v>
      </c>
      <c r="B116" s="81" t="str">
        <f t="shared" si="53"/>
        <v>Q2/2020</v>
      </c>
      <c r="C116" s="82">
        <f t="shared" si="51"/>
        <v>43922</v>
      </c>
      <c r="D116" s="82">
        <f t="shared" si="52"/>
        <v>44012</v>
      </c>
      <c r="E116" s="81">
        <f t="shared" si="49"/>
        <v>91</v>
      </c>
      <c r="F116" s="83">
        <f>VLOOKUP(D116,'FERC Interest Rate'!$A:$B,2,TRUE)</f>
        <v>6.3055559999999997E-2</v>
      </c>
      <c r="G116" s="84">
        <f t="shared" si="50"/>
        <v>12494.543979374437</v>
      </c>
      <c r="H116" s="84">
        <v>0</v>
      </c>
      <c r="I116" s="109">
        <f t="shared" si="61"/>
        <v>98.85879587488742</v>
      </c>
      <c r="J116" s="85">
        <f t="shared" si="66"/>
        <v>195.88631843806448</v>
      </c>
      <c r="K116" s="129">
        <f t="shared" si="44"/>
        <v>294.7451143129519</v>
      </c>
      <c r="L116" s="85">
        <f t="shared" si="63"/>
        <v>2400.0500000000002</v>
      </c>
      <c r="M116" s="130">
        <f t="shared" si="45"/>
        <v>2694.7951143129521</v>
      </c>
      <c r="N116" s="8">
        <f t="shared" si="46"/>
        <v>12690.430297812502</v>
      </c>
      <c r="O116" s="84">
        <f t="shared" si="47"/>
        <v>9995.6351834995512</v>
      </c>
      <c r="P116" s="117"/>
      <c r="Q116" s="117"/>
      <c r="R116" s="117"/>
      <c r="S116" s="117"/>
      <c r="T116" s="117"/>
      <c r="U116" s="117"/>
      <c r="V116" s="117"/>
      <c r="W116" s="117"/>
      <c r="X116" s="117"/>
    </row>
    <row r="117" spans="1:24" x14ac:dyDescent="0.2">
      <c r="A117" s="17" t="s">
        <v>70</v>
      </c>
      <c r="B117" s="81" t="str">
        <f t="shared" si="53"/>
        <v>Q3/2020</v>
      </c>
      <c r="C117" s="82">
        <f t="shared" si="51"/>
        <v>44013</v>
      </c>
      <c r="D117" s="82">
        <f t="shared" si="52"/>
        <v>44104</v>
      </c>
      <c r="E117" s="81">
        <f t="shared" si="49"/>
        <v>92</v>
      </c>
      <c r="F117" s="83">
        <f>VLOOKUP(D117,'FERC Interest Rate'!$A:$B,2,TRUE)</f>
        <v>6.5000000000000002E-2</v>
      </c>
      <c r="G117" s="84">
        <f t="shared" si="50"/>
        <v>9995.6351834995512</v>
      </c>
      <c r="H117" s="84">
        <v>0</v>
      </c>
      <c r="I117" s="109">
        <f t="shared" si="61"/>
        <v>98.85879587488742</v>
      </c>
      <c r="J117" s="85">
        <f t="shared" si="66"/>
        <v>163.31666228777956</v>
      </c>
      <c r="K117" s="129">
        <f t="shared" si="44"/>
        <v>262.17545816266698</v>
      </c>
      <c r="L117" s="85">
        <f t="shared" si="63"/>
        <v>2400.0500000000002</v>
      </c>
      <c r="M117" s="130">
        <f t="shared" si="45"/>
        <v>2662.2254581626671</v>
      </c>
      <c r="N117" s="8">
        <f t="shared" si="46"/>
        <v>10158.951845787331</v>
      </c>
      <c r="O117" s="84">
        <f t="shared" si="47"/>
        <v>7496.7263876246634</v>
      </c>
      <c r="P117" s="117"/>
      <c r="Q117" s="117"/>
      <c r="R117" s="117"/>
      <c r="S117" s="117"/>
      <c r="T117" s="117"/>
      <c r="U117" s="117"/>
      <c r="V117" s="117"/>
      <c r="W117" s="117"/>
      <c r="X117" s="117"/>
    </row>
    <row r="118" spans="1:24" x14ac:dyDescent="0.2">
      <c r="A118" s="17" t="s">
        <v>71</v>
      </c>
      <c r="B118" s="81" t="str">
        <f t="shared" si="53"/>
        <v>Q4/2020</v>
      </c>
      <c r="C118" s="82">
        <f t="shared" si="51"/>
        <v>44105</v>
      </c>
      <c r="D118" s="82">
        <f t="shared" si="52"/>
        <v>44196</v>
      </c>
      <c r="E118" s="81">
        <f t="shared" si="49"/>
        <v>92</v>
      </c>
      <c r="F118" s="83">
        <f>VLOOKUP(D118,'FERC Interest Rate'!$A:$B,2,TRUE)</f>
        <v>6.5000000000000002E-2</v>
      </c>
      <c r="G118" s="84">
        <f t="shared" si="50"/>
        <v>7496.7263876246634</v>
      </c>
      <c r="H118" s="84">
        <v>0</v>
      </c>
      <c r="I118" s="109">
        <f t="shared" si="61"/>
        <v>98.85879587488742</v>
      </c>
      <c r="J118" s="85">
        <f t="shared" si="66"/>
        <v>122.48749671583467</v>
      </c>
      <c r="K118" s="129">
        <f t="shared" si="44"/>
        <v>221.3462925907221</v>
      </c>
      <c r="L118" s="85">
        <f t="shared" si="63"/>
        <v>2400.0500000000002</v>
      </c>
      <c r="M118" s="130">
        <f t="shared" si="45"/>
        <v>2621.3962925907222</v>
      </c>
      <c r="N118" s="8">
        <f t="shared" si="46"/>
        <v>7619.2138843404982</v>
      </c>
      <c r="O118" s="84">
        <f t="shared" si="47"/>
        <v>4997.8175917497756</v>
      </c>
      <c r="P118" s="117"/>
      <c r="Q118" s="117"/>
      <c r="R118" s="117"/>
      <c r="S118" s="117"/>
      <c r="T118" s="117"/>
      <c r="U118" s="117"/>
      <c r="V118" s="117"/>
      <c r="W118" s="117"/>
      <c r="X118" s="117"/>
    </row>
    <row r="119" spans="1:24" x14ac:dyDescent="0.2">
      <c r="A119" s="17" t="s">
        <v>72</v>
      </c>
      <c r="B119" s="81" t="str">
        <f t="shared" si="53"/>
        <v>Q1/2021</v>
      </c>
      <c r="C119" s="82">
        <f t="shared" si="51"/>
        <v>44197</v>
      </c>
      <c r="D119" s="82">
        <f t="shared" si="52"/>
        <v>44286</v>
      </c>
      <c r="E119" s="81">
        <f t="shared" si="49"/>
        <v>90</v>
      </c>
      <c r="F119" s="83">
        <f>VLOOKUP(D119,'FERC Interest Rate'!$A:$B,2,TRUE)</f>
        <v>6.5000000000000002E-2</v>
      </c>
      <c r="G119" s="84">
        <f t="shared" si="50"/>
        <v>4997.8175917497756</v>
      </c>
      <c r="H119" s="84">
        <v>0</v>
      </c>
      <c r="I119" s="109">
        <f t="shared" si="61"/>
        <v>98.85879587488742</v>
      </c>
      <c r="J119" s="85">
        <f t="shared" si="66"/>
        <v>80.102007977359406</v>
      </c>
      <c r="K119" s="129">
        <f t="shared" si="44"/>
        <v>178.96080385224684</v>
      </c>
      <c r="L119" s="85">
        <f t="shared" si="63"/>
        <v>2400.0500000000002</v>
      </c>
      <c r="M119" s="130">
        <f t="shared" si="45"/>
        <v>2579.0108038522471</v>
      </c>
      <c r="N119" s="8">
        <f t="shared" si="46"/>
        <v>5077.9195997271354</v>
      </c>
      <c r="O119" s="84">
        <f t="shared" si="47"/>
        <v>2498.9087958748878</v>
      </c>
      <c r="P119" s="117"/>
      <c r="Q119" s="117"/>
      <c r="R119" s="117"/>
      <c r="S119" s="117"/>
      <c r="T119" s="117"/>
      <c r="U119" s="117"/>
      <c r="V119" s="117"/>
      <c r="W119" s="117"/>
      <c r="X119" s="117"/>
    </row>
    <row r="120" spans="1:24" x14ac:dyDescent="0.2">
      <c r="A120" s="17" t="s">
        <v>73</v>
      </c>
      <c r="B120" s="81" t="str">
        <f t="shared" si="53"/>
        <v>Q2/2021</v>
      </c>
      <c r="C120" s="82">
        <f t="shared" si="51"/>
        <v>44287</v>
      </c>
      <c r="D120" s="82">
        <f t="shared" si="52"/>
        <v>44377</v>
      </c>
      <c r="E120" s="81">
        <f t="shared" si="49"/>
        <v>91</v>
      </c>
      <c r="F120" s="83">
        <f>VLOOKUP(D120,'FERC Interest Rate'!$A:$B,2,TRUE)</f>
        <v>6.5000000000000002E-2</v>
      </c>
      <c r="G120" s="84">
        <f t="shared" si="50"/>
        <v>2498.9087958748878</v>
      </c>
      <c r="H120" s="84">
        <v>0</v>
      </c>
      <c r="I120" s="109">
        <f t="shared" si="61"/>
        <v>98.85879587488742</v>
      </c>
      <c r="J120" s="85">
        <f t="shared" si="66"/>
        <v>40.496015144109485</v>
      </c>
      <c r="K120" s="129">
        <f t="shared" si="44"/>
        <v>139.35481101899691</v>
      </c>
      <c r="L120" s="85">
        <f t="shared" si="63"/>
        <v>2400.0500000000002</v>
      </c>
      <c r="M120" s="130">
        <f t="shared" si="45"/>
        <v>2539.404811018997</v>
      </c>
      <c r="N120" s="8">
        <f t="shared" si="46"/>
        <v>2539.4048110189974</v>
      </c>
      <c r="O120" s="84">
        <f t="shared" si="47"/>
        <v>1.9895196601282805E-13</v>
      </c>
      <c r="P120" s="117"/>
      <c r="Q120" s="117"/>
      <c r="R120" s="117"/>
      <c r="S120" s="117"/>
      <c r="T120" s="117"/>
      <c r="U120" s="117"/>
      <c r="V120" s="117"/>
      <c r="W120" s="117"/>
      <c r="X120" s="117"/>
    </row>
    <row r="121" spans="1:24" x14ac:dyDescent="0.2">
      <c r="B121" s="81"/>
      <c r="C121" s="82"/>
      <c r="D121" s="82"/>
      <c r="E121" s="81"/>
      <c r="F121" s="83"/>
      <c r="G121" s="84"/>
      <c r="H121" s="84"/>
      <c r="I121" s="109"/>
      <c r="J121" s="85"/>
      <c r="K121" s="117"/>
      <c r="L121" s="85"/>
      <c r="M121" s="131"/>
      <c r="N121" s="117"/>
      <c r="O121" s="84"/>
      <c r="P121" s="117"/>
      <c r="Q121" s="117"/>
      <c r="R121" s="117"/>
      <c r="S121" s="117"/>
      <c r="T121" s="117"/>
      <c r="U121" s="117"/>
      <c r="V121" s="117"/>
      <c r="W121" s="117"/>
      <c r="X121" s="117"/>
    </row>
    <row r="122" spans="1:24" ht="13.5" thickBot="1" x14ac:dyDescent="0.25">
      <c r="A122" s="151"/>
      <c r="B122" s="152"/>
      <c r="C122" s="153"/>
      <c r="D122" s="153"/>
      <c r="E122" s="154"/>
      <c r="F122" s="152"/>
      <c r="G122" s="137">
        <f t="shared" ref="G122:O122" si="67">SUM(G97:G121)</f>
        <v>734819.80935669143</v>
      </c>
      <c r="H122" s="137">
        <f t="shared" si="67"/>
        <v>1977.1759174977485</v>
      </c>
      <c r="I122" s="138">
        <f t="shared" si="67"/>
        <v>1977.1759174977481</v>
      </c>
      <c r="J122" s="137">
        <f t="shared" si="67"/>
        <v>5685.0490894708382</v>
      </c>
      <c r="K122" s="137">
        <f t="shared" si="67"/>
        <v>7662.225006968587</v>
      </c>
      <c r="L122" s="137">
        <f t="shared" si="67"/>
        <v>48001.000000000015</v>
      </c>
      <c r="M122" s="139">
        <f t="shared" si="67"/>
        <v>55663.225006968591</v>
      </c>
      <c r="N122" s="137">
        <f t="shared" si="67"/>
        <v>742482.03436366003</v>
      </c>
      <c r="O122" s="137">
        <f t="shared" si="67"/>
        <v>686818.80935669155</v>
      </c>
      <c r="P122" s="117"/>
      <c r="Q122" s="117"/>
      <c r="R122" s="117"/>
      <c r="S122" s="117"/>
      <c r="T122" s="117"/>
      <c r="U122" s="117"/>
      <c r="V122" s="117"/>
      <c r="W122" s="117"/>
      <c r="X122" s="117"/>
    </row>
    <row r="123" spans="1:24" ht="13.5" thickTop="1" x14ac:dyDescent="0.2">
      <c r="B123" s="11"/>
      <c r="C123" s="125"/>
      <c r="D123" s="125"/>
      <c r="E123" s="10"/>
      <c r="F123" s="11"/>
      <c r="G123" s="85"/>
      <c r="H123" s="70"/>
      <c r="I123" s="115"/>
      <c r="J123" s="85"/>
      <c r="K123" s="117"/>
      <c r="L123" s="70"/>
      <c r="M123" s="131"/>
      <c r="N123" s="117"/>
      <c r="O123" s="117"/>
      <c r="P123" s="117"/>
      <c r="Q123" s="117"/>
      <c r="R123" s="117"/>
      <c r="S123" s="117"/>
      <c r="T123" s="117"/>
      <c r="U123" s="117"/>
      <c r="V123" s="117"/>
      <c r="W123" s="117"/>
      <c r="X123" s="117"/>
    </row>
    <row r="124" spans="1:24" ht="36.75" x14ac:dyDescent="0.2">
      <c r="A124" s="90" t="s">
        <v>53</v>
      </c>
      <c r="B124" s="90" t="s">
        <v>3</v>
      </c>
      <c r="C124" s="90" t="s">
        <v>4</v>
      </c>
      <c r="D124" s="90" t="s">
        <v>5</v>
      </c>
      <c r="E124" s="90" t="s">
        <v>6</v>
      </c>
      <c r="F124" s="90" t="s">
        <v>7</v>
      </c>
      <c r="G124" s="90" t="s">
        <v>80</v>
      </c>
      <c r="H124" s="90" t="s">
        <v>81</v>
      </c>
      <c r="I124" s="105" t="s">
        <v>82</v>
      </c>
      <c r="J124" s="106" t="s">
        <v>83</v>
      </c>
      <c r="K124" s="106" t="s">
        <v>84</v>
      </c>
      <c r="L124" s="106" t="s">
        <v>85</v>
      </c>
      <c r="M124" s="107" t="s">
        <v>75</v>
      </c>
      <c r="N124" s="90" t="s">
        <v>86</v>
      </c>
      <c r="O124" s="90" t="s">
        <v>87</v>
      </c>
      <c r="P124" s="117"/>
      <c r="Q124" s="117"/>
      <c r="R124" s="117"/>
      <c r="S124" s="117"/>
      <c r="T124" s="117"/>
      <c r="U124" s="117"/>
      <c r="V124" s="117"/>
      <c r="W124" s="117"/>
      <c r="X124" s="117"/>
    </row>
    <row r="125" spans="1:24" x14ac:dyDescent="0.2">
      <c r="A125" s="275" t="s">
        <v>38</v>
      </c>
      <c r="B125" s="276" t="s">
        <v>56</v>
      </c>
      <c r="C125" s="82">
        <f>VLOOKUP(B125,A$1:F$11,2,FALSE)</f>
        <v>42262</v>
      </c>
      <c r="D125" s="82">
        <f>DATE(YEAR(C125),IF(MONTH(C125)&lt;=3,3,IF(MONTH(C125)&lt;=6,6,IF(MONTH(C125)&lt;=9,9,12))),IF(OR(MONTH(C125)&lt;=3,MONTH(C125)&gt;=10),31,30))</f>
        <v>42277</v>
      </c>
      <c r="E125" s="81">
        <f>D125-C125+1</f>
        <v>16</v>
      </c>
      <c r="F125" s="83">
        <f>VLOOKUP(D125,'FERC Interest Rate'!$A:$B,2,TRUE)</f>
        <v>3.2500000000000001E-2</v>
      </c>
      <c r="G125" s="84">
        <f>VLOOKUP(B125,$A$1:$F$11,5,FALSE)</f>
        <v>58203</v>
      </c>
      <c r="H125" s="84">
        <f t="shared" ref="H125:H129" si="68">G125*F125*(E125/(DATE(YEAR(D125),12,31)-DATE(YEAR(D125),1,1)+1))</f>
        <v>82.919342465753431</v>
      </c>
      <c r="I125" s="173">
        <v>0</v>
      </c>
      <c r="J125" s="85">
        <v>0</v>
      </c>
      <c r="K125" s="129">
        <f t="shared" ref="K125:K148" si="69">+SUM(I125:J125)</f>
        <v>0</v>
      </c>
      <c r="L125" s="85">
        <v>0</v>
      </c>
      <c r="M125" s="130">
        <f t="shared" ref="M125:M148" si="70">+SUM(K125:L125)</f>
        <v>0</v>
      </c>
      <c r="N125" s="8">
        <f t="shared" ref="N125:N148" si="71">+G125+H125+J125</f>
        <v>58285.919342465757</v>
      </c>
      <c r="O125" s="84">
        <f t="shared" ref="O125:O148" si="72">G125+H125-L125-I125</f>
        <v>58285.919342465757</v>
      </c>
      <c r="P125" s="117"/>
      <c r="Q125" s="117"/>
      <c r="R125" s="117"/>
      <c r="S125" s="117"/>
      <c r="T125" s="117"/>
      <c r="U125" s="117"/>
      <c r="V125" s="117"/>
      <c r="W125" s="117"/>
      <c r="X125" s="117"/>
    </row>
    <row r="126" spans="1:24" x14ac:dyDescent="0.2">
      <c r="A126" s="96" t="s">
        <v>22</v>
      </c>
      <c r="B126" s="81" t="str">
        <f t="shared" ref="B126:B131" si="73">+IF(MONTH(C126)&lt;4,"Q1",IF(MONTH(C126)&lt;7,"Q2",IF(MONTH(C126)&lt;10,"Q3","Q4")))&amp;"/"&amp;YEAR(C126)</f>
        <v>Q4/2015</v>
      </c>
      <c r="C126" s="82">
        <f>D125+1</f>
        <v>42278</v>
      </c>
      <c r="D126" s="82">
        <f>EOMONTH(D125,3)</f>
        <v>42369</v>
      </c>
      <c r="E126" s="81">
        <f t="shared" ref="E126:E148" si="74">D126-C126+1</f>
        <v>92</v>
      </c>
      <c r="F126" s="83">
        <f>VLOOKUP(D126,'FERC Interest Rate'!$A:$B,2,TRUE)</f>
        <v>3.2500000000000001E-2</v>
      </c>
      <c r="G126" s="84">
        <f t="shared" ref="G126:G148" si="75">O125</f>
        <v>58285.919342465757</v>
      </c>
      <c r="H126" s="84">
        <f t="shared" si="68"/>
        <v>477.46547625745927</v>
      </c>
      <c r="I126" s="173">
        <v>0</v>
      </c>
      <c r="J126" s="85">
        <v>0</v>
      </c>
      <c r="K126" s="129">
        <f t="shared" si="69"/>
        <v>0</v>
      </c>
      <c r="L126" s="85">
        <v>0</v>
      </c>
      <c r="M126" s="130">
        <f t="shared" si="70"/>
        <v>0</v>
      </c>
      <c r="N126" s="8">
        <f t="shared" si="71"/>
        <v>58763.384818723214</v>
      </c>
      <c r="O126" s="84">
        <f t="shared" si="72"/>
        <v>58763.384818723214</v>
      </c>
      <c r="P126" s="117"/>
      <c r="Q126" s="117"/>
      <c r="R126" s="117"/>
      <c r="S126" s="117"/>
      <c r="T126" s="117"/>
      <c r="U126" s="117"/>
      <c r="V126" s="117"/>
      <c r="W126" s="117"/>
      <c r="X126" s="117"/>
    </row>
    <row r="127" spans="1:24" x14ac:dyDescent="0.2">
      <c r="A127" s="96" t="s">
        <v>22</v>
      </c>
      <c r="B127" s="81" t="str">
        <f t="shared" si="73"/>
        <v>Q1/2016</v>
      </c>
      <c r="C127" s="82">
        <f t="shared" ref="C127:C148" si="76">D126+1</f>
        <v>42370</v>
      </c>
      <c r="D127" s="82">
        <f t="shared" ref="D127:D148" si="77">EOMONTH(D126,3)</f>
        <v>42460</v>
      </c>
      <c r="E127" s="81">
        <f t="shared" si="74"/>
        <v>91</v>
      </c>
      <c r="F127" s="83">
        <f>VLOOKUP(D127,'FERC Interest Rate'!$A:$B,2,TRUE)</f>
        <v>3.2500000000000001E-2</v>
      </c>
      <c r="G127" s="84">
        <f t="shared" si="75"/>
        <v>58763.384818723214</v>
      </c>
      <c r="H127" s="84">
        <f t="shared" si="68"/>
        <v>474.84347158845333</v>
      </c>
      <c r="I127" s="173">
        <v>0</v>
      </c>
      <c r="J127" s="85">
        <v>0</v>
      </c>
      <c r="K127" s="129">
        <f t="shared" si="69"/>
        <v>0</v>
      </c>
      <c r="L127" s="85">
        <v>0</v>
      </c>
      <c r="M127" s="130">
        <f t="shared" si="70"/>
        <v>0</v>
      </c>
      <c r="N127" s="8">
        <f t="shared" si="71"/>
        <v>59238.228290311665</v>
      </c>
      <c r="O127" s="84">
        <f t="shared" si="72"/>
        <v>59238.228290311665</v>
      </c>
      <c r="P127" s="117"/>
      <c r="Q127" s="117"/>
      <c r="R127" s="117"/>
      <c r="S127" s="117"/>
      <c r="T127" s="117"/>
      <c r="U127" s="117"/>
      <c r="V127" s="117"/>
      <c r="W127" s="117"/>
      <c r="X127" s="117"/>
    </row>
    <row r="128" spans="1:24" x14ac:dyDescent="0.2">
      <c r="A128" s="96" t="s">
        <v>22</v>
      </c>
      <c r="B128" s="81" t="str">
        <f t="shared" si="73"/>
        <v>Q2/2016</v>
      </c>
      <c r="C128" s="82">
        <f t="shared" si="76"/>
        <v>42461</v>
      </c>
      <c r="D128" s="82">
        <f t="shared" si="77"/>
        <v>42551</v>
      </c>
      <c r="E128" s="81">
        <f t="shared" si="74"/>
        <v>91</v>
      </c>
      <c r="F128" s="83">
        <f>VLOOKUP(D128,'FERC Interest Rate'!$A:$B,2,TRUE)</f>
        <v>3.4599999999999999E-2</v>
      </c>
      <c r="G128" s="84">
        <f t="shared" si="75"/>
        <v>59238.228290311665</v>
      </c>
      <c r="H128" s="84">
        <f t="shared" si="68"/>
        <v>509.61061637944067</v>
      </c>
      <c r="I128" s="173">
        <v>0</v>
      </c>
      <c r="J128" s="85">
        <v>0</v>
      </c>
      <c r="K128" s="129">
        <f t="shared" si="69"/>
        <v>0</v>
      </c>
      <c r="L128" s="85">
        <v>0</v>
      </c>
      <c r="M128" s="130">
        <f t="shared" si="70"/>
        <v>0</v>
      </c>
      <c r="N128" s="8">
        <f t="shared" si="71"/>
        <v>59747.838906691104</v>
      </c>
      <c r="O128" s="84">
        <f t="shared" si="72"/>
        <v>59747.838906691104</v>
      </c>
      <c r="P128" s="117"/>
      <c r="Q128" s="117"/>
      <c r="R128" s="117"/>
      <c r="S128" s="117"/>
      <c r="T128" s="117"/>
      <c r="U128" s="117"/>
      <c r="V128" s="117"/>
      <c r="W128" s="117"/>
      <c r="X128" s="117"/>
    </row>
    <row r="129" spans="1:24" x14ac:dyDescent="0.2">
      <c r="A129" s="96" t="s">
        <v>22</v>
      </c>
      <c r="B129" s="81" t="str">
        <f t="shared" si="73"/>
        <v>Q3/2016</v>
      </c>
      <c r="C129" s="82">
        <f t="shared" si="76"/>
        <v>42552</v>
      </c>
      <c r="D129" s="82">
        <f t="shared" si="77"/>
        <v>42643</v>
      </c>
      <c r="E129" s="81">
        <f t="shared" si="74"/>
        <v>92</v>
      </c>
      <c r="F129" s="83">
        <f>VLOOKUP(D129,'FERC Interest Rate'!$A:$B,2,TRUE)</f>
        <v>3.5000000000000003E-2</v>
      </c>
      <c r="G129" s="84">
        <f t="shared" si="75"/>
        <v>59747.838906691104</v>
      </c>
      <c r="H129" s="84">
        <f t="shared" si="68"/>
        <v>525.65038600968683</v>
      </c>
      <c r="I129" s="109">
        <v>0</v>
      </c>
      <c r="J129" s="85">
        <v>0</v>
      </c>
      <c r="K129" s="129">
        <f t="shared" si="69"/>
        <v>0</v>
      </c>
      <c r="L129" s="85">
        <v>0</v>
      </c>
      <c r="M129" s="130">
        <f t="shared" si="70"/>
        <v>0</v>
      </c>
      <c r="N129" s="8">
        <f t="shared" si="71"/>
        <v>60273.48929270079</v>
      </c>
      <c r="O129" s="84">
        <f t="shared" si="72"/>
        <v>60273.48929270079</v>
      </c>
      <c r="P129" s="117"/>
      <c r="Q129" s="117"/>
      <c r="R129" s="117"/>
      <c r="S129" s="117"/>
      <c r="T129" s="117"/>
      <c r="U129" s="117"/>
      <c r="V129" s="117"/>
      <c r="W129" s="117"/>
      <c r="X129" s="117"/>
    </row>
    <row r="130" spans="1:24" x14ac:dyDescent="0.2">
      <c r="A130" s="96" t="s">
        <v>22</v>
      </c>
      <c r="B130" s="81" t="str">
        <f t="shared" si="73"/>
        <v>Q4/2016</v>
      </c>
      <c r="C130" s="82">
        <f t="shared" si="76"/>
        <v>42644</v>
      </c>
      <c r="D130" s="82">
        <f t="shared" si="77"/>
        <v>42735</v>
      </c>
      <c r="E130" s="81">
        <f t="shared" si="74"/>
        <v>92</v>
      </c>
      <c r="F130" s="83">
        <f>VLOOKUP(D130,'FERC Interest Rate'!$A:$B,2,TRUE)</f>
        <v>3.5000000000000003E-2</v>
      </c>
      <c r="G130" s="84">
        <f t="shared" si="75"/>
        <v>60273.48929270079</v>
      </c>
      <c r="H130" s="84">
        <v>0</v>
      </c>
      <c r="I130" s="109">
        <v>0</v>
      </c>
      <c r="J130" s="85">
        <f t="shared" ref="J130:J133" si="78">G130*F130*(E130/(DATE(YEAR(D130),12,31)-DATE(YEAR(D130),1,1)+1))</f>
        <v>530.27496044397969</v>
      </c>
      <c r="K130" s="129">
        <f t="shared" si="69"/>
        <v>530.27496044397969</v>
      </c>
      <c r="L130" s="85">
        <v>0</v>
      </c>
      <c r="M130" s="130">
        <v>0</v>
      </c>
      <c r="N130" s="8">
        <f t="shared" si="71"/>
        <v>60803.764253144771</v>
      </c>
      <c r="O130" s="84">
        <f>+N130-M130</f>
        <v>60803.764253144771</v>
      </c>
      <c r="P130" s="117"/>
      <c r="Q130" s="117"/>
      <c r="R130" s="117"/>
      <c r="S130" s="117"/>
      <c r="T130" s="117"/>
      <c r="U130" s="117"/>
      <c r="V130" s="117"/>
      <c r="W130" s="117"/>
      <c r="X130" s="117"/>
    </row>
    <row r="131" spans="1:24" x14ac:dyDescent="0.2">
      <c r="A131" s="96" t="s">
        <v>22</v>
      </c>
      <c r="B131" s="81" t="str">
        <f t="shared" si="73"/>
        <v>Q1/2017</v>
      </c>
      <c r="C131" s="82">
        <f t="shared" si="76"/>
        <v>42736</v>
      </c>
      <c r="D131" s="82">
        <f t="shared" si="77"/>
        <v>42825</v>
      </c>
      <c r="E131" s="81">
        <f t="shared" si="74"/>
        <v>90</v>
      </c>
      <c r="F131" s="83">
        <f>VLOOKUP(D131,'FERC Interest Rate'!$A:$B,2,TRUE)</f>
        <v>3.5000000000000003E-2</v>
      </c>
      <c r="G131" s="84">
        <f t="shared" si="75"/>
        <v>60803.764253144771</v>
      </c>
      <c r="H131" s="84">
        <v>0</v>
      </c>
      <c r="I131" s="109">
        <v>0</v>
      </c>
      <c r="J131" s="85">
        <f t="shared" si="78"/>
        <v>524.74481478741382</v>
      </c>
      <c r="K131" s="129">
        <f t="shared" ref="K131:K132" si="79">+SUM(I131:J131)</f>
        <v>524.74481478741382</v>
      </c>
      <c r="L131" s="85">
        <v>0</v>
      </c>
      <c r="M131" s="130">
        <v>0</v>
      </c>
      <c r="N131" s="8">
        <f t="shared" si="71"/>
        <v>61328.509067932187</v>
      </c>
      <c r="O131" s="84">
        <f>+N131-M131</f>
        <v>61328.509067932187</v>
      </c>
      <c r="P131" s="117"/>
      <c r="Q131" s="117"/>
      <c r="R131" s="117"/>
      <c r="S131" s="117"/>
      <c r="T131" s="117"/>
      <c r="U131" s="117"/>
      <c r="V131" s="117"/>
      <c r="W131" s="117"/>
      <c r="X131" s="117"/>
    </row>
    <row r="132" spans="1:24" x14ac:dyDescent="0.2">
      <c r="A132" s="274" t="s">
        <v>102</v>
      </c>
      <c r="B132" s="81" t="str">
        <f t="shared" ref="B132:B148" si="80">+IF(MONTH(C132)&lt;4,"Q1",IF(MONTH(C132)&lt;7,"Q2",IF(MONTH(C132)&lt;10,"Q3","Q4")))&amp;"/"&amp;YEAR(C132)</f>
        <v>Q2/2017</v>
      </c>
      <c r="C132" s="146">
        <f t="shared" si="76"/>
        <v>42826</v>
      </c>
      <c r="D132" s="146">
        <f t="shared" si="77"/>
        <v>42916</v>
      </c>
      <c r="E132" s="81">
        <f t="shared" si="74"/>
        <v>91</v>
      </c>
      <c r="F132" s="83">
        <f>VLOOKUP(D132,'FERC Interest Rate'!$A:$B,2,TRUE)</f>
        <v>3.7100000000000001E-2</v>
      </c>
      <c r="G132" s="84">
        <f t="shared" si="75"/>
        <v>61328.509067932187</v>
      </c>
      <c r="H132" s="84">
        <v>0</v>
      </c>
      <c r="I132" s="109">
        <f>(SUM($H$125:$H$149)/20)*4</f>
        <v>414.09785854015871</v>
      </c>
      <c r="J132" s="85">
        <f t="shared" si="78"/>
        <v>567.26350538149563</v>
      </c>
      <c r="K132" s="129">
        <f t="shared" si="79"/>
        <v>981.3613639216544</v>
      </c>
      <c r="L132" s="85">
        <f>+$G$125/20*4</f>
        <v>11640.6</v>
      </c>
      <c r="M132" s="130">
        <f>+SUM(K130:L132)</f>
        <v>13676.981139153047</v>
      </c>
      <c r="N132" s="8">
        <f t="shared" si="71"/>
        <v>61895.772573313683</v>
      </c>
      <c r="O132" s="84">
        <f>+N132-M132</f>
        <v>48218.791434160637</v>
      </c>
      <c r="P132" s="117"/>
      <c r="Q132" s="117"/>
      <c r="R132" s="117"/>
      <c r="S132" s="117"/>
      <c r="T132" s="117"/>
      <c r="U132" s="117"/>
      <c r="V132" s="117"/>
      <c r="W132" s="117"/>
      <c r="X132" s="117"/>
    </row>
    <row r="133" spans="1:24" x14ac:dyDescent="0.2">
      <c r="A133" s="17" t="s">
        <v>58</v>
      </c>
      <c r="B133" s="81" t="str">
        <f t="shared" si="80"/>
        <v>Q3/2017</v>
      </c>
      <c r="C133" s="146">
        <f t="shared" si="76"/>
        <v>42917</v>
      </c>
      <c r="D133" s="146">
        <f t="shared" si="77"/>
        <v>43008</v>
      </c>
      <c r="E133" s="81">
        <f t="shared" si="74"/>
        <v>92</v>
      </c>
      <c r="F133" s="83">
        <f>VLOOKUP(D133,'FERC Interest Rate'!$A:$B,2,TRUE)</f>
        <v>3.9600000000000003E-2</v>
      </c>
      <c r="G133" s="84">
        <f t="shared" si="75"/>
        <v>48218.791434160637</v>
      </c>
      <c r="H133" s="84">
        <v>0</v>
      </c>
      <c r="I133" s="109">
        <f t="shared" ref="I133:I148" si="81">(SUM($H$125:$H$149)/20)</f>
        <v>103.52446463503968</v>
      </c>
      <c r="J133" s="85">
        <f t="shared" si="78"/>
        <v>481.2895916518741</v>
      </c>
      <c r="K133" s="129">
        <f t="shared" ref="K133" si="82">+SUM(I133:J133)</f>
        <v>584.8140562869138</v>
      </c>
      <c r="L133" s="85">
        <f t="shared" ref="L133:L148" si="83">+$G$125/20</f>
        <v>2910.15</v>
      </c>
      <c r="M133" s="130">
        <f t="shared" ref="M133" si="84">+SUM(K133:L133)</f>
        <v>3494.964056286914</v>
      </c>
      <c r="N133" s="8">
        <f t="shared" si="71"/>
        <v>48700.081025812513</v>
      </c>
      <c r="O133" s="84">
        <f t="shared" si="72"/>
        <v>45205.116969525596</v>
      </c>
      <c r="P133" s="117"/>
      <c r="Q133" s="117"/>
      <c r="R133" s="117"/>
      <c r="S133" s="117"/>
      <c r="T133" s="117"/>
      <c r="U133" s="117"/>
      <c r="V133" s="117"/>
      <c r="W133" s="117"/>
      <c r="X133" s="117"/>
    </row>
    <row r="134" spans="1:24" x14ac:dyDescent="0.2">
      <c r="A134" s="17" t="s">
        <v>59</v>
      </c>
      <c r="B134" s="81" t="str">
        <f t="shared" si="80"/>
        <v>Q4/2017</v>
      </c>
      <c r="C134" s="82">
        <f t="shared" si="76"/>
        <v>43009</v>
      </c>
      <c r="D134" s="82">
        <f t="shared" si="77"/>
        <v>43100</v>
      </c>
      <c r="E134" s="81">
        <f t="shared" si="74"/>
        <v>92</v>
      </c>
      <c r="F134" s="83">
        <f>VLOOKUP(D134,'FERC Interest Rate'!$A:$B,2,TRUE)</f>
        <v>4.2099999999999999E-2</v>
      </c>
      <c r="G134" s="84">
        <f t="shared" si="75"/>
        <v>45205.116969525596</v>
      </c>
      <c r="H134" s="84">
        <v>0</v>
      </c>
      <c r="I134" s="109">
        <f t="shared" si="81"/>
        <v>103.52446463503968</v>
      </c>
      <c r="J134" s="85">
        <f t="shared" ref="J134:J148" si="85">G134*F134*(E134/(DATE(YEAR(D134),12,31)-DATE(YEAR(D134),1,1)+1))</f>
        <v>479.69440834620968</v>
      </c>
      <c r="K134" s="129">
        <f t="shared" si="69"/>
        <v>583.21887298124932</v>
      </c>
      <c r="L134" s="85">
        <f t="shared" si="83"/>
        <v>2910.15</v>
      </c>
      <c r="M134" s="130">
        <f t="shared" si="70"/>
        <v>3493.3688729812493</v>
      </c>
      <c r="N134" s="8">
        <f t="shared" si="71"/>
        <v>45684.811377871803</v>
      </c>
      <c r="O134" s="84">
        <f t="shared" si="72"/>
        <v>42191.442504890554</v>
      </c>
      <c r="P134" s="117"/>
      <c r="Q134" s="117"/>
      <c r="R134" s="117"/>
      <c r="S134" s="117"/>
      <c r="T134" s="117"/>
      <c r="U134" s="117"/>
      <c r="V134" s="117"/>
      <c r="W134" s="117"/>
      <c r="X134" s="117"/>
    </row>
    <row r="135" spans="1:24" x14ac:dyDescent="0.2">
      <c r="A135" s="17" t="s">
        <v>60</v>
      </c>
      <c r="B135" s="81" t="str">
        <f t="shared" si="80"/>
        <v>Q1/2018</v>
      </c>
      <c r="C135" s="82">
        <f t="shared" si="76"/>
        <v>43101</v>
      </c>
      <c r="D135" s="82">
        <f t="shared" si="77"/>
        <v>43190</v>
      </c>
      <c r="E135" s="81">
        <f t="shared" si="74"/>
        <v>90</v>
      </c>
      <c r="F135" s="83">
        <f>VLOOKUP(D135,'FERC Interest Rate'!$A:$B,2,TRUE)</f>
        <v>4.2500000000000003E-2</v>
      </c>
      <c r="G135" s="84">
        <f t="shared" si="75"/>
        <v>42191.442504890554</v>
      </c>
      <c r="H135" s="84">
        <v>0</v>
      </c>
      <c r="I135" s="109">
        <f t="shared" si="81"/>
        <v>103.52446463503968</v>
      </c>
      <c r="J135" s="85">
        <f t="shared" si="85"/>
        <v>442.14319885262017</v>
      </c>
      <c r="K135" s="129">
        <f t="shared" si="69"/>
        <v>545.66766348765987</v>
      </c>
      <c r="L135" s="85">
        <f t="shared" si="83"/>
        <v>2910.15</v>
      </c>
      <c r="M135" s="130">
        <f t="shared" si="70"/>
        <v>3455.81766348766</v>
      </c>
      <c r="N135" s="8">
        <f t="shared" si="71"/>
        <v>42633.585703743178</v>
      </c>
      <c r="O135" s="84">
        <f t="shared" si="72"/>
        <v>39177.768040255512</v>
      </c>
      <c r="P135" s="117"/>
      <c r="Q135" s="117"/>
      <c r="R135" s="117"/>
      <c r="S135" s="117"/>
      <c r="T135" s="117"/>
      <c r="U135" s="117"/>
      <c r="V135" s="117"/>
      <c r="W135" s="117"/>
      <c r="X135" s="117"/>
    </row>
    <row r="136" spans="1:24" x14ac:dyDescent="0.2">
      <c r="A136" s="17" t="s">
        <v>61</v>
      </c>
      <c r="B136" s="81" t="str">
        <f t="shared" si="80"/>
        <v>Q2/2018</v>
      </c>
      <c r="C136" s="82">
        <f t="shared" si="76"/>
        <v>43191</v>
      </c>
      <c r="D136" s="82">
        <f t="shared" si="77"/>
        <v>43281</v>
      </c>
      <c r="E136" s="81">
        <f t="shared" si="74"/>
        <v>91</v>
      </c>
      <c r="F136" s="83">
        <f>VLOOKUP(D136,'FERC Interest Rate'!$A:$B,2,TRUE)</f>
        <v>4.4699999999999997E-2</v>
      </c>
      <c r="G136" s="84">
        <f t="shared" si="75"/>
        <v>39177.768040255512</v>
      </c>
      <c r="H136" s="84">
        <v>0</v>
      </c>
      <c r="I136" s="109">
        <f t="shared" si="81"/>
        <v>103.52446463503968</v>
      </c>
      <c r="J136" s="85">
        <f t="shared" si="85"/>
        <v>436.61207412971874</v>
      </c>
      <c r="K136" s="129">
        <f t="shared" si="69"/>
        <v>540.13653876475837</v>
      </c>
      <c r="L136" s="85">
        <f t="shared" si="83"/>
        <v>2910.15</v>
      </c>
      <c r="M136" s="130">
        <f t="shared" si="70"/>
        <v>3450.2865387647585</v>
      </c>
      <c r="N136" s="8">
        <f t="shared" si="71"/>
        <v>39614.380114385232</v>
      </c>
      <c r="O136" s="84">
        <f t="shared" si="72"/>
        <v>36164.093575620471</v>
      </c>
      <c r="P136" s="117"/>
      <c r="Q136" s="117"/>
      <c r="R136" s="117"/>
      <c r="S136" s="117"/>
      <c r="T136" s="117"/>
      <c r="U136" s="117"/>
      <c r="V136" s="117"/>
      <c r="W136" s="117"/>
      <c r="X136" s="117"/>
    </row>
    <row r="137" spans="1:24" x14ac:dyDescent="0.2">
      <c r="A137" s="17" t="s">
        <v>62</v>
      </c>
      <c r="B137" s="81" t="str">
        <f t="shared" si="80"/>
        <v>Q3/2018</v>
      </c>
      <c r="C137" s="82">
        <f t="shared" si="76"/>
        <v>43282</v>
      </c>
      <c r="D137" s="82">
        <f t="shared" si="77"/>
        <v>43373</v>
      </c>
      <c r="E137" s="81">
        <f t="shared" si="74"/>
        <v>92</v>
      </c>
      <c r="F137" s="83">
        <f>VLOOKUP(D137,'FERC Interest Rate'!$A:$B,2,TRUE)</f>
        <v>5.011111E-2</v>
      </c>
      <c r="G137" s="84">
        <f t="shared" si="75"/>
        <v>36164.093575620471</v>
      </c>
      <c r="H137" s="84">
        <v>0</v>
      </c>
      <c r="I137" s="109">
        <f t="shared" si="81"/>
        <v>103.52446463503968</v>
      </c>
      <c r="J137" s="85">
        <f t="shared" si="85"/>
        <v>456.77946343034353</v>
      </c>
      <c r="K137" s="129">
        <f t="shared" si="69"/>
        <v>560.30392806538316</v>
      </c>
      <c r="L137" s="85">
        <f t="shared" si="83"/>
        <v>2910.15</v>
      </c>
      <c r="M137" s="130">
        <f t="shared" si="70"/>
        <v>3470.4539280653835</v>
      </c>
      <c r="N137" s="8">
        <f t="shared" si="71"/>
        <v>36620.873039050814</v>
      </c>
      <c r="O137" s="84">
        <f t="shared" si="72"/>
        <v>33150.419110985429</v>
      </c>
      <c r="P137" s="117"/>
      <c r="Q137" s="117"/>
      <c r="R137" s="117"/>
      <c r="S137" s="117"/>
      <c r="T137" s="117"/>
      <c r="U137" s="117"/>
      <c r="V137" s="117"/>
      <c r="W137" s="117"/>
      <c r="X137" s="117"/>
    </row>
    <row r="138" spans="1:24" x14ac:dyDescent="0.2">
      <c r="A138" s="17" t="s">
        <v>63</v>
      </c>
      <c r="B138" s="81" t="str">
        <f t="shared" si="80"/>
        <v>Q4/2018</v>
      </c>
      <c r="C138" s="82">
        <f t="shared" si="76"/>
        <v>43374</v>
      </c>
      <c r="D138" s="82">
        <f t="shared" si="77"/>
        <v>43465</v>
      </c>
      <c r="E138" s="81">
        <f t="shared" si="74"/>
        <v>92</v>
      </c>
      <c r="F138" s="83">
        <f>VLOOKUP(D138,'FERC Interest Rate'!$A:$B,2,TRUE)</f>
        <v>5.2822580000000001E-2</v>
      </c>
      <c r="G138" s="84">
        <f t="shared" si="75"/>
        <v>33150.419110985429</v>
      </c>
      <c r="H138" s="84">
        <v>0</v>
      </c>
      <c r="I138" s="109">
        <f t="shared" si="81"/>
        <v>103.52446463503968</v>
      </c>
      <c r="J138" s="85">
        <f t="shared" si="85"/>
        <v>441.37079788538966</v>
      </c>
      <c r="K138" s="129">
        <f t="shared" si="69"/>
        <v>544.89526252042936</v>
      </c>
      <c r="L138" s="85">
        <f t="shared" si="83"/>
        <v>2910.15</v>
      </c>
      <c r="M138" s="130">
        <f t="shared" si="70"/>
        <v>3455.0452625204293</v>
      </c>
      <c r="N138" s="8">
        <f t="shared" si="71"/>
        <v>33591.789908870822</v>
      </c>
      <c r="O138" s="84">
        <f t="shared" si="72"/>
        <v>30136.744646350387</v>
      </c>
      <c r="P138" s="117"/>
      <c r="Q138" s="117"/>
      <c r="R138" s="117"/>
      <c r="S138" s="117"/>
      <c r="T138" s="117"/>
      <c r="U138" s="117"/>
      <c r="V138" s="117"/>
      <c r="W138" s="117"/>
      <c r="X138" s="117"/>
    </row>
    <row r="139" spans="1:24" x14ac:dyDescent="0.2">
      <c r="A139" s="17" t="s">
        <v>64</v>
      </c>
      <c r="B139" s="81" t="str">
        <f t="shared" si="80"/>
        <v>Q1/2019</v>
      </c>
      <c r="C139" s="82">
        <f t="shared" si="76"/>
        <v>43466</v>
      </c>
      <c r="D139" s="82">
        <f t="shared" si="77"/>
        <v>43555</v>
      </c>
      <c r="E139" s="81">
        <f t="shared" si="74"/>
        <v>90</v>
      </c>
      <c r="F139" s="83">
        <f>VLOOKUP(D139,'FERC Interest Rate'!$A:$B,2,TRUE)</f>
        <v>5.5296770000000002E-2</v>
      </c>
      <c r="G139" s="84">
        <f t="shared" si="75"/>
        <v>30136.744646350387</v>
      </c>
      <c r="H139" s="84">
        <v>0</v>
      </c>
      <c r="I139" s="109">
        <f t="shared" si="81"/>
        <v>103.52446463503968</v>
      </c>
      <c r="J139" s="85">
        <f t="shared" si="85"/>
        <v>410.90908863895123</v>
      </c>
      <c r="K139" s="129">
        <f t="shared" si="69"/>
        <v>514.43355327399092</v>
      </c>
      <c r="L139" s="85">
        <f t="shared" si="83"/>
        <v>2910.15</v>
      </c>
      <c r="M139" s="130">
        <f t="shared" si="70"/>
        <v>3424.5835532739911</v>
      </c>
      <c r="N139" s="8">
        <f t="shared" si="71"/>
        <v>30547.653734989337</v>
      </c>
      <c r="O139" s="84">
        <f t="shared" si="72"/>
        <v>27123.070181715346</v>
      </c>
      <c r="P139" s="117"/>
      <c r="Q139" s="117"/>
      <c r="R139" s="117"/>
      <c r="S139" s="117"/>
      <c r="T139" s="117"/>
      <c r="U139" s="117"/>
      <c r="V139" s="117"/>
      <c r="W139" s="117"/>
      <c r="X139" s="117"/>
    </row>
    <row r="140" spans="1:24" x14ac:dyDescent="0.2">
      <c r="A140" s="17" t="s">
        <v>65</v>
      </c>
      <c r="B140" s="81" t="str">
        <f t="shared" si="80"/>
        <v>Q2/2019</v>
      </c>
      <c r="C140" s="82">
        <f t="shared" si="76"/>
        <v>43556</v>
      </c>
      <c r="D140" s="82">
        <f t="shared" si="77"/>
        <v>43646</v>
      </c>
      <c r="E140" s="81">
        <f t="shared" si="74"/>
        <v>91</v>
      </c>
      <c r="F140" s="83">
        <f>VLOOKUP(D140,'FERC Interest Rate'!$A:$B,2,TRUE)</f>
        <v>5.7999999999999996E-2</v>
      </c>
      <c r="G140" s="84">
        <f t="shared" si="75"/>
        <v>27123.070181715346</v>
      </c>
      <c r="H140" s="84">
        <v>0</v>
      </c>
      <c r="I140" s="109">
        <f t="shared" si="81"/>
        <v>103.52446463503968</v>
      </c>
      <c r="J140" s="85">
        <f t="shared" si="85"/>
        <v>392.20702580573584</v>
      </c>
      <c r="K140" s="129">
        <f t="shared" si="69"/>
        <v>495.73149044077553</v>
      </c>
      <c r="L140" s="85">
        <f t="shared" si="83"/>
        <v>2910.15</v>
      </c>
      <c r="M140" s="130">
        <f t="shared" si="70"/>
        <v>3405.8814904407755</v>
      </c>
      <c r="N140" s="8">
        <f t="shared" si="71"/>
        <v>27515.277207521081</v>
      </c>
      <c r="O140" s="84">
        <f t="shared" si="72"/>
        <v>24109.395717080304</v>
      </c>
      <c r="P140" s="117"/>
      <c r="Q140" s="117"/>
      <c r="R140" s="117"/>
      <c r="S140" s="117"/>
      <c r="T140" s="117"/>
      <c r="U140" s="117"/>
      <c r="V140" s="117"/>
      <c r="W140" s="117"/>
      <c r="X140" s="117"/>
    </row>
    <row r="141" spans="1:24" x14ac:dyDescent="0.2">
      <c r="A141" s="17" t="s">
        <v>66</v>
      </c>
      <c r="B141" s="81" t="str">
        <f t="shared" si="80"/>
        <v>Q3/2019</v>
      </c>
      <c r="C141" s="82">
        <f t="shared" si="76"/>
        <v>43647</v>
      </c>
      <c r="D141" s="82">
        <f t="shared" si="77"/>
        <v>43738</v>
      </c>
      <c r="E141" s="81">
        <f t="shared" si="74"/>
        <v>92</v>
      </c>
      <c r="F141" s="83">
        <f>VLOOKUP(D141,'FERC Interest Rate'!$A:$B,2,TRUE)</f>
        <v>0.06</v>
      </c>
      <c r="G141" s="84">
        <f t="shared" si="75"/>
        <v>24109.395717080304</v>
      </c>
      <c r="H141" s="84">
        <v>0</v>
      </c>
      <c r="I141" s="109">
        <f t="shared" si="81"/>
        <v>103.52446463503968</v>
      </c>
      <c r="J141" s="85">
        <f t="shared" si="85"/>
        <v>364.61332700899533</v>
      </c>
      <c r="K141" s="129">
        <f t="shared" si="69"/>
        <v>468.13779164403502</v>
      </c>
      <c r="L141" s="85">
        <f t="shared" si="83"/>
        <v>2910.15</v>
      </c>
      <c r="M141" s="130">
        <f t="shared" si="70"/>
        <v>3378.2877916440352</v>
      </c>
      <c r="N141" s="8">
        <f t="shared" si="71"/>
        <v>24474.0090440893</v>
      </c>
      <c r="O141" s="84">
        <f t="shared" si="72"/>
        <v>21095.721252445263</v>
      </c>
      <c r="P141" s="117"/>
      <c r="Q141" s="117"/>
      <c r="R141" s="117"/>
      <c r="S141" s="117"/>
      <c r="T141" s="117"/>
      <c r="U141" s="117"/>
      <c r="V141" s="117"/>
      <c r="W141" s="117"/>
      <c r="X141" s="117"/>
    </row>
    <row r="142" spans="1:24" x14ac:dyDescent="0.2">
      <c r="A142" s="17" t="s">
        <v>67</v>
      </c>
      <c r="B142" s="81" t="str">
        <f t="shared" si="80"/>
        <v>Q4/2019</v>
      </c>
      <c r="C142" s="82">
        <f t="shared" si="76"/>
        <v>43739</v>
      </c>
      <c r="D142" s="82">
        <f t="shared" si="77"/>
        <v>43830</v>
      </c>
      <c r="E142" s="81">
        <f t="shared" si="74"/>
        <v>92</v>
      </c>
      <c r="F142" s="83">
        <f>VLOOKUP(D142,'FERC Interest Rate'!$A:$B,2,TRUE)</f>
        <v>6.0349460000000001E-2</v>
      </c>
      <c r="G142" s="84">
        <f t="shared" si="75"/>
        <v>21095.721252445263</v>
      </c>
      <c r="H142" s="84">
        <v>0</v>
      </c>
      <c r="I142" s="109">
        <f t="shared" si="81"/>
        <v>103.52446463503968</v>
      </c>
      <c r="J142" s="85">
        <f t="shared" si="85"/>
        <v>320.89483699286239</v>
      </c>
      <c r="K142" s="129">
        <f t="shared" si="69"/>
        <v>424.41930162790209</v>
      </c>
      <c r="L142" s="85">
        <f t="shared" si="83"/>
        <v>2910.15</v>
      </c>
      <c r="M142" s="130">
        <f t="shared" si="70"/>
        <v>3334.569301627902</v>
      </c>
      <c r="N142" s="8">
        <f t="shared" si="71"/>
        <v>21416.616089438125</v>
      </c>
      <c r="O142" s="84">
        <f t="shared" si="72"/>
        <v>18082.046787810221</v>
      </c>
      <c r="P142" s="117"/>
      <c r="Q142" s="117"/>
      <c r="R142" s="117"/>
      <c r="S142" s="117"/>
      <c r="T142" s="117"/>
      <c r="U142" s="117"/>
      <c r="V142" s="117"/>
      <c r="W142" s="117"/>
      <c r="X142" s="117"/>
    </row>
    <row r="143" spans="1:24" x14ac:dyDescent="0.2">
      <c r="A143" s="17" t="s">
        <v>68</v>
      </c>
      <c r="B143" s="81" t="str">
        <f t="shared" si="80"/>
        <v>Q1/2020</v>
      </c>
      <c r="C143" s="82">
        <f t="shared" si="76"/>
        <v>43831</v>
      </c>
      <c r="D143" s="82">
        <f t="shared" si="77"/>
        <v>43921</v>
      </c>
      <c r="E143" s="81">
        <f t="shared" si="74"/>
        <v>91</v>
      </c>
      <c r="F143" s="83">
        <f>VLOOKUP(D143,'FERC Interest Rate'!$A:$B,2,TRUE)</f>
        <v>6.2501040000000008E-2</v>
      </c>
      <c r="G143" s="84">
        <f t="shared" si="75"/>
        <v>18082.046787810221</v>
      </c>
      <c r="H143" s="84">
        <v>0</v>
      </c>
      <c r="I143" s="109">
        <f t="shared" si="81"/>
        <v>103.52446463503968</v>
      </c>
      <c r="J143" s="85">
        <f t="shared" si="85"/>
        <v>280.99276609447719</v>
      </c>
      <c r="K143" s="129">
        <f t="shared" si="69"/>
        <v>384.51723072951688</v>
      </c>
      <c r="L143" s="85">
        <f t="shared" si="83"/>
        <v>2910.15</v>
      </c>
      <c r="M143" s="130">
        <f t="shared" si="70"/>
        <v>3294.6672307295171</v>
      </c>
      <c r="N143" s="8">
        <f t="shared" si="71"/>
        <v>18363.039553904699</v>
      </c>
      <c r="O143" s="84">
        <f t="shared" si="72"/>
        <v>15068.372323175181</v>
      </c>
      <c r="P143" s="117"/>
      <c r="Q143" s="117"/>
      <c r="R143" s="117"/>
      <c r="S143" s="117"/>
      <c r="T143" s="117"/>
      <c r="U143" s="117"/>
      <c r="V143" s="117"/>
      <c r="W143" s="117"/>
      <c r="X143" s="117"/>
    </row>
    <row r="144" spans="1:24" x14ac:dyDescent="0.2">
      <c r="A144" s="17" t="s">
        <v>69</v>
      </c>
      <c r="B144" s="81" t="str">
        <f t="shared" si="80"/>
        <v>Q2/2020</v>
      </c>
      <c r="C144" s="82">
        <f t="shared" si="76"/>
        <v>43922</v>
      </c>
      <c r="D144" s="82">
        <f t="shared" si="77"/>
        <v>44012</v>
      </c>
      <c r="E144" s="81">
        <f t="shared" si="74"/>
        <v>91</v>
      </c>
      <c r="F144" s="83">
        <f>VLOOKUP(D144,'FERC Interest Rate'!$A:$B,2,TRUE)</f>
        <v>6.3055559999999997E-2</v>
      </c>
      <c r="G144" s="84">
        <f t="shared" si="75"/>
        <v>15068.372323175181</v>
      </c>
      <c r="H144" s="84">
        <v>0</v>
      </c>
      <c r="I144" s="109">
        <f t="shared" si="81"/>
        <v>103.52446463503968</v>
      </c>
      <c r="J144" s="85">
        <f t="shared" si="85"/>
        <v>236.23815195763493</v>
      </c>
      <c r="K144" s="129">
        <f t="shared" si="69"/>
        <v>339.76261659267459</v>
      </c>
      <c r="L144" s="85">
        <f t="shared" si="83"/>
        <v>2910.15</v>
      </c>
      <c r="M144" s="130">
        <f t="shared" si="70"/>
        <v>3249.9126165926746</v>
      </c>
      <c r="N144" s="8">
        <f t="shared" si="71"/>
        <v>15304.610475132817</v>
      </c>
      <c r="O144" s="84">
        <f t="shared" si="72"/>
        <v>12054.697858540141</v>
      </c>
      <c r="P144" s="117"/>
      <c r="Q144" s="117"/>
      <c r="R144" s="117"/>
      <c r="S144" s="117"/>
      <c r="T144" s="117"/>
      <c r="U144" s="117"/>
      <c r="V144" s="117"/>
      <c r="W144" s="117"/>
      <c r="X144" s="117"/>
    </row>
    <row r="145" spans="1:24" x14ac:dyDescent="0.2">
      <c r="A145" s="17" t="s">
        <v>70</v>
      </c>
      <c r="B145" s="81" t="str">
        <f t="shared" si="80"/>
        <v>Q3/2020</v>
      </c>
      <c r="C145" s="82">
        <f t="shared" si="76"/>
        <v>44013</v>
      </c>
      <c r="D145" s="82">
        <f t="shared" si="77"/>
        <v>44104</v>
      </c>
      <c r="E145" s="81">
        <f t="shared" si="74"/>
        <v>92</v>
      </c>
      <c r="F145" s="83">
        <f>VLOOKUP(D145,'FERC Interest Rate'!$A:$B,2,TRUE)</f>
        <v>6.5000000000000002E-2</v>
      </c>
      <c r="G145" s="84">
        <f t="shared" si="75"/>
        <v>12054.697858540141</v>
      </c>
      <c r="H145" s="84">
        <v>0</v>
      </c>
      <c r="I145" s="109">
        <f t="shared" si="81"/>
        <v>103.52446463503968</v>
      </c>
      <c r="J145" s="85">
        <f t="shared" si="85"/>
        <v>196.95927102204931</v>
      </c>
      <c r="K145" s="129">
        <f t="shared" si="69"/>
        <v>300.48373565708897</v>
      </c>
      <c r="L145" s="85">
        <f t="shared" si="83"/>
        <v>2910.15</v>
      </c>
      <c r="M145" s="130">
        <f t="shared" si="70"/>
        <v>3210.6337356570889</v>
      </c>
      <c r="N145" s="8">
        <f t="shared" si="71"/>
        <v>12251.657129562191</v>
      </c>
      <c r="O145" s="84">
        <f t="shared" si="72"/>
        <v>9041.0233939051013</v>
      </c>
      <c r="P145" s="117"/>
      <c r="Q145" s="117"/>
      <c r="R145" s="117"/>
      <c r="S145" s="117"/>
      <c r="T145" s="117"/>
      <c r="U145" s="117"/>
      <c r="V145" s="117"/>
      <c r="W145" s="117"/>
      <c r="X145" s="117"/>
    </row>
    <row r="146" spans="1:24" x14ac:dyDescent="0.2">
      <c r="A146" s="17" t="s">
        <v>71</v>
      </c>
      <c r="B146" s="81" t="str">
        <f t="shared" si="80"/>
        <v>Q4/2020</v>
      </c>
      <c r="C146" s="82">
        <f t="shared" si="76"/>
        <v>44105</v>
      </c>
      <c r="D146" s="82">
        <f t="shared" si="77"/>
        <v>44196</v>
      </c>
      <c r="E146" s="81">
        <f t="shared" si="74"/>
        <v>92</v>
      </c>
      <c r="F146" s="83">
        <f>VLOOKUP(D146,'FERC Interest Rate'!$A:$B,2,TRUE)</f>
        <v>6.5000000000000002E-2</v>
      </c>
      <c r="G146" s="84">
        <f t="shared" si="75"/>
        <v>9041.0233939051013</v>
      </c>
      <c r="H146" s="84">
        <v>0</v>
      </c>
      <c r="I146" s="109">
        <f t="shared" si="81"/>
        <v>103.52446463503968</v>
      </c>
      <c r="J146" s="85">
        <f t="shared" si="85"/>
        <v>147.7194532665369</v>
      </c>
      <c r="K146" s="129">
        <f t="shared" si="69"/>
        <v>251.24391790157659</v>
      </c>
      <c r="L146" s="85">
        <f t="shared" si="83"/>
        <v>2910.15</v>
      </c>
      <c r="M146" s="130">
        <f t="shared" si="70"/>
        <v>3161.3939179015765</v>
      </c>
      <c r="N146" s="8">
        <f t="shared" si="71"/>
        <v>9188.7428471716375</v>
      </c>
      <c r="O146" s="84">
        <f t="shared" si="72"/>
        <v>6027.3489292700624</v>
      </c>
      <c r="P146" s="117"/>
      <c r="Q146" s="117"/>
      <c r="R146" s="117"/>
      <c r="S146" s="117"/>
      <c r="T146" s="117"/>
      <c r="U146" s="117"/>
      <c r="V146" s="117"/>
      <c r="W146" s="117"/>
      <c r="X146" s="117"/>
    </row>
    <row r="147" spans="1:24" x14ac:dyDescent="0.2">
      <c r="A147" s="17" t="s">
        <v>72</v>
      </c>
      <c r="B147" s="81" t="str">
        <f t="shared" si="80"/>
        <v>Q1/2021</v>
      </c>
      <c r="C147" s="82">
        <f t="shared" si="76"/>
        <v>44197</v>
      </c>
      <c r="D147" s="82">
        <f t="shared" si="77"/>
        <v>44286</v>
      </c>
      <c r="E147" s="81">
        <f t="shared" si="74"/>
        <v>90</v>
      </c>
      <c r="F147" s="83">
        <f>VLOOKUP(D147,'FERC Interest Rate'!$A:$B,2,TRUE)</f>
        <v>6.5000000000000002E-2</v>
      </c>
      <c r="G147" s="84">
        <f t="shared" si="75"/>
        <v>6027.3489292700624</v>
      </c>
      <c r="H147" s="84">
        <v>0</v>
      </c>
      <c r="I147" s="109">
        <f t="shared" si="81"/>
        <v>103.52446463503968</v>
      </c>
      <c r="J147" s="85">
        <f t="shared" si="85"/>
        <v>96.602715715698267</v>
      </c>
      <c r="K147" s="129">
        <f t="shared" si="69"/>
        <v>200.12718035073794</v>
      </c>
      <c r="L147" s="85">
        <f t="shared" si="83"/>
        <v>2910.15</v>
      </c>
      <c r="M147" s="130">
        <f t="shared" si="70"/>
        <v>3110.277180350738</v>
      </c>
      <c r="N147" s="8">
        <f t="shared" si="71"/>
        <v>6123.951644985761</v>
      </c>
      <c r="O147" s="84">
        <f t="shared" si="72"/>
        <v>3013.6744646350226</v>
      </c>
      <c r="P147" s="117"/>
      <c r="Q147" s="117"/>
      <c r="R147" s="117"/>
      <c r="S147" s="117"/>
      <c r="T147" s="117"/>
      <c r="U147" s="117"/>
      <c r="V147" s="117"/>
      <c r="W147" s="117"/>
      <c r="X147" s="117"/>
    </row>
    <row r="148" spans="1:24" x14ac:dyDescent="0.2">
      <c r="A148" s="17" t="s">
        <v>73</v>
      </c>
      <c r="B148" s="81" t="str">
        <f t="shared" si="80"/>
        <v>Q2/2021</v>
      </c>
      <c r="C148" s="82">
        <f t="shared" si="76"/>
        <v>44287</v>
      </c>
      <c r="D148" s="82">
        <f t="shared" si="77"/>
        <v>44377</v>
      </c>
      <c r="E148" s="81">
        <f t="shared" si="74"/>
        <v>91</v>
      </c>
      <c r="F148" s="83">
        <f>VLOOKUP(D148,'FERC Interest Rate'!$A:$B,2,TRUE)</f>
        <v>6.5000000000000002E-2</v>
      </c>
      <c r="G148" s="84">
        <f t="shared" si="75"/>
        <v>3013.6744646350226</v>
      </c>
      <c r="H148" s="84">
        <v>0</v>
      </c>
      <c r="I148" s="109">
        <f t="shared" si="81"/>
        <v>103.52446463503968</v>
      </c>
      <c r="J148" s="85">
        <f t="shared" si="85"/>
        <v>48.838039611825096</v>
      </c>
      <c r="K148" s="129">
        <f t="shared" si="69"/>
        <v>152.36250424686477</v>
      </c>
      <c r="L148" s="85">
        <f t="shared" si="83"/>
        <v>2910.15</v>
      </c>
      <c r="M148" s="130">
        <f t="shared" si="70"/>
        <v>3062.5125042468649</v>
      </c>
      <c r="N148" s="8">
        <f t="shared" si="71"/>
        <v>3062.5125042468476</v>
      </c>
      <c r="O148" s="84">
        <f t="shared" si="72"/>
        <v>-1.7209345060109627E-11</v>
      </c>
      <c r="P148" s="117"/>
      <c r="Q148" s="117"/>
      <c r="R148" s="117"/>
      <c r="S148" s="117"/>
      <c r="T148" s="117"/>
      <c r="U148" s="117"/>
      <c r="V148" s="117"/>
      <c r="W148" s="117"/>
      <c r="X148" s="117"/>
    </row>
    <row r="149" spans="1:24" x14ac:dyDescent="0.2">
      <c r="B149" s="81"/>
      <c r="C149" s="82"/>
      <c r="D149" s="82"/>
      <c r="E149" s="81"/>
      <c r="F149" s="83"/>
      <c r="G149" s="84"/>
      <c r="H149" s="84"/>
      <c r="I149" s="109"/>
      <c r="J149" s="85"/>
      <c r="K149" s="117"/>
      <c r="L149" s="85"/>
      <c r="M149" s="131"/>
      <c r="N149" s="117"/>
      <c r="O149" s="84"/>
      <c r="P149" s="117"/>
      <c r="Q149" s="117"/>
      <c r="R149" s="117"/>
      <c r="S149" s="117"/>
      <c r="T149" s="117"/>
      <c r="U149" s="117"/>
      <c r="V149" s="117"/>
      <c r="W149" s="117"/>
      <c r="X149" s="117"/>
    </row>
    <row r="150" spans="1:24" ht="13.5" thickBot="1" x14ac:dyDescent="0.25">
      <c r="A150" s="151"/>
      <c r="B150" s="152"/>
      <c r="C150" s="153"/>
      <c r="D150" s="153"/>
      <c r="E150" s="154"/>
      <c r="F150" s="152"/>
      <c r="G150" s="137">
        <f t="shared" ref="G150:O150" si="86">SUM(G125:G149)</f>
        <v>886503.8611623348</v>
      </c>
      <c r="H150" s="137">
        <f t="shared" si="86"/>
        <v>2070.4892927007936</v>
      </c>
      <c r="I150" s="138">
        <f t="shared" si="86"/>
        <v>2070.4892927007941</v>
      </c>
      <c r="J150" s="137">
        <f t="shared" si="86"/>
        <v>6856.1474910238112</v>
      </c>
      <c r="K150" s="137">
        <f t="shared" si="86"/>
        <v>8926.6367837246053</v>
      </c>
      <c r="L150" s="137">
        <f t="shared" si="86"/>
        <v>58203.000000000022</v>
      </c>
      <c r="M150" s="139">
        <f t="shared" si="86"/>
        <v>67129.636783724607</v>
      </c>
      <c r="N150" s="137">
        <f t="shared" si="86"/>
        <v>895430.49794605933</v>
      </c>
      <c r="O150" s="137">
        <f t="shared" si="86"/>
        <v>828300.8611623348</v>
      </c>
      <c r="P150" s="117"/>
      <c r="Q150" s="117"/>
      <c r="R150" s="117"/>
      <c r="S150" s="117"/>
      <c r="T150" s="117"/>
      <c r="U150" s="117"/>
      <c r="V150" s="117"/>
      <c r="W150" s="117"/>
      <c r="X150" s="117"/>
    </row>
    <row r="151" spans="1:24" ht="13.5" thickTop="1" x14ac:dyDescent="0.2">
      <c r="B151" s="11"/>
      <c r="C151" s="125"/>
      <c r="D151" s="125"/>
      <c r="E151" s="10"/>
      <c r="F151" s="11"/>
      <c r="G151" s="85"/>
      <c r="H151" s="70"/>
      <c r="I151" s="115"/>
      <c r="J151" s="85"/>
      <c r="K151" s="117"/>
      <c r="L151" s="70"/>
      <c r="M151" s="131"/>
      <c r="N151" s="117"/>
      <c r="O151" s="117"/>
      <c r="P151" s="117"/>
      <c r="Q151" s="117"/>
      <c r="R151" s="117"/>
      <c r="S151" s="117"/>
      <c r="T151" s="117"/>
      <c r="U151" s="117"/>
      <c r="V151" s="117"/>
      <c r="W151" s="117"/>
      <c r="X151" s="117"/>
    </row>
    <row r="152" spans="1:24" ht="36.75" x14ac:dyDescent="0.2">
      <c r="A152" s="90" t="s">
        <v>53</v>
      </c>
      <c r="B152" s="90" t="s">
        <v>3</v>
      </c>
      <c r="C152" s="90" t="s">
        <v>4</v>
      </c>
      <c r="D152" s="90" t="s">
        <v>5</v>
      </c>
      <c r="E152" s="90" t="s">
        <v>6</v>
      </c>
      <c r="F152" s="90" t="s">
        <v>7</v>
      </c>
      <c r="G152" s="90" t="s">
        <v>80</v>
      </c>
      <c r="H152" s="90" t="s">
        <v>81</v>
      </c>
      <c r="I152" s="105" t="s">
        <v>82</v>
      </c>
      <c r="J152" s="106" t="s">
        <v>83</v>
      </c>
      <c r="K152" s="106" t="s">
        <v>84</v>
      </c>
      <c r="L152" s="106" t="s">
        <v>85</v>
      </c>
      <c r="M152" s="107" t="s">
        <v>75</v>
      </c>
      <c r="N152" s="90" t="s">
        <v>86</v>
      </c>
      <c r="O152" s="90" t="s">
        <v>87</v>
      </c>
      <c r="P152" s="117"/>
      <c r="Q152" s="117"/>
      <c r="R152" s="117"/>
      <c r="S152" s="117"/>
      <c r="T152" s="117"/>
      <c r="U152" s="117"/>
      <c r="V152" s="117"/>
      <c r="W152" s="117"/>
      <c r="X152" s="117"/>
    </row>
    <row r="153" spans="1:24" x14ac:dyDescent="0.2">
      <c r="A153" s="275" t="s">
        <v>38</v>
      </c>
      <c r="B153" s="276" t="s">
        <v>57</v>
      </c>
      <c r="C153" s="82">
        <f>VLOOKUP(B153,A$1:F$11,2,FALSE)</f>
        <v>42299</v>
      </c>
      <c r="D153" s="82">
        <f>DATE(YEAR(C153),IF(MONTH(C153)&lt;=3,3,IF(MONTH(C153)&lt;=6,6,IF(MONTH(C153)&lt;=9,9,12))),IF(OR(MONTH(C153)&lt;=3,MONTH(C153)&gt;=10),31,30))</f>
        <v>42369</v>
      </c>
      <c r="E153" s="81">
        <f>D153-C153+1</f>
        <v>71</v>
      </c>
      <c r="F153" s="83">
        <f>VLOOKUP(D153,'FERC Interest Rate'!$A:$B,2,TRUE)</f>
        <v>3.2500000000000001E-2</v>
      </c>
      <c r="G153" s="84">
        <f>VLOOKUP(B153,$A$1:$F$11,5,FALSE)</f>
        <v>62233</v>
      </c>
      <c r="H153" s="84">
        <f t="shared" ref="H153:H156" si="87">G153*F153*(E153/(DATE(YEAR(D153),12,31)-DATE(YEAR(D153),1,1)+1))</f>
        <v>393.4319109589041</v>
      </c>
      <c r="I153" s="173">
        <v>0</v>
      </c>
      <c r="J153" s="85">
        <v>0</v>
      </c>
      <c r="K153" s="129">
        <f t="shared" ref="K153:K175" si="88">+SUM(I153:J153)</f>
        <v>0</v>
      </c>
      <c r="L153" s="85">
        <v>0</v>
      </c>
      <c r="M153" s="130">
        <f t="shared" ref="M153:M175" si="89">+SUM(K153:L153)</f>
        <v>0</v>
      </c>
      <c r="N153" s="8">
        <f t="shared" ref="N153:N175" si="90">+G153+H153+J153</f>
        <v>62626.431910958905</v>
      </c>
      <c r="O153" s="84">
        <f t="shared" ref="O153:O175" si="91">G153+H153-L153-I153</f>
        <v>62626.431910958905</v>
      </c>
      <c r="P153" s="117"/>
      <c r="Q153" s="117"/>
      <c r="R153" s="117"/>
      <c r="S153" s="117"/>
      <c r="T153" s="117"/>
      <c r="U153" s="117"/>
      <c r="V153" s="117"/>
      <c r="W153" s="117"/>
      <c r="X153" s="117"/>
    </row>
    <row r="154" spans="1:24" x14ac:dyDescent="0.2">
      <c r="A154" s="96" t="s">
        <v>22</v>
      </c>
      <c r="B154" s="81" t="str">
        <f t="shared" ref="B154:B175" si="92">+IF(MONTH(C154)&lt;4,"Q1",IF(MONTH(C154)&lt;7,"Q2",IF(MONTH(C154)&lt;10,"Q3","Q4")))&amp;"/"&amp;YEAR(C154)</f>
        <v>Q1/2016</v>
      </c>
      <c r="C154" s="82">
        <f>D153+1</f>
        <v>42370</v>
      </c>
      <c r="D154" s="82">
        <f>EOMONTH(D153,3)</f>
        <v>42460</v>
      </c>
      <c r="E154" s="81">
        <f t="shared" ref="E154:E175" si="93">D154-C154+1</f>
        <v>91</v>
      </c>
      <c r="F154" s="83">
        <f>VLOOKUP(D154,'FERC Interest Rate'!$A:$B,2,TRUE)</f>
        <v>3.2500000000000001E-2</v>
      </c>
      <c r="G154" s="84">
        <f t="shared" ref="G154:G175" si="94">O153</f>
        <v>62626.431910958905</v>
      </c>
      <c r="H154" s="84">
        <f t="shared" si="87"/>
        <v>506.05921414388246</v>
      </c>
      <c r="I154" s="173">
        <v>0</v>
      </c>
      <c r="J154" s="85">
        <v>0</v>
      </c>
      <c r="K154" s="129">
        <f t="shared" si="88"/>
        <v>0</v>
      </c>
      <c r="L154" s="85">
        <v>0</v>
      </c>
      <c r="M154" s="130">
        <f t="shared" si="89"/>
        <v>0</v>
      </c>
      <c r="N154" s="8">
        <f t="shared" si="90"/>
        <v>63132.491125102788</v>
      </c>
      <c r="O154" s="84">
        <f t="shared" si="91"/>
        <v>63132.491125102788</v>
      </c>
      <c r="P154" s="117"/>
      <c r="Q154" s="117"/>
      <c r="R154" s="117"/>
      <c r="S154" s="117"/>
      <c r="T154" s="117"/>
      <c r="U154" s="117"/>
      <c r="V154" s="117"/>
      <c r="W154" s="117"/>
      <c r="X154" s="117"/>
    </row>
    <row r="155" spans="1:24" x14ac:dyDescent="0.2">
      <c r="A155" s="96" t="s">
        <v>22</v>
      </c>
      <c r="B155" s="81" t="str">
        <f t="shared" si="92"/>
        <v>Q2/2016</v>
      </c>
      <c r="C155" s="82">
        <f t="shared" ref="C155:C175" si="95">D154+1</f>
        <v>42461</v>
      </c>
      <c r="D155" s="82">
        <f t="shared" ref="D155:D175" si="96">EOMONTH(D154,3)</f>
        <v>42551</v>
      </c>
      <c r="E155" s="81">
        <f t="shared" si="93"/>
        <v>91</v>
      </c>
      <c r="F155" s="83">
        <f>VLOOKUP(D155,'FERC Interest Rate'!$A:$B,2,TRUE)</f>
        <v>3.4599999999999999E-2</v>
      </c>
      <c r="G155" s="84">
        <f t="shared" si="94"/>
        <v>63132.491125102788</v>
      </c>
      <c r="H155" s="84">
        <f t="shared" si="87"/>
        <v>543.11191682103447</v>
      </c>
      <c r="I155" s="173">
        <v>0</v>
      </c>
      <c r="J155" s="85">
        <v>0</v>
      </c>
      <c r="K155" s="129">
        <f t="shared" si="88"/>
        <v>0</v>
      </c>
      <c r="L155" s="85">
        <v>0</v>
      </c>
      <c r="M155" s="130">
        <f t="shared" si="89"/>
        <v>0</v>
      </c>
      <c r="N155" s="8">
        <f t="shared" si="90"/>
        <v>63675.603041923823</v>
      </c>
      <c r="O155" s="84">
        <f t="shared" si="91"/>
        <v>63675.603041923823</v>
      </c>
      <c r="P155" s="117"/>
      <c r="Q155" s="117"/>
      <c r="R155" s="117"/>
      <c r="S155" s="117"/>
      <c r="T155" s="117"/>
      <c r="U155" s="117"/>
      <c r="V155" s="117"/>
      <c r="W155" s="117"/>
      <c r="X155" s="117"/>
    </row>
    <row r="156" spans="1:24" x14ac:dyDescent="0.2">
      <c r="A156" s="96" t="s">
        <v>22</v>
      </c>
      <c r="B156" s="81" t="str">
        <f t="shared" si="92"/>
        <v>Q3/2016</v>
      </c>
      <c r="C156" s="82">
        <f t="shared" si="95"/>
        <v>42552</v>
      </c>
      <c r="D156" s="82">
        <f t="shared" si="96"/>
        <v>42643</v>
      </c>
      <c r="E156" s="81">
        <f t="shared" si="93"/>
        <v>92</v>
      </c>
      <c r="F156" s="83">
        <f>VLOOKUP(D156,'FERC Interest Rate'!$A:$B,2,TRUE)</f>
        <v>3.5000000000000003E-2</v>
      </c>
      <c r="G156" s="84">
        <f t="shared" si="94"/>
        <v>63675.603041923823</v>
      </c>
      <c r="H156" s="84">
        <f t="shared" si="87"/>
        <v>560.20612512293644</v>
      </c>
      <c r="I156" s="173">
        <v>0</v>
      </c>
      <c r="J156" s="85">
        <v>0</v>
      </c>
      <c r="K156" s="129">
        <f t="shared" si="88"/>
        <v>0</v>
      </c>
      <c r="L156" s="85">
        <v>0</v>
      </c>
      <c r="M156" s="130">
        <f t="shared" si="89"/>
        <v>0</v>
      </c>
      <c r="N156" s="8">
        <f t="shared" si="90"/>
        <v>64235.809167046762</v>
      </c>
      <c r="O156" s="84">
        <f t="shared" si="91"/>
        <v>64235.809167046762</v>
      </c>
      <c r="P156" s="117"/>
      <c r="Q156" s="117"/>
      <c r="R156" s="117"/>
      <c r="S156" s="117"/>
      <c r="T156" s="117"/>
      <c r="U156" s="117"/>
      <c r="V156" s="117"/>
      <c r="W156" s="117"/>
      <c r="X156" s="117"/>
    </row>
    <row r="157" spans="1:24" x14ac:dyDescent="0.2">
      <c r="A157" s="96" t="s">
        <v>22</v>
      </c>
      <c r="B157" s="81" t="str">
        <f t="shared" si="92"/>
        <v>Q4/2016</v>
      </c>
      <c r="C157" s="82">
        <f t="shared" si="95"/>
        <v>42644</v>
      </c>
      <c r="D157" s="82">
        <f t="shared" si="96"/>
        <v>42735</v>
      </c>
      <c r="E157" s="81">
        <f t="shared" si="93"/>
        <v>92</v>
      </c>
      <c r="F157" s="83">
        <f>VLOOKUP(D157,'FERC Interest Rate'!$A:$B,2,TRUE)</f>
        <v>3.5000000000000003E-2</v>
      </c>
      <c r="G157" s="84">
        <f t="shared" si="94"/>
        <v>64235.809167046762</v>
      </c>
      <c r="H157" s="84">
        <v>0</v>
      </c>
      <c r="I157" s="109">
        <v>0</v>
      </c>
      <c r="J157" s="85">
        <f t="shared" ref="J157:J160" si="97">G157*F157*(E157/(DATE(YEAR(D157),12,31)-DATE(YEAR(D157),1,1)+1))</f>
        <v>565.1347145297558</v>
      </c>
      <c r="K157" s="129">
        <f t="shared" si="88"/>
        <v>565.1347145297558</v>
      </c>
      <c r="L157" s="85">
        <v>0</v>
      </c>
      <c r="M157" s="130">
        <v>0</v>
      </c>
      <c r="N157" s="8">
        <f t="shared" si="90"/>
        <v>64800.943881576517</v>
      </c>
      <c r="O157" s="84">
        <f>+N157-M157</f>
        <v>64800.943881576517</v>
      </c>
      <c r="P157" s="117"/>
      <c r="Q157" s="117"/>
      <c r="R157" s="117"/>
      <c r="S157" s="117"/>
      <c r="T157" s="117"/>
      <c r="U157" s="117"/>
      <c r="V157" s="117"/>
      <c r="W157" s="117"/>
      <c r="X157" s="117"/>
    </row>
    <row r="158" spans="1:24" x14ac:dyDescent="0.2">
      <c r="A158" s="96" t="s">
        <v>22</v>
      </c>
      <c r="B158" s="81" t="str">
        <f t="shared" si="92"/>
        <v>Q1/2017</v>
      </c>
      <c r="C158" s="82">
        <f t="shared" si="95"/>
        <v>42736</v>
      </c>
      <c r="D158" s="82">
        <f t="shared" si="96"/>
        <v>42825</v>
      </c>
      <c r="E158" s="81">
        <f t="shared" si="93"/>
        <v>90</v>
      </c>
      <c r="F158" s="83">
        <f>VLOOKUP(D158,'FERC Interest Rate'!$A:$B,2,TRUE)</f>
        <v>3.5000000000000003E-2</v>
      </c>
      <c r="G158" s="84">
        <f t="shared" si="94"/>
        <v>64800.943881576517</v>
      </c>
      <c r="H158" s="84">
        <v>0</v>
      </c>
      <c r="I158" s="109">
        <v>0</v>
      </c>
      <c r="J158" s="85">
        <f t="shared" si="97"/>
        <v>559.24102253963292</v>
      </c>
      <c r="K158" s="129">
        <f t="shared" si="88"/>
        <v>559.24102253963292</v>
      </c>
      <c r="L158" s="85">
        <v>0</v>
      </c>
      <c r="M158" s="130">
        <v>0</v>
      </c>
      <c r="N158" s="8">
        <f t="shared" si="90"/>
        <v>65360.184904116148</v>
      </c>
      <c r="O158" s="84">
        <f>+N158-M158</f>
        <v>65360.184904116148</v>
      </c>
      <c r="P158" s="117"/>
      <c r="Q158" s="117"/>
      <c r="R158" s="117"/>
      <c r="S158" s="117"/>
      <c r="T158" s="117"/>
      <c r="U158" s="117"/>
      <c r="V158" s="117"/>
      <c r="W158" s="117"/>
      <c r="X158" s="117"/>
    </row>
    <row r="159" spans="1:24" x14ac:dyDescent="0.2">
      <c r="A159" s="274" t="s">
        <v>102</v>
      </c>
      <c r="B159" s="81" t="str">
        <f t="shared" si="92"/>
        <v>Q2/2017</v>
      </c>
      <c r="C159" s="146">
        <f t="shared" si="95"/>
        <v>42826</v>
      </c>
      <c r="D159" s="146">
        <f t="shared" si="96"/>
        <v>42916</v>
      </c>
      <c r="E159" s="81">
        <f t="shared" si="93"/>
        <v>91</v>
      </c>
      <c r="F159" s="83">
        <f>VLOOKUP(D159,'FERC Interest Rate'!$A:$B,2,TRUE)</f>
        <v>3.7100000000000001E-2</v>
      </c>
      <c r="G159" s="84">
        <f t="shared" si="94"/>
        <v>65360.184904116148</v>
      </c>
      <c r="H159" s="84">
        <v>0</v>
      </c>
      <c r="I159" s="109">
        <f>(SUM($H$153:$H$176)/20)*4</f>
        <v>400.56183340935149</v>
      </c>
      <c r="J159" s="85">
        <f t="shared" si="97"/>
        <v>604.55485001311388</v>
      </c>
      <c r="K159" s="129">
        <f t="shared" ref="K159" si="98">+SUM(I159:J159)</f>
        <v>1005.1166834224654</v>
      </c>
      <c r="L159" s="85">
        <f>+$G$153/20*4</f>
        <v>12446.6</v>
      </c>
      <c r="M159" s="130">
        <f>+SUM(K157:L159)</f>
        <v>14576.092420491856</v>
      </c>
      <c r="N159" s="8">
        <f t="shared" si="90"/>
        <v>65964.739754129259</v>
      </c>
      <c r="O159" s="84">
        <f>+N159-M159</f>
        <v>51388.647333637404</v>
      </c>
      <c r="P159" s="117"/>
      <c r="Q159" s="117"/>
      <c r="R159" s="117"/>
      <c r="S159" s="117"/>
      <c r="T159" s="117"/>
      <c r="U159" s="117"/>
      <c r="V159" s="117"/>
      <c r="W159" s="117"/>
      <c r="X159" s="117"/>
    </row>
    <row r="160" spans="1:24" x14ac:dyDescent="0.2">
      <c r="A160" s="17" t="s">
        <v>58</v>
      </c>
      <c r="B160" s="81" t="str">
        <f t="shared" si="92"/>
        <v>Q3/2017</v>
      </c>
      <c r="C160" s="146">
        <f t="shared" si="95"/>
        <v>42917</v>
      </c>
      <c r="D160" s="146">
        <f t="shared" si="96"/>
        <v>43008</v>
      </c>
      <c r="E160" s="81">
        <f t="shared" si="93"/>
        <v>92</v>
      </c>
      <c r="F160" s="83">
        <f>VLOOKUP(D160,'FERC Interest Rate'!$A:$B,2,TRUE)</f>
        <v>3.9600000000000003E-2</v>
      </c>
      <c r="G160" s="84">
        <f t="shared" si="94"/>
        <v>51388.647333637404</v>
      </c>
      <c r="H160" s="84">
        <v>0</v>
      </c>
      <c r="I160" s="109">
        <f t="shared" ref="I160:I175" si="99">(SUM($H$153:$H$176)/20)</f>
        <v>100.14045835233787</v>
      </c>
      <c r="J160" s="85">
        <f t="shared" si="97"/>
        <v>512.92909579700779</v>
      </c>
      <c r="K160" s="129">
        <f t="shared" ref="K160" si="100">+SUM(I160:J160)</f>
        <v>613.06955414934566</v>
      </c>
      <c r="L160" s="85">
        <f t="shared" ref="L160:L175" si="101">+$G$153/20</f>
        <v>3111.65</v>
      </c>
      <c r="M160" s="130">
        <f t="shared" ref="M160" si="102">+SUM(K160:L160)</f>
        <v>3724.7195541493456</v>
      </c>
      <c r="N160" s="8">
        <f t="shared" si="90"/>
        <v>51901.576429434412</v>
      </c>
      <c r="O160" s="84">
        <f t="shared" si="91"/>
        <v>48176.856875285062</v>
      </c>
      <c r="P160" s="117"/>
      <c r="Q160" s="117"/>
      <c r="R160" s="117"/>
      <c r="S160" s="117"/>
      <c r="T160" s="117"/>
      <c r="U160" s="117"/>
      <c r="V160" s="117"/>
      <c r="W160" s="117"/>
      <c r="X160" s="117"/>
    </row>
    <row r="161" spans="1:24" x14ac:dyDescent="0.2">
      <c r="A161" s="17" t="s">
        <v>59</v>
      </c>
      <c r="B161" s="81" t="str">
        <f t="shared" si="92"/>
        <v>Q4/2017</v>
      </c>
      <c r="C161" s="82">
        <f t="shared" si="95"/>
        <v>43009</v>
      </c>
      <c r="D161" s="82">
        <f t="shared" si="96"/>
        <v>43100</v>
      </c>
      <c r="E161" s="81">
        <f t="shared" si="93"/>
        <v>92</v>
      </c>
      <c r="F161" s="83">
        <f>VLOOKUP(D161,'FERC Interest Rate'!$A:$B,2,TRUE)</f>
        <v>4.2099999999999999E-2</v>
      </c>
      <c r="G161" s="84">
        <f t="shared" si="94"/>
        <v>48176.856875285062</v>
      </c>
      <c r="H161" s="84">
        <v>0</v>
      </c>
      <c r="I161" s="109">
        <f t="shared" si="99"/>
        <v>100.14045835233787</v>
      </c>
      <c r="J161" s="85">
        <f t="shared" ref="J161:J175" si="103">G161*F161*(E161/(DATE(YEAR(D161),12,31)-DATE(YEAR(D161),1,1)+1))</f>
        <v>511.22904671055926</v>
      </c>
      <c r="K161" s="129">
        <f t="shared" si="88"/>
        <v>611.36950506289713</v>
      </c>
      <c r="L161" s="85">
        <f t="shared" si="101"/>
        <v>3111.65</v>
      </c>
      <c r="M161" s="130">
        <f t="shared" si="89"/>
        <v>3723.0195050628972</v>
      </c>
      <c r="N161" s="8">
        <f t="shared" si="90"/>
        <v>48688.085921995618</v>
      </c>
      <c r="O161" s="84">
        <f t="shared" si="91"/>
        <v>44965.066416932721</v>
      </c>
      <c r="P161" s="117"/>
      <c r="Q161" s="117"/>
      <c r="R161" s="117"/>
      <c r="S161" s="117"/>
      <c r="T161" s="117"/>
      <c r="U161" s="117"/>
      <c r="V161" s="117"/>
      <c r="W161" s="117"/>
      <c r="X161" s="117"/>
    </row>
    <row r="162" spans="1:24" x14ac:dyDescent="0.2">
      <c r="A162" s="17" t="s">
        <v>60</v>
      </c>
      <c r="B162" s="81" t="str">
        <f t="shared" si="92"/>
        <v>Q1/2018</v>
      </c>
      <c r="C162" s="82">
        <f t="shared" si="95"/>
        <v>43101</v>
      </c>
      <c r="D162" s="82">
        <f t="shared" si="96"/>
        <v>43190</v>
      </c>
      <c r="E162" s="81">
        <f t="shared" si="93"/>
        <v>90</v>
      </c>
      <c r="F162" s="83">
        <f>VLOOKUP(D162,'FERC Interest Rate'!$A:$B,2,TRUE)</f>
        <v>4.2500000000000003E-2</v>
      </c>
      <c r="G162" s="84">
        <f t="shared" si="94"/>
        <v>44965.066416932721</v>
      </c>
      <c r="H162" s="84">
        <v>0</v>
      </c>
      <c r="I162" s="109">
        <f t="shared" si="99"/>
        <v>100.14045835233787</v>
      </c>
      <c r="J162" s="85">
        <f t="shared" si="103"/>
        <v>471.20925765689771</v>
      </c>
      <c r="K162" s="129">
        <f t="shared" si="88"/>
        <v>571.34971600923564</v>
      </c>
      <c r="L162" s="85">
        <f t="shared" si="101"/>
        <v>3111.65</v>
      </c>
      <c r="M162" s="130">
        <f t="shared" si="89"/>
        <v>3682.9997160092357</v>
      </c>
      <c r="N162" s="8">
        <f t="shared" si="90"/>
        <v>45436.275674589619</v>
      </c>
      <c r="O162" s="84">
        <f t="shared" si="91"/>
        <v>41753.27595858038</v>
      </c>
      <c r="P162" s="117"/>
      <c r="Q162" s="117"/>
      <c r="R162" s="117"/>
      <c r="S162" s="117"/>
      <c r="T162" s="117"/>
      <c r="U162" s="117"/>
      <c r="V162" s="117"/>
      <c r="W162" s="117"/>
      <c r="X162" s="117"/>
    </row>
    <row r="163" spans="1:24" x14ac:dyDescent="0.2">
      <c r="A163" s="17" t="s">
        <v>61</v>
      </c>
      <c r="B163" s="81" t="str">
        <f t="shared" si="92"/>
        <v>Q2/2018</v>
      </c>
      <c r="C163" s="82">
        <f t="shared" si="95"/>
        <v>43191</v>
      </c>
      <c r="D163" s="82">
        <f t="shared" si="96"/>
        <v>43281</v>
      </c>
      <c r="E163" s="81">
        <f t="shared" si="93"/>
        <v>91</v>
      </c>
      <c r="F163" s="83">
        <f>VLOOKUP(D163,'FERC Interest Rate'!$A:$B,2,TRUE)</f>
        <v>4.4699999999999997E-2</v>
      </c>
      <c r="G163" s="84">
        <f t="shared" si="94"/>
        <v>41753.27595858038</v>
      </c>
      <c r="H163" s="84">
        <v>0</v>
      </c>
      <c r="I163" s="109">
        <f t="shared" si="99"/>
        <v>100.14045835233787</v>
      </c>
      <c r="J163" s="85">
        <f t="shared" si="103"/>
        <v>465.31452223758197</v>
      </c>
      <c r="K163" s="129">
        <f t="shared" si="88"/>
        <v>565.45498058991984</v>
      </c>
      <c r="L163" s="85">
        <f t="shared" si="101"/>
        <v>3111.65</v>
      </c>
      <c r="M163" s="130">
        <f t="shared" si="89"/>
        <v>3677.1049805899202</v>
      </c>
      <c r="N163" s="8">
        <f t="shared" si="90"/>
        <v>42218.590480817962</v>
      </c>
      <c r="O163" s="84">
        <f t="shared" si="91"/>
        <v>38541.485500228038</v>
      </c>
      <c r="P163" s="117"/>
      <c r="Q163" s="117"/>
      <c r="R163" s="117"/>
      <c r="S163" s="117"/>
      <c r="T163" s="117"/>
      <c r="U163" s="117"/>
      <c r="V163" s="117"/>
      <c r="W163" s="117"/>
      <c r="X163" s="117"/>
    </row>
    <row r="164" spans="1:24" x14ac:dyDescent="0.2">
      <c r="A164" s="17" t="s">
        <v>62</v>
      </c>
      <c r="B164" s="81" t="str">
        <f t="shared" si="92"/>
        <v>Q3/2018</v>
      </c>
      <c r="C164" s="82">
        <f t="shared" si="95"/>
        <v>43282</v>
      </c>
      <c r="D164" s="82">
        <f t="shared" si="96"/>
        <v>43373</v>
      </c>
      <c r="E164" s="81">
        <f t="shared" si="93"/>
        <v>92</v>
      </c>
      <c r="F164" s="83">
        <f>VLOOKUP(D164,'FERC Interest Rate'!$A:$B,2,TRUE)</f>
        <v>5.011111E-2</v>
      </c>
      <c r="G164" s="84">
        <f t="shared" si="94"/>
        <v>38541.485500228038</v>
      </c>
      <c r="H164" s="84">
        <v>0</v>
      </c>
      <c r="I164" s="109">
        <f t="shared" si="99"/>
        <v>100.14045835233787</v>
      </c>
      <c r="J164" s="85">
        <f t="shared" si="103"/>
        <v>486.80769586523445</v>
      </c>
      <c r="K164" s="129">
        <f t="shared" si="88"/>
        <v>586.94815421757232</v>
      </c>
      <c r="L164" s="85">
        <f t="shared" si="101"/>
        <v>3111.65</v>
      </c>
      <c r="M164" s="130">
        <f t="shared" si="89"/>
        <v>3698.5981542175723</v>
      </c>
      <c r="N164" s="8">
        <f t="shared" si="90"/>
        <v>39028.293196093269</v>
      </c>
      <c r="O164" s="84">
        <f t="shared" si="91"/>
        <v>35329.695041875697</v>
      </c>
      <c r="P164" s="117"/>
      <c r="Q164" s="117"/>
      <c r="R164" s="117"/>
      <c r="S164" s="117"/>
      <c r="T164" s="117"/>
      <c r="U164" s="117"/>
      <c r="V164" s="117"/>
      <c r="W164" s="117"/>
      <c r="X164" s="117"/>
    </row>
    <row r="165" spans="1:24" x14ac:dyDescent="0.2">
      <c r="A165" s="17" t="s">
        <v>63</v>
      </c>
      <c r="B165" s="81" t="str">
        <f t="shared" si="92"/>
        <v>Q4/2018</v>
      </c>
      <c r="C165" s="82">
        <f t="shared" si="95"/>
        <v>43374</v>
      </c>
      <c r="D165" s="82">
        <f t="shared" si="96"/>
        <v>43465</v>
      </c>
      <c r="E165" s="81">
        <f t="shared" si="93"/>
        <v>92</v>
      </c>
      <c r="F165" s="83">
        <f>VLOOKUP(D165,'FERC Interest Rate'!$A:$B,2,TRUE)</f>
        <v>5.2822580000000001E-2</v>
      </c>
      <c r="G165" s="84">
        <f t="shared" si="94"/>
        <v>35329.695041875697</v>
      </c>
      <c r="H165" s="84">
        <v>0</v>
      </c>
      <c r="I165" s="109">
        <f t="shared" si="99"/>
        <v>100.14045835233787</v>
      </c>
      <c r="J165" s="85">
        <f t="shared" si="103"/>
        <v>470.38607981015775</v>
      </c>
      <c r="K165" s="129">
        <f t="shared" si="88"/>
        <v>570.52653816249563</v>
      </c>
      <c r="L165" s="85">
        <f t="shared" si="101"/>
        <v>3111.65</v>
      </c>
      <c r="M165" s="130">
        <f t="shared" si="89"/>
        <v>3682.1765381624955</v>
      </c>
      <c r="N165" s="8">
        <f t="shared" si="90"/>
        <v>35800.081121685856</v>
      </c>
      <c r="O165" s="84">
        <f t="shared" si="91"/>
        <v>32117.904583523359</v>
      </c>
      <c r="P165" s="117"/>
      <c r="Q165" s="117"/>
      <c r="R165" s="117"/>
      <c r="S165" s="117"/>
      <c r="T165" s="117"/>
      <c r="U165" s="117"/>
      <c r="V165" s="117"/>
      <c r="W165" s="117"/>
      <c r="X165" s="117"/>
    </row>
    <row r="166" spans="1:24" x14ac:dyDescent="0.2">
      <c r="A166" s="17" t="s">
        <v>64</v>
      </c>
      <c r="B166" s="81" t="str">
        <f t="shared" si="92"/>
        <v>Q1/2019</v>
      </c>
      <c r="C166" s="82">
        <f t="shared" si="95"/>
        <v>43466</v>
      </c>
      <c r="D166" s="82">
        <f t="shared" si="96"/>
        <v>43555</v>
      </c>
      <c r="E166" s="81">
        <f t="shared" si="93"/>
        <v>90</v>
      </c>
      <c r="F166" s="83">
        <f>VLOOKUP(D166,'FERC Interest Rate'!$A:$B,2,TRUE)</f>
        <v>5.5296770000000002E-2</v>
      </c>
      <c r="G166" s="84">
        <f t="shared" si="94"/>
        <v>32117.904583523359</v>
      </c>
      <c r="H166" s="84">
        <v>0</v>
      </c>
      <c r="I166" s="109">
        <f t="shared" si="99"/>
        <v>100.14045835233787</v>
      </c>
      <c r="J166" s="85">
        <f t="shared" si="103"/>
        <v>437.92184777351594</v>
      </c>
      <c r="K166" s="129">
        <f t="shared" si="88"/>
        <v>538.06230612585387</v>
      </c>
      <c r="L166" s="85">
        <f t="shared" si="101"/>
        <v>3111.65</v>
      </c>
      <c r="M166" s="130">
        <f t="shared" si="89"/>
        <v>3649.712306125854</v>
      </c>
      <c r="N166" s="8">
        <f t="shared" si="90"/>
        <v>32555.826431296875</v>
      </c>
      <c r="O166" s="84">
        <f t="shared" si="91"/>
        <v>28906.114125171021</v>
      </c>
      <c r="P166" s="117"/>
      <c r="Q166" s="117"/>
      <c r="R166" s="117"/>
      <c r="S166" s="117"/>
      <c r="T166" s="117"/>
      <c r="U166" s="117"/>
      <c r="V166" s="117"/>
      <c r="W166" s="117"/>
      <c r="X166" s="117"/>
    </row>
    <row r="167" spans="1:24" x14ac:dyDescent="0.2">
      <c r="A167" s="17" t="s">
        <v>65</v>
      </c>
      <c r="B167" s="81" t="str">
        <f t="shared" si="92"/>
        <v>Q2/2019</v>
      </c>
      <c r="C167" s="82">
        <f t="shared" si="95"/>
        <v>43556</v>
      </c>
      <c r="D167" s="82">
        <f t="shared" si="96"/>
        <v>43646</v>
      </c>
      <c r="E167" s="81">
        <f t="shared" si="93"/>
        <v>91</v>
      </c>
      <c r="F167" s="83">
        <f>VLOOKUP(D167,'FERC Interest Rate'!$A:$B,2,TRUE)</f>
        <v>5.7999999999999996E-2</v>
      </c>
      <c r="G167" s="84">
        <f t="shared" si="94"/>
        <v>28906.114125171021</v>
      </c>
      <c r="H167" s="84">
        <v>0</v>
      </c>
      <c r="I167" s="109">
        <f t="shared" si="99"/>
        <v>100.14045835233787</v>
      </c>
      <c r="J167" s="85">
        <f t="shared" si="103"/>
        <v>417.99032973329491</v>
      </c>
      <c r="K167" s="129">
        <f t="shared" si="88"/>
        <v>518.13078808563273</v>
      </c>
      <c r="L167" s="85">
        <f t="shared" si="101"/>
        <v>3111.65</v>
      </c>
      <c r="M167" s="130">
        <f t="shared" si="89"/>
        <v>3629.7807880856326</v>
      </c>
      <c r="N167" s="8">
        <f t="shared" si="90"/>
        <v>29324.104454904318</v>
      </c>
      <c r="O167" s="84">
        <f t="shared" si="91"/>
        <v>25694.323666818684</v>
      </c>
      <c r="P167" s="117"/>
      <c r="Q167" s="117"/>
      <c r="R167" s="117"/>
      <c r="S167" s="117"/>
      <c r="T167" s="117"/>
      <c r="U167" s="117"/>
      <c r="V167" s="117"/>
      <c r="W167" s="117"/>
      <c r="X167" s="117"/>
    </row>
    <row r="168" spans="1:24" x14ac:dyDescent="0.2">
      <c r="A168" s="17" t="s">
        <v>66</v>
      </c>
      <c r="B168" s="81" t="str">
        <f t="shared" si="92"/>
        <v>Q3/2019</v>
      </c>
      <c r="C168" s="82">
        <f t="shared" si="95"/>
        <v>43647</v>
      </c>
      <c r="D168" s="82">
        <f t="shared" si="96"/>
        <v>43738</v>
      </c>
      <c r="E168" s="81">
        <f t="shared" si="93"/>
        <v>92</v>
      </c>
      <c r="F168" s="83">
        <f>VLOOKUP(D168,'FERC Interest Rate'!$A:$B,2,TRUE)</f>
        <v>0.06</v>
      </c>
      <c r="G168" s="84">
        <f t="shared" si="94"/>
        <v>25694.323666818684</v>
      </c>
      <c r="H168" s="84">
        <v>0</v>
      </c>
      <c r="I168" s="109">
        <f t="shared" si="99"/>
        <v>100.14045835233787</v>
      </c>
      <c r="J168" s="85">
        <f t="shared" si="103"/>
        <v>388.58264833106614</v>
      </c>
      <c r="K168" s="129">
        <f t="shared" si="88"/>
        <v>488.72310668340401</v>
      </c>
      <c r="L168" s="85">
        <f t="shared" si="101"/>
        <v>3111.65</v>
      </c>
      <c r="M168" s="130">
        <f t="shared" si="89"/>
        <v>3600.3731066834043</v>
      </c>
      <c r="N168" s="8">
        <f t="shared" si="90"/>
        <v>26082.90631514975</v>
      </c>
      <c r="O168" s="84">
        <f t="shared" si="91"/>
        <v>22482.533208466346</v>
      </c>
      <c r="P168" s="117"/>
      <c r="Q168" s="117"/>
      <c r="R168" s="117"/>
      <c r="S168" s="117"/>
      <c r="T168" s="117"/>
      <c r="U168" s="117"/>
      <c r="V168" s="117"/>
      <c r="W168" s="117"/>
      <c r="X168" s="117"/>
    </row>
    <row r="169" spans="1:24" x14ac:dyDescent="0.2">
      <c r="A169" s="17" t="s">
        <v>67</v>
      </c>
      <c r="B169" s="81" t="str">
        <f t="shared" si="92"/>
        <v>Q4/2019</v>
      </c>
      <c r="C169" s="82">
        <f t="shared" si="95"/>
        <v>43739</v>
      </c>
      <c r="D169" s="82">
        <f t="shared" si="96"/>
        <v>43830</v>
      </c>
      <c r="E169" s="81">
        <f t="shared" si="93"/>
        <v>92</v>
      </c>
      <c r="F169" s="83">
        <f>VLOOKUP(D169,'FERC Interest Rate'!$A:$B,2,TRUE)</f>
        <v>6.0349460000000001E-2</v>
      </c>
      <c r="G169" s="84">
        <f t="shared" si="94"/>
        <v>22482.533208466346</v>
      </c>
      <c r="H169" s="84">
        <v>0</v>
      </c>
      <c r="I169" s="109">
        <f t="shared" si="99"/>
        <v>100.14045835233787</v>
      </c>
      <c r="J169" s="85">
        <f t="shared" si="103"/>
        <v>341.99014780218374</v>
      </c>
      <c r="K169" s="129">
        <f t="shared" si="88"/>
        <v>442.13060615452162</v>
      </c>
      <c r="L169" s="85">
        <f t="shared" si="101"/>
        <v>3111.65</v>
      </c>
      <c r="M169" s="130">
        <f t="shared" si="89"/>
        <v>3553.7806061545216</v>
      </c>
      <c r="N169" s="8">
        <f t="shared" si="90"/>
        <v>22824.523356268528</v>
      </c>
      <c r="O169" s="84">
        <f t="shared" si="91"/>
        <v>19270.742750114008</v>
      </c>
      <c r="P169" s="117"/>
      <c r="Q169" s="117"/>
      <c r="R169" s="117"/>
      <c r="S169" s="117"/>
      <c r="T169" s="117"/>
      <c r="U169" s="117"/>
      <c r="V169" s="117"/>
      <c r="W169" s="117"/>
      <c r="X169" s="117"/>
    </row>
    <row r="170" spans="1:24" x14ac:dyDescent="0.2">
      <c r="A170" s="17" t="s">
        <v>68</v>
      </c>
      <c r="B170" s="81" t="str">
        <f t="shared" si="92"/>
        <v>Q1/2020</v>
      </c>
      <c r="C170" s="82">
        <f t="shared" si="95"/>
        <v>43831</v>
      </c>
      <c r="D170" s="82">
        <f t="shared" si="96"/>
        <v>43921</v>
      </c>
      <c r="E170" s="81">
        <f t="shared" si="93"/>
        <v>91</v>
      </c>
      <c r="F170" s="83">
        <f>VLOOKUP(D170,'FERC Interest Rate'!$A:$B,2,TRUE)</f>
        <v>6.2501040000000008E-2</v>
      </c>
      <c r="G170" s="84">
        <f t="shared" si="94"/>
        <v>19270.742750114008</v>
      </c>
      <c r="H170" s="84">
        <v>0</v>
      </c>
      <c r="I170" s="109">
        <f t="shared" si="99"/>
        <v>100.14045835233787</v>
      </c>
      <c r="J170" s="85">
        <f t="shared" si="103"/>
        <v>299.46495402832596</v>
      </c>
      <c r="K170" s="129">
        <f t="shared" si="88"/>
        <v>399.60541238066384</v>
      </c>
      <c r="L170" s="85">
        <f t="shared" si="101"/>
        <v>3111.65</v>
      </c>
      <c r="M170" s="130">
        <f t="shared" si="89"/>
        <v>3511.255412380664</v>
      </c>
      <c r="N170" s="8">
        <f t="shared" si="90"/>
        <v>19570.207704142333</v>
      </c>
      <c r="O170" s="84">
        <f t="shared" si="91"/>
        <v>16058.95229176167</v>
      </c>
      <c r="P170" s="117"/>
      <c r="Q170" s="117"/>
      <c r="R170" s="117"/>
      <c r="S170" s="117"/>
      <c r="T170" s="117"/>
      <c r="U170" s="117"/>
      <c r="V170" s="117"/>
      <c r="W170" s="117"/>
      <c r="X170" s="117"/>
    </row>
    <row r="171" spans="1:24" x14ac:dyDescent="0.2">
      <c r="A171" s="17" t="s">
        <v>69</v>
      </c>
      <c r="B171" s="81" t="str">
        <f t="shared" si="92"/>
        <v>Q2/2020</v>
      </c>
      <c r="C171" s="82">
        <f t="shared" si="95"/>
        <v>43922</v>
      </c>
      <c r="D171" s="82">
        <f t="shared" si="96"/>
        <v>44012</v>
      </c>
      <c r="E171" s="81">
        <f t="shared" si="93"/>
        <v>91</v>
      </c>
      <c r="F171" s="83">
        <f>VLOOKUP(D171,'FERC Interest Rate'!$A:$B,2,TRUE)</f>
        <v>6.3055559999999997E-2</v>
      </c>
      <c r="G171" s="84">
        <f t="shared" si="94"/>
        <v>16058.95229176167</v>
      </c>
      <c r="H171" s="84">
        <v>0</v>
      </c>
      <c r="I171" s="109">
        <f t="shared" si="99"/>
        <v>100.14045835233787</v>
      </c>
      <c r="J171" s="85">
        <f t="shared" si="103"/>
        <v>251.76821559863035</v>
      </c>
      <c r="K171" s="129">
        <f t="shared" si="88"/>
        <v>351.90867395096825</v>
      </c>
      <c r="L171" s="85">
        <f t="shared" si="101"/>
        <v>3111.65</v>
      </c>
      <c r="M171" s="130">
        <f t="shared" si="89"/>
        <v>3463.5586739509681</v>
      </c>
      <c r="N171" s="8">
        <f t="shared" si="90"/>
        <v>16310.7205073603</v>
      </c>
      <c r="O171" s="84">
        <f t="shared" si="91"/>
        <v>12847.161833409333</v>
      </c>
      <c r="P171" s="117"/>
      <c r="Q171" s="117"/>
      <c r="R171" s="117"/>
      <c r="S171" s="117"/>
      <c r="T171" s="117"/>
      <c r="U171" s="117"/>
      <c r="V171" s="117"/>
      <c r="W171" s="117"/>
      <c r="X171" s="117"/>
    </row>
    <row r="172" spans="1:24" x14ac:dyDescent="0.2">
      <c r="A172" s="17" t="s">
        <v>70</v>
      </c>
      <c r="B172" s="81" t="str">
        <f t="shared" si="92"/>
        <v>Q3/2020</v>
      </c>
      <c r="C172" s="82">
        <f t="shared" si="95"/>
        <v>44013</v>
      </c>
      <c r="D172" s="82">
        <f t="shared" si="96"/>
        <v>44104</v>
      </c>
      <c r="E172" s="81">
        <f t="shared" si="93"/>
        <v>92</v>
      </c>
      <c r="F172" s="83">
        <f>VLOOKUP(D172,'FERC Interest Rate'!$A:$B,2,TRUE)</f>
        <v>6.5000000000000002E-2</v>
      </c>
      <c r="G172" s="84">
        <f t="shared" si="94"/>
        <v>12847.161833409333</v>
      </c>
      <c r="H172" s="84">
        <v>0</v>
      </c>
      <c r="I172" s="109">
        <f t="shared" si="99"/>
        <v>100.14045835233787</v>
      </c>
      <c r="J172" s="85">
        <f t="shared" si="103"/>
        <v>209.90717968248035</v>
      </c>
      <c r="K172" s="129">
        <f t="shared" si="88"/>
        <v>310.04763803481819</v>
      </c>
      <c r="L172" s="85">
        <f t="shared" si="101"/>
        <v>3111.65</v>
      </c>
      <c r="M172" s="130">
        <f t="shared" si="89"/>
        <v>3421.6976380348183</v>
      </c>
      <c r="N172" s="8">
        <f t="shared" si="90"/>
        <v>13057.069013091814</v>
      </c>
      <c r="O172" s="84">
        <f t="shared" si="91"/>
        <v>9635.371375056995</v>
      </c>
      <c r="P172" s="117"/>
      <c r="Q172" s="117"/>
      <c r="R172" s="117"/>
      <c r="S172" s="117"/>
      <c r="T172" s="117"/>
      <c r="U172" s="117"/>
      <c r="V172" s="117"/>
      <c r="W172" s="117"/>
      <c r="X172" s="117"/>
    </row>
    <row r="173" spans="1:24" x14ac:dyDescent="0.2">
      <c r="A173" s="17" t="s">
        <v>71</v>
      </c>
      <c r="B173" s="81" t="str">
        <f t="shared" si="92"/>
        <v>Q4/2020</v>
      </c>
      <c r="C173" s="82">
        <f t="shared" si="95"/>
        <v>44105</v>
      </c>
      <c r="D173" s="82">
        <f t="shared" si="96"/>
        <v>44196</v>
      </c>
      <c r="E173" s="81">
        <f t="shared" si="93"/>
        <v>92</v>
      </c>
      <c r="F173" s="83">
        <f>VLOOKUP(D173,'FERC Interest Rate'!$A:$B,2,TRUE)</f>
        <v>6.5000000000000002E-2</v>
      </c>
      <c r="G173" s="84">
        <f t="shared" si="94"/>
        <v>9635.371375056995</v>
      </c>
      <c r="H173" s="84">
        <v>0</v>
      </c>
      <c r="I173" s="109">
        <f t="shared" si="99"/>
        <v>100.14045835233787</v>
      </c>
      <c r="J173" s="85">
        <f t="shared" si="103"/>
        <v>157.43038476186021</v>
      </c>
      <c r="K173" s="129">
        <f t="shared" si="88"/>
        <v>257.57084311419806</v>
      </c>
      <c r="L173" s="85">
        <f t="shared" si="101"/>
        <v>3111.65</v>
      </c>
      <c r="M173" s="130">
        <f t="shared" si="89"/>
        <v>3369.220843114198</v>
      </c>
      <c r="N173" s="8">
        <f t="shared" si="90"/>
        <v>9792.8017598188544</v>
      </c>
      <c r="O173" s="84">
        <f t="shared" si="91"/>
        <v>6423.5809167046573</v>
      </c>
      <c r="P173" s="117"/>
      <c r="Q173" s="117"/>
      <c r="R173" s="117"/>
      <c r="S173" s="117"/>
      <c r="T173" s="117"/>
      <c r="U173" s="117"/>
      <c r="V173" s="117"/>
      <c r="W173" s="117"/>
      <c r="X173" s="117"/>
    </row>
    <row r="174" spans="1:24" x14ac:dyDescent="0.2">
      <c r="A174" s="17" t="s">
        <v>72</v>
      </c>
      <c r="B174" s="81" t="str">
        <f t="shared" si="92"/>
        <v>Q1/2021</v>
      </c>
      <c r="C174" s="82">
        <f t="shared" si="95"/>
        <v>44197</v>
      </c>
      <c r="D174" s="82">
        <f t="shared" si="96"/>
        <v>44286</v>
      </c>
      <c r="E174" s="81">
        <f t="shared" si="93"/>
        <v>90</v>
      </c>
      <c r="F174" s="83">
        <f>VLOOKUP(D174,'FERC Interest Rate'!$A:$B,2,TRUE)</f>
        <v>6.5000000000000002E-2</v>
      </c>
      <c r="G174" s="84">
        <f t="shared" si="94"/>
        <v>6423.5809167046573</v>
      </c>
      <c r="H174" s="84">
        <v>0</v>
      </c>
      <c r="I174" s="109">
        <f t="shared" si="99"/>
        <v>100.14045835233787</v>
      </c>
      <c r="J174" s="85">
        <f t="shared" si="103"/>
        <v>102.9532831855404</v>
      </c>
      <c r="K174" s="129">
        <f t="shared" si="88"/>
        <v>203.09374153787826</v>
      </c>
      <c r="L174" s="85">
        <f t="shared" si="101"/>
        <v>3111.65</v>
      </c>
      <c r="M174" s="130">
        <f t="shared" si="89"/>
        <v>3314.7437415378781</v>
      </c>
      <c r="N174" s="8">
        <f t="shared" si="90"/>
        <v>6526.5341998901977</v>
      </c>
      <c r="O174" s="84">
        <f t="shared" si="91"/>
        <v>3211.7904583523195</v>
      </c>
      <c r="P174" s="117"/>
      <c r="Q174" s="117"/>
      <c r="R174" s="117"/>
      <c r="S174" s="117"/>
      <c r="T174" s="117"/>
      <c r="U174" s="117"/>
      <c r="V174" s="117"/>
      <c r="W174" s="117"/>
      <c r="X174" s="117"/>
    </row>
    <row r="175" spans="1:24" x14ac:dyDescent="0.2">
      <c r="A175" s="17" t="s">
        <v>73</v>
      </c>
      <c r="B175" s="81" t="str">
        <f t="shared" si="92"/>
        <v>Q2/2021</v>
      </c>
      <c r="C175" s="82">
        <f t="shared" si="95"/>
        <v>44287</v>
      </c>
      <c r="D175" s="82">
        <f t="shared" si="96"/>
        <v>44377</v>
      </c>
      <c r="E175" s="81">
        <f t="shared" si="93"/>
        <v>91</v>
      </c>
      <c r="F175" s="83">
        <f>VLOOKUP(D175,'FERC Interest Rate'!$A:$B,2,TRUE)</f>
        <v>6.5000000000000002E-2</v>
      </c>
      <c r="G175" s="84">
        <f t="shared" si="94"/>
        <v>3211.7904583523195</v>
      </c>
      <c r="H175" s="84">
        <v>0</v>
      </c>
      <c r="I175" s="109">
        <f t="shared" si="99"/>
        <v>100.14045835233787</v>
      </c>
      <c r="J175" s="85">
        <f t="shared" si="103"/>
        <v>52.048604277134167</v>
      </c>
      <c r="K175" s="129">
        <f t="shared" si="88"/>
        <v>152.18906262947203</v>
      </c>
      <c r="L175" s="85">
        <f t="shared" si="101"/>
        <v>3111.65</v>
      </c>
      <c r="M175" s="130">
        <f t="shared" si="89"/>
        <v>3263.8390626294722</v>
      </c>
      <c r="N175" s="8">
        <f t="shared" si="90"/>
        <v>3263.8390626294536</v>
      </c>
      <c r="O175" s="84">
        <f t="shared" si="91"/>
        <v>-1.8417267710901797E-11</v>
      </c>
      <c r="P175" s="117"/>
      <c r="Q175" s="117"/>
      <c r="R175" s="117"/>
      <c r="S175" s="117"/>
      <c r="T175" s="117"/>
      <c r="U175" s="117"/>
      <c r="V175" s="117"/>
      <c r="W175" s="117"/>
      <c r="X175" s="117"/>
    </row>
    <row r="176" spans="1:24" x14ac:dyDescent="0.2">
      <c r="B176" s="81"/>
      <c r="C176" s="82"/>
      <c r="D176" s="82"/>
      <c r="E176" s="81"/>
      <c r="F176" s="83"/>
      <c r="G176" s="84"/>
      <c r="H176" s="84"/>
      <c r="I176" s="109"/>
      <c r="J176" s="85"/>
      <c r="K176" s="117"/>
      <c r="L176" s="85"/>
      <c r="M176" s="131"/>
      <c r="N176" s="117"/>
      <c r="O176" s="84"/>
      <c r="P176" s="117"/>
      <c r="Q176" s="117"/>
      <c r="R176" s="117"/>
      <c r="S176" s="117"/>
      <c r="T176" s="117"/>
      <c r="U176" s="117"/>
      <c r="V176" s="117"/>
      <c r="W176" s="117"/>
      <c r="X176" s="117"/>
    </row>
    <row r="177" spans="1:24" ht="13.5" thickBot="1" x14ac:dyDescent="0.25">
      <c r="A177" s="151"/>
      <c r="B177" s="152"/>
      <c r="C177" s="153"/>
      <c r="D177" s="153"/>
      <c r="E177" s="154"/>
      <c r="F177" s="152"/>
      <c r="G177" s="137">
        <f t="shared" ref="G177:O177" si="104">SUM(G153:G176)</f>
        <v>882867.96636664274</v>
      </c>
      <c r="H177" s="137">
        <f t="shared" si="104"/>
        <v>2002.8091670467575</v>
      </c>
      <c r="I177" s="138">
        <f t="shared" si="104"/>
        <v>2002.8091670467575</v>
      </c>
      <c r="J177" s="137">
        <f t="shared" si="104"/>
        <v>7306.8638803339736</v>
      </c>
      <c r="K177" s="137">
        <f t="shared" si="104"/>
        <v>9309.6730473807293</v>
      </c>
      <c r="L177" s="137">
        <f t="shared" si="104"/>
        <v>62233.000000000022</v>
      </c>
      <c r="M177" s="139">
        <f t="shared" si="104"/>
        <v>71542.673047380726</v>
      </c>
      <c r="N177" s="137">
        <f t="shared" si="104"/>
        <v>892177.63941402338</v>
      </c>
      <c r="O177" s="137">
        <f t="shared" si="104"/>
        <v>820634.96636664262</v>
      </c>
      <c r="P177" s="117"/>
      <c r="Q177" s="117"/>
      <c r="R177" s="117"/>
      <c r="S177" s="117"/>
      <c r="T177" s="117"/>
      <c r="U177" s="117"/>
      <c r="V177" s="117"/>
      <c r="W177" s="117"/>
      <c r="X177" s="117"/>
    </row>
    <row r="178" spans="1:24" ht="13.5" thickTop="1" x14ac:dyDescent="0.2">
      <c r="B178" s="11"/>
      <c r="C178" s="125"/>
      <c r="D178" s="125"/>
      <c r="E178" s="10"/>
      <c r="F178" s="11"/>
      <c r="G178" s="85"/>
      <c r="H178" s="70"/>
      <c r="I178" s="115"/>
      <c r="J178" s="85"/>
      <c r="K178" s="117"/>
      <c r="L178" s="70"/>
      <c r="M178" s="131"/>
      <c r="N178" s="117"/>
      <c r="O178" s="117"/>
      <c r="P178" s="117"/>
      <c r="Q178" s="117"/>
      <c r="R178" s="117"/>
      <c r="S178" s="117"/>
      <c r="T178" s="117"/>
      <c r="U178" s="117"/>
      <c r="V178" s="117"/>
      <c r="W178" s="117"/>
      <c r="X178" s="117"/>
    </row>
    <row r="179" spans="1:24" ht="36.75" x14ac:dyDescent="0.2">
      <c r="A179" s="90" t="s">
        <v>53</v>
      </c>
      <c r="B179" s="90" t="s">
        <v>3</v>
      </c>
      <c r="C179" s="90" t="s">
        <v>4</v>
      </c>
      <c r="D179" s="90" t="s">
        <v>5</v>
      </c>
      <c r="E179" s="90" t="s">
        <v>6</v>
      </c>
      <c r="F179" s="90" t="s">
        <v>7</v>
      </c>
      <c r="G179" s="90" t="s">
        <v>80</v>
      </c>
      <c r="H179" s="90" t="s">
        <v>81</v>
      </c>
      <c r="I179" s="105" t="s">
        <v>82</v>
      </c>
      <c r="J179" s="106" t="s">
        <v>83</v>
      </c>
      <c r="K179" s="106" t="s">
        <v>84</v>
      </c>
      <c r="L179" s="106" t="s">
        <v>85</v>
      </c>
      <c r="M179" s="107" t="s">
        <v>75</v>
      </c>
      <c r="N179" s="90" t="s">
        <v>86</v>
      </c>
      <c r="O179" s="90" t="s">
        <v>87</v>
      </c>
      <c r="P179" s="117"/>
      <c r="Q179" s="117"/>
      <c r="R179" s="117"/>
      <c r="S179" s="117"/>
      <c r="T179" s="117"/>
      <c r="U179" s="117"/>
      <c r="V179" s="117"/>
      <c r="W179" s="117"/>
      <c r="X179" s="117"/>
    </row>
    <row r="180" spans="1:24" x14ac:dyDescent="0.2">
      <c r="A180" s="275" t="s">
        <v>38</v>
      </c>
      <c r="B180" s="276" t="s">
        <v>58</v>
      </c>
      <c r="C180" s="82">
        <f>VLOOKUP(B180,A$1:F$11,2,FALSE)</f>
        <v>42298</v>
      </c>
      <c r="D180" s="82">
        <f>DATE(YEAR(C180),IF(MONTH(C180)&lt;=3,3,IF(MONTH(C180)&lt;=6,6,IF(MONTH(C180)&lt;=9,9,12))),IF(OR(MONTH(C180)&lt;=3,MONTH(C180)&gt;=10),31,30))</f>
        <v>42369</v>
      </c>
      <c r="E180" s="81">
        <f>D180-C180+1</f>
        <v>72</v>
      </c>
      <c r="F180" s="83">
        <f>VLOOKUP(D180,'FERC Interest Rate'!$A:$B,2,TRUE)</f>
        <v>3.2500000000000001E-2</v>
      </c>
      <c r="G180" s="84">
        <f>VLOOKUP(B180,$A$1:$F$11,5,FALSE)</f>
        <v>21576.165987209733</v>
      </c>
      <c r="H180" s="84">
        <f t="shared" ref="H180:H183" si="105">G180*F180*(E180/(DATE(YEAR(D180),12,31)-DATE(YEAR(D180),1,1)+1))</f>
        <v>138.32391345224872</v>
      </c>
      <c r="I180" s="173">
        <v>0</v>
      </c>
      <c r="J180" s="85">
        <v>0</v>
      </c>
      <c r="K180" s="129">
        <f t="shared" ref="K180:K202" si="106">+SUM(I180:J180)</f>
        <v>0</v>
      </c>
      <c r="L180" s="85">
        <v>0</v>
      </c>
      <c r="M180" s="130">
        <f t="shared" ref="M180:M202" si="107">+SUM(K180:L180)</f>
        <v>0</v>
      </c>
      <c r="N180" s="8">
        <f t="shared" ref="N180:N202" si="108">+G180+H180+J180</f>
        <v>21714.489900661982</v>
      </c>
      <c r="O180" s="84">
        <f t="shared" ref="O180:O202" si="109">G180+H180-L180-I180</f>
        <v>21714.489900661982</v>
      </c>
      <c r="P180" s="117"/>
      <c r="Q180" s="117"/>
      <c r="R180" s="117"/>
      <c r="S180" s="117"/>
      <c r="T180" s="117"/>
      <c r="U180" s="117"/>
      <c r="V180" s="117"/>
      <c r="W180" s="117"/>
      <c r="X180" s="117"/>
    </row>
    <row r="181" spans="1:24" x14ac:dyDescent="0.2">
      <c r="A181" s="96" t="s">
        <v>22</v>
      </c>
      <c r="B181" s="81" t="str">
        <f t="shared" ref="B181:B183" si="110">+IF(MONTH(C181)&lt;4,"Q1",IF(MONTH(C181)&lt;7,"Q2",IF(MONTH(C181)&lt;10,"Q3","Q4")))&amp;"/"&amp;YEAR(C181)</f>
        <v>Q1/2016</v>
      </c>
      <c r="C181" s="82">
        <f>D180+1</f>
        <v>42370</v>
      </c>
      <c r="D181" s="82">
        <f>EOMONTH(D180,3)</f>
        <v>42460</v>
      </c>
      <c r="E181" s="81">
        <f t="shared" ref="E181:E202" si="111">D181-C181+1</f>
        <v>91</v>
      </c>
      <c r="F181" s="83">
        <f>VLOOKUP(D181,'FERC Interest Rate'!$A:$B,2,TRUE)</f>
        <v>3.2500000000000001E-2</v>
      </c>
      <c r="G181" s="84">
        <f t="shared" ref="G181:G202" si="112">O180</f>
        <v>21714.489900661982</v>
      </c>
      <c r="H181" s="84">
        <f t="shared" si="105"/>
        <v>175.46613082297216</v>
      </c>
      <c r="I181" s="173">
        <v>0</v>
      </c>
      <c r="J181" s="85">
        <v>0</v>
      </c>
      <c r="K181" s="129">
        <f t="shared" si="106"/>
        <v>0</v>
      </c>
      <c r="L181" s="85">
        <v>0</v>
      </c>
      <c r="M181" s="130">
        <f t="shared" si="107"/>
        <v>0</v>
      </c>
      <c r="N181" s="8">
        <f t="shared" si="108"/>
        <v>21889.956031484955</v>
      </c>
      <c r="O181" s="84">
        <f t="shared" si="109"/>
        <v>21889.956031484955</v>
      </c>
      <c r="P181" s="117"/>
      <c r="Q181" s="117"/>
      <c r="R181" s="117"/>
      <c r="S181" s="117"/>
      <c r="T181" s="117"/>
      <c r="U181" s="117"/>
      <c r="V181" s="117"/>
      <c r="W181" s="117"/>
      <c r="X181" s="117"/>
    </row>
    <row r="182" spans="1:24" x14ac:dyDescent="0.2">
      <c r="A182" s="96" t="s">
        <v>22</v>
      </c>
      <c r="B182" s="81" t="str">
        <f t="shared" si="110"/>
        <v>Q2/2016</v>
      </c>
      <c r="C182" s="82">
        <f t="shared" ref="C182:C202" si="113">D181+1</f>
        <v>42461</v>
      </c>
      <c r="D182" s="82">
        <f t="shared" ref="D182:D202" si="114">EOMONTH(D181,3)</f>
        <v>42551</v>
      </c>
      <c r="E182" s="81">
        <f t="shared" si="111"/>
        <v>91</v>
      </c>
      <c r="F182" s="83">
        <f>VLOOKUP(D182,'FERC Interest Rate'!$A:$B,2,TRUE)</f>
        <v>3.4599999999999999E-2</v>
      </c>
      <c r="G182" s="84">
        <f t="shared" si="112"/>
        <v>21889.956031484955</v>
      </c>
      <c r="H182" s="84">
        <f t="shared" si="105"/>
        <v>188.31343049380746</v>
      </c>
      <c r="I182" s="173">
        <v>0</v>
      </c>
      <c r="J182" s="85">
        <v>0</v>
      </c>
      <c r="K182" s="129">
        <f t="shared" si="106"/>
        <v>0</v>
      </c>
      <c r="L182" s="85">
        <v>0</v>
      </c>
      <c r="M182" s="130">
        <f t="shared" si="107"/>
        <v>0</v>
      </c>
      <c r="N182" s="8">
        <f t="shared" si="108"/>
        <v>22078.269461978762</v>
      </c>
      <c r="O182" s="84">
        <f t="shared" si="109"/>
        <v>22078.269461978762</v>
      </c>
      <c r="P182" s="117"/>
      <c r="Q182" s="117"/>
      <c r="R182" s="117"/>
      <c r="S182" s="117"/>
      <c r="T182" s="117"/>
      <c r="U182" s="117"/>
      <c r="V182" s="117"/>
      <c r="W182" s="117"/>
      <c r="X182" s="117"/>
    </row>
    <row r="183" spans="1:24" x14ac:dyDescent="0.2">
      <c r="A183" s="96" t="s">
        <v>22</v>
      </c>
      <c r="B183" s="81" t="str">
        <f t="shared" si="110"/>
        <v>Q3/2016</v>
      </c>
      <c r="C183" s="82">
        <f t="shared" si="113"/>
        <v>42552</v>
      </c>
      <c r="D183" s="82">
        <f t="shared" si="114"/>
        <v>42643</v>
      </c>
      <c r="E183" s="81">
        <f t="shared" si="111"/>
        <v>92</v>
      </c>
      <c r="F183" s="83">
        <f>VLOOKUP(D183,'FERC Interest Rate'!$A:$B,2,TRUE)</f>
        <v>3.5000000000000003E-2</v>
      </c>
      <c r="G183" s="84">
        <f t="shared" si="112"/>
        <v>22078.269461978762</v>
      </c>
      <c r="H183" s="84">
        <f t="shared" si="105"/>
        <v>194.24051275292791</v>
      </c>
      <c r="I183" s="173">
        <v>0</v>
      </c>
      <c r="J183" s="85">
        <v>0</v>
      </c>
      <c r="K183" s="129">
        <f t="shared" si="106"/>
        <v>0</v>
      </c>
      <c r="L183" s="85">
        <v>0</v>
      </c>
      <c r="M183" s="130">
        <f t="shared" si="107"/>
        <v>0</v>
      </c>
      <c r="N183" s="8">
        <f t="shared" si="108"/>
        <v>22272.509974731689</v>
      </c>
      <c r="O183" s="84">
        <f t="shared" si="109"/>
        <v>22272.509974731689</v>
      </c>
      <c r="P183" s="117"/>
      <c r="Q183" s="117"/>
      <c r="R183" s="117"/>
      <c r="S183" s="117"/>
      <c r="T183" s="117"/>
      <c r="U183" s="117"/>
      <c r="V183" s="117"/>
      <c r="W183" s="117"/>
      <c r="X183" s="117"/>
    </row>
    <row r="184" spans="1:24" x14ac:dyDescent="0.2">
      <c r="A184" s="96" t="s">
        <v>22</v>
      </c>
      <c r="B184" s="81" t="str">
        <f t="shared" ref="B184:B202" si="115">+IF(MONTH(C184)&lt;4,"Q1",IF(MONTH(C184)&lt;7,"Q2",IF(MONTH(C184)&lt;10,"Q3","Q4")))&amp;"/"&amp;YEAR(C184)</f>
        <v>Q4/2016</v>
      </c>
      <c r="C184" s="82">
        <f t="shared" si="113"/>
        <v>42644</v>
      </c>
      <c r="D184" s="82">
        <f t="shared" si="114"/>
        <v>42735</v>
      </c>
      <c r="E184" s="81">
        <f t="shared" si="111"/>
        <v>92</v>
      </c>
      <c r="F184" s="83">
        <f>VLOOKUP(D184,'FERC Interest Rate'!$A:$B,2,TRUE)</f>
        <v>3.5000000000000003E-2</v>
      </c>
      <c r="G184" s="84">
        <f t="shared" si="112"/>
        <v>22272.509974731689</v>
      </c>
      <c r="H184" s="84">
        <v>0</v>
      </c>
      <c r="I184" s="109">
        <v>0</v>
      </c>
      <c r="J184" s="85">
        <f t="shared" ref="J184:J187" si="116">G184*F184*(E184/(DATE(YEAR(D184),12,31)-DATE(YEAR(D184),1,1)+1))</f>
        <v>195.94940469572691</v>
      </c>
      <c r="K184" s="129">
        <f t="shared" si="106"/>
        <v>195.94940469572691</v>
      </c>
      <c r="L184" s="85">
        <v>0</v>
      </c>
      <c r="M184" s="130">
        <v>0</v>
      </c>
      <c r="N184" s="8">
        <f t="shared" si="108"/>
        <v>22468.459379427415</v>
      </c>
      <c r="O184" s="84">
        <f>+N184-M184</f>
        <v>22468.459379427415</v>
      </c>
      <c r="P184" s="117"/>
      <c r="Q184" s="117"/>
      <c r="R184" s="117"/>
      <c r="S184" s="117"/>
      <c r="T184" s="117"/>
      <c r="U184" s="117"/>
      <c r="V184" s="117"/>
      <c r="W184" s="117"/>
      <c r="X184" s="117"/>
    </row>
    <row r="185" spans="1:24" x14ac:dyDescent="0.2">
      <c r="A185" s="96" t="s">
        <v>22</v>
      </c>
      <c r="B185" s="81" t="str">
        <f t="shared" si="115"/>
        <v>Q1/2017</v>
      </c>
      <c r="C185" s="82">
        <f t="shared" si="113"/>
        <v>42736</v>
      </c>
      <c r="D185" s="82">
        <f t="shared" si="114"/>
        <v>42825</v>
      </c>
      <c r="E185" s="81">
        <f t="shared" si="111"/>
        <v>90</v>
      </c>
      <c r="F185" s="83">
        <f>VLOOKUP(D185,'FERC Interest Rate'!$A:$B,2,TRUE)</f>
        <v>3.5000000000000003E-2</v>
      </c>
      <c r="G185" s="84">
        <f t="shared" si="112"/>
        <v>22468.459379427415</v>
      </c>
      <c r="H185" s="84">
        <v>0</v>
      </c>
      <c r="I185" s="109">
        <v>0</v>
      </c>
      <c r="J185" s="85">
        <f t="shared" si="116"/>
        <v>193.90588231560648</v>
      </c>
      <c r="K185" s="129">
        <f t="shared" si="106"/>
        <v>193.90588231560648</v>
      </c>
      <c r="L185" s="85">
        <v>0</v>
      </c>
      <c r="M185" s="130">
        <v>0</v>
      </c>
      <c r="N185" s="8">
        <f t="shared" si="108"/>
        <v>22662.36526174302</v>
      </c>
      <c r="O185" s="84">
        <f>+N185-M185</f>
        <v>22662.36526174302</v>
      </c>
      <c r="P185" s="117"/>
      <c r="Q185" s="117"/>
      <c r="R185" s="117"/>
      <c r="S185" s="117"/>
      <c r="T185" s="117"/>
      <c r="U185" s="117"/>
      <c r="V185" s="117"/>
      <c r="W185" s="117"/>
      <c r="X185" s="117"/>
    </row>
    <row r="186" spans="1:24" x14ac:dyDescent="0.2">
      <c r="A186" s="274" t="s">
        <v>102</v>
      </c>
      <c r="B186" s="81" t="str">
        <f t="shared" si="115"/>
        <v>Q2/2017</v>
      </c>
      <c r="C186" s="146">
        <f t="shared" si="113"/>
        <v>42826</v>
      </c>
      <c r="D186" s="146">
        <f t="shared" si="114"/>
        <v>42916</v>
      </c>
      <c r="E186" s="81">
        <f t="shared" si="111"/>
        <v>91</v>
      </c>
      <c r="F186" s="83">
        <f>VLOOKUP(D186,'FERC Interest Rate'!$A:$B,2,TRUE)</f>
        <v>3.7100000000000001E-2</v>
      </c>
      <c r="G186" s="84">
        <f t="shared" si="112"/>
        <v>22662.36526174302</v>
      </c>
      <c r="H186" s="84">
        <v>0</v>
      </c>
      <c r="I186" s="109">
        <f>(SUM($H$180:$H$203)/20)*4</f>
        <v>139.26879750439124</v>
      </c>
      <c r="J186" s="85">
        <f t="shared" si="116"/>
        <v>209.61756537033045</v>
      </c>
      <c r="K186" s="129">
        <f t="shared" ref="K186" si="117">+SUM(I186:J186)</f>
        <v>348.88636287472173</v>
      </c>
      <c r="L186" s="85">
        <f>+$G$180/20*4</f>
        <v>4315.2331974419467</v>
      </c>
      <c r="M186" s="130">
        <f>+SUM(K184:L186)</f>
        <v>5053.9748473280015</v>
      </c>
      <c r="N186" s="8">
        <f t="shared" si="108"/>
        <v>22871.982827113352</v>
      </c>
      <c r="O186" s="84">
        <f>+N186-M186</f>
        <v>17818.00797978535</v>
      </c>
      <c r="P186" s="117"/>
      <c r="Q186" s="117"/>
      <c r="R186" s="117"/>
      <c r="S186" s="117"/>
      <c r="T186" s="117"/>
      <c r="U186" s="117"/>
      <c r="V186" s="117"/>
      <c r="W186" s="117"/>
      <c r="X186" s="117"/>
    </row>
    <row r="187" spans="1:24" x14ac:dyDescent="0.2">
      <c r="A187" s="17" t="s">
        <v>58</v>
      </c>
      <c r="B187" s="81" t="str">
        <f t="shared" si="115"/>
        <v>Q3/2017</v>
      </c>
      <c r="C187" s="146">
        <f t="shared" si="113"/>
        <v>42917</v>
      </c>
      <c r="D187" s="146">
        <f t="shared" si="114"/>
        <v>43008</v>
      </c>
      <c r="E187" s="81">
        <f t="shared" si="111"/>
        <v>92</v>
      </c>
      <c r="F187" s="83">
        <f>VLOOKUP(D187,'FERC Interest Rate'!$A:$B,2,TRUE)</f>
        <v>3.9600000000000003E-2</v>
      </c>
      <c r="G187" s="84">
        <f t="shared" si="112"/>
        <v>17818.00797978535</v>
      </c>
      <c r="H187" s="84">
        <v>0</v>
      </c>
      <c r="I187" s="109">
        <f t="shared" ref="I187:I202" si="118">(SUM($H$180:$H$203)/20)</f>
        <v>34.817199376097811</v>
      </c>
      <c r="J187" s="85">
        <f t="shared" si="116"/>
        <v>177.8481278683671</v>
      </c>
      <c r="K187" s="129">
        <f t="shared" ref="K187" si="119">+SUM(I187:J187)</f>
        <v>212.66532724446492</v>
      </c>
      <c r="L187" s="85">
        <f t="shared" ref="L187:L202" si="120">+$G$180/20</f>
        <v>1078.8082993604867</v>
      </c>
      <c r="M187" s="130">
        <f t="shared" ref="M187" si="121">+SUM(K187:L187)</f>
        <v>1291.4736266049515</v>
      </c>
      <c r="N187" s="8">
        <f t="shared" si="108"/>
        <v>17995.856107653719</v>
      </c>
      <c r="O187" s="84">
        <f t="shared" si="109"/>
        <v>16704.382481048764</v>
      </c>
      <c r="P187" s="117"/>
      <c r="Q187" s="117"/>
      <c r="R187" s="117"/>
      <c r="S187" s="117"/>
      <c r="T187" s="117"/>
      <c r="U187" s="117"/>
      <c r="V187" s="117"/>
      <c r="W187" s="117"/>
      <c r="X187" s="117"/>
    </row>
    <row r="188" spans="1:24" x14ac:dyDescent="0.2">
      <c r="A188" s="17" t="s">
        <v>59</v>
      </c>
      <c r="B188" s="81" t="str">
        <f t="shared" si="115"/>
        <v>Q4/2017</v>
      </c>
      <c r="C188" s="82">
        <f t="shared" si="113"/>
        <v>43009</v>
      </c>
      <c r="D188" s="82">
        <f t="shared" si="114"/>
        <v>43100</v>
      </c>
      <c r="E188" s="81">
        <f t="shared" si="111"/>
        <v>92</v>
      </c>
      <c r="F188" s="83">
        <f>VLOOKUP(D188,'FERC Interest Rate'!$A:$B,2,TRUE)</f>
        <v>4.2099999999999999E-2</v>
      </c>
      <c r="G188" s="84">
        <f t="shared" si="112"/>
        <v>16704.382481048764</v>
      </c>
      <c r="H188" s="84">
        <v>0</v>
      </c>
      <c r="I188" s="109">
        <f t="shared" si="118"/>
        <v>34.817199376097811</v>
      </c>
      <c r="J188" s="85">
        <f t="shared" ref="J188:J202" si="122">G188*F188*(E188/(DATE(YEAR(D188),12,31)-DATE(YEAR(D188),1,1)+1))</f>
        <v>177.25866911122759</v>
      </c>
      <c r="K188" s="129">
        <f t="shared" si="106"/>
        <v>212.07586848732541</v>
      </c>
      <c r="L188" s="85">
        <f t="shared" si="120"/>
        <v>1078.8082993604867</v>
      </c>
      <c r="M188" s="130">
        <f t="shared" si="107"/>
        <v>1290.884167847812</v>
      </c>
      <c r="N188" s="8">
        <f t="shared" si="108"/>
        <v>16881.641150159991</v>
      </c>
      <c r="O188" s="84">
        <f t="shared" si="109"/>
        <v>15590.756982312179</v>
      </c>
      <c r="P188" s="117"/>
      <c r="Q188" s="117"/>
      <c r="R188" s="117"/>
      <c r="S188" s="117"/>
      <c r="T188" s="117"/>
      <c r="U188" s="117"/>
      <c r="V188" s="117"/>
      <c r="W188" s="117"/>
      <c r="X188" s="117"/>
    </row>
    <row r="189" spans="1:24" x14ac:dyDescent="0.2">
      <c r="A189" s="17" t="s">
        <v>60</v>
      </c>
      <c r="B189" s="81" t="str">
        <f t="shared" si="115"/>
        <v>Q1/2018</v>
      </c>
      <c r="C189" s="82">
        <f t="shared" si="113"/>
        <v>43101</v>
      </c>
      <c r="D189" s="82">
        <f t="shared" si="114"/>
        <v>43190</v>
      </c>
      <c r="E189" s="81">
        <f t="shared" si="111"/>
        <v>90</v>
      </c>
      <c r="F189" s="83">
        <f>VLOOKUP(D189,'FERC Interest Rate'!$A:$B,2,TRUE)</f>
        <v>4.2500000000000003E-2</v>
      </c>
      <c r="G189" s="84">
        <f t="shared" si="112"/>
        <v>15590.756982312179</v>
      </c>
      <c r="H189" s="84">
        <v>0</v>
      </c>
      <c r="I189" s="109">
        <f t="shared" si="118"/>
        <v>34.817199376097811</v>
      </c>
      <c r="J189" s="85">
        <f t="shared" si="122"/>
        <v>163.38259029409338</v>
      </c>
      <c r="K189" s="129">
        <f t="shared" si="106"/>
        <v>198.19978967019119</v>
      </c>
      <c r="L189" s="85">
        <f t="shared" si="120"/>
        <v>1078.8082993604867</v>
      </c>
      <c r="M189" s="130">
        <f t="shared" si="107"/>
        <v>1277.0080890306779</v>
      </c>
      <c r="N189" s="8">
        <f t="shared" si="108"/>
        <v>15754.139572606273</v>
      </c>
      <c r="O189" s="84">
        <f t="shared" si="109"/>
        <v>14477.131483575597</v>
      </c>
      <c r="P189" s="117"/>
      <c r="Q189" s="117"/>
      <c r="R189" s="117"/>
      <c r="S189" s="117"/>
      <c r="T189" s="117"/>
      <c r="U189" s="117"/>
      <c r="V189" s="117"/>
      <c r="W189" s="117"/>
      <c r="X189" s="117"/>
    </row>
    <row r="190" spans="1:24" x14ac:dyDescent="0.2">
      <c r="A190" s="17" t="s">
        <v>61</v>
      </c>
      <c r="B190" s="81" t="str">
        <f t="shared" si="115"/>
        <v>Q2/2018</v>
      </c>
      <c r="C190" s="82">
        <f t="shared" si="113"/>
        <v>43191</v>
      </c>
      <c r="D190" s="82">
        <f t="shared" si="114"/>
        <v>43281</v>
      </c>
      <c r="E190" s="81">
        <f t="shared" si="111"/>
        <v>91</v>
      </c>
      <c r="F190" s="83">
        <f>VLOOKUP(D190,'FERC Interest Rate'!$A:$B,2,TRUE)</f>
        <v>4.4699999999999997E-2</v>
      </c>
      <c r="G190" s="84">
        <f t="shared" si="112"/>
        <v>14477.131483575597</v>
      </c>
      <c r="H190" s="84">
        <v>0</v>
      </c>
      <c r="I190" s="109">
        <f t="shared" si="118"/>
        <v>34.817199376097811</v>
      </c>
      <c r="J190" s="85">
        <f t="shared" si="122"/>
        <v>161.33870612531629</v>
      </c>
      <c r="K190" s="129">
        <f t="shared" si="106"/>
        <v>196.15590550141411</v>
      </c>
      <c r="L190" s="85">
        <f t="shared" si="120"/>
        <v>1078.8082993604867</v>
      </c>
      <c r="M190" s="130">
        <f t="shared" si="107"/>
        <v>1274.9642048619007</v>
      </c>
      <c r="N190" s="8">
        <f t="shared" si="108"/>
        <v>14638.470189700913</v>
      </c>
      <c r="O190" s="84">
        <f t="shared" si="109"/>
        <v>13363.505984839014</v>
      </c>
      <c r="P190" s="117"/>
      <c r="Q190" s="117"/>
      <c r="R190" s="117"/>
      <c r="S190" s="117"/>
      <c r="T190" s="117"/>
      <c r="U190" s="117"/>
      <c r="V190" s="117"/>
      <c r="W190" s="117"/>
      <c r="X190" s="117"/>
    </row>
    <row r="191" spans="1:24" x14ac:dyDescent="0.2">
      <c r="A191" s="17" t="s">
        <v>62</v>
      </c>
      <c r="B191" s="81" t="str">
        <f t="shared" si="115"/>
        <v>Q3/2018</v>
      </c>
      <c r="C191" s="82">
        <f t="shared" si="113"/>
        <v>43282</v>
      </c>
      <c r="D191" s="82">
        <f t="shared" si="114"/>
        <v>43373</v>
      </c>
      <c r="E191" s="81">
        <f t="shared" si="111"/>
        <v>92</v>
      </c>
      <c r="F191" s="83">
        <f>VLOOKUP(D191,'FERC Interest Rate'!$A:$B,2,TRUE)</f>
        <v>5.011111E-2</v>
      </c>
      <c r="G191" s="84">
        <f t="shared" si="112"/>
        <v>13363.505984839014</v>
      </c>
      <c r="H191" s="84">
        <v>0</v>
      </c>
      <c r="I191" s="109">
        <f t="shared" si="118"/>
        <v>34.817199376097811</v>
      </c>
      <c r="J191" s="85">
        <f t="shared" si="122"/>
        <v>168.79104353988276</v>
      </c>
      <c r="K191" s="129">
        <f t="shared" si="106"/>
        <v>203.60824291598058</v>
      </c>
      <c r="L191" s="85">
        <f t="shared" si="120"/>
        <v>1078.8082993604867</v>
      </c>
      <c r="M191" s="130">
        <f t="shared" si="107"/>
        <v>1282.4165422764672</v>
      </c>
      <c r="N191" s="8">
        <f t="shared" si="108"/>
        <v>13532.297028378896</v>
      </c>
      <c r="O191" s="84">
        <f t="shared" si="109"/>
        <v>12249.880486102431</v>
      </c>
      <c r="P191" s="117"/>
      <c r="Q191" s="117"/>
      <c r="R191" s="117"/>
      <c r="S191" s="117"/>
      <c r="T191" s="117"/>
      <c r="U191" s="117"/>
      <c r="V191" s="117"/>
      <c r="W191" s="117"/>
      <c r="X191" s="117"/>
    </row>
    <row r="192" spans="1:24" x14ac:dyDescent="0.2">
      <c r="A192" s="17" t="s">
        <v>63</v>
      </c>
      <c r="B192" s="81" t="str">
        <f t="shared" si="115"/>
        <v>Q4/2018</v>
      </c>
      <c r="C192" s="82">
        <f t="shared" si="113"/>
        <v>43374</v>
      </c>
      <c r="D192" s="82">
        <f t="shared" si="114"/>
        <v>43465</v>
      </c>
      <c r="E192" s="81">
        <f t="shared" si="111"/>
        <v>92</v>
      </c>
      <c r="F192" s="83">
        <f>VLOOKUP(D192,'FERC Interest Rate'!$A:$B,2,TRUE)</f>
        <v>5.2822580000000001E-2</v>
      </c>
      <c r="G192" s="84">
        <f t="shared" si="112"/>
        <v>12249.880486102431</v>
      </c>
      <c r="H192" s="84">
        <v>0</v>
      </c>
      <c r="I192" s="109">
        <f t="shared" si="118"/>
        <v>34.817199376097811</v>
      </c>
      <c r="J192" s="85">
        <f t="shared" si="122"/>
        <v>163.0971694822405</v>
      </c>
      <c r="K192" s="129">
        <f t="shared" si="106"/>
        <v>197.91436885833832</v>
      </c>
      <c r="L192" s="85">
        <f t="shared" si="120"/>
        <v>1078.8082993604867</v>
      </c>
      <c r="M192" s="130">
        <f t="shared" si="107"/>
        <v>1276.722668218825</v>
      </c>
      <c r="N192" s="8">
        <f t="shared" si="108"/>
        <v>12412.977655584671</v>
      </c>
      <c r="O192" s="84">
        <f t="shared" si="109"/>
        <v>11136.254987365848</v>
      </c>
      <c r="P192" s="117"/>
      <c r="Q192" s="117"/>
      <c r="R192" s="117"/>
      <c r="S192" s="117"/>
      <c r="T192" s="117"/>
      <c r="U192" s="117"/>
      <c r="V192" s="117"/>
      <c r="W192" s="117"/>
      <c r="X192" s="117"/>
    </row>
    <row r="193" spans="1:24" x14ac:dyDescent="0.2">
      <c r="A193" s="17" t="s">
        <v>64</v>
      </c>
      <c r="B193" s="81" t="str">
        <f t="shared" si="115"/>
        <v>Q1/2019</v>
      </c>
      <c r="C193" s="82">
        <f t="shared" si="113"/>
        <v>43466</v>
      </c>
      <c r="D193" s="82">
        <f t="shared" si="114"/>
        <v>43555</v>
      </c>
      <c r="E193" s="81">
        <f t="shared" si="111"/>
        <v>90</v>
      </c>
      <c r="F193" s="83">
        <f>VLOOKUP(D193,'FERC Interest Rate'!$A:$B,2,TRUE)</f>
        <v>5.5296770000000002E-2</v>
      </c>
      <c r="G193" s="84">
        <f t="shared" si="112"/>
        <v>11136.254987365848</v>
      </c>
      <c r="H193" s="84">
        <v>0</v>
      </c>
      <c r="I193" s="109">
        <f t="shared" si="118"/>
        <v>34.817199376097811</v>
      </c>
      <c r="J193" s="85">
        <f t="shared" si="122"/>
        <v>151.8408322268356</v>
      </c>
      <c r="K193" s="129">
        <f t="shared" si="106"/>
        <v>186.65803160293342</v>
      </c>
      <c r="L193" s="85">
        <f t="shared" si="120"/>
        <v>1078.8082993604867</v>
      </c>
      <c r="M193" s="130">
        <f t="shared" si="107"/>
        <v>1265.4663309634202</v>
      </c>
      <c r="N193" s="8">
        <f t="shared" si="108"/>
        <v>11288.095819592683</v>
      </c>
      <c r="O193" s="84">
        <f t="shared" si="109"/>
        <v>10022.629488629265</v>
      </c>
      <c r="P193" s="117"/>
      <c r="Q193" s="117"/>
      <c r="R193" s="117"/>
      <c r="S193" s="117"/>
      <c r="T193" s="117"/>
      <c r="U193" s="117"/>
      <c r="V193" s="117"/>
      <c r="W193" s="117"/>
      <c r="X193" s="117"/>
    </row>
    <row r="194" spans="1:24" x14ac:dyDescent="0.2">
      <c r="A194" s="17" t="s">
        <v>65</v>
      </c>
      <c r="B194" s="81" t="str">
        <f t="shared" si="115"/>
        <v>Q2/2019</v>
      </c>
      <c r="C194" s="82">
        <f t="shared" si="113"/>
        <v>43556</v>
      </c>
      <c r="D194" s="82">
        <f t="shared" si="114"/>
        <v>43646</v>
      </c>
      <c r="E194" s="81">
        <f t="shared" si="111"/>
        <v>91</v>
      </c>
      <c r="F194" s="83">
        <f>VLOOKUP(D194,'FERC Interest Rate'!$A:$B,2,TRUE)</f>
        <v>5.7999999999999996E-2</v>
      </c>
      <c r="G194" s="84">
        <f t="shared" si="112"/>
        <v>10022.629488629265</v>
      </c>
      <c r="H194" s="84">
        <v>0</v>
      </c>
      <c r="I194" s="109">
        <f t="shared" si="118"/>
        <v>34.817199376097811</v>
      </c>
      <c r="J194" s="85">
        <f t="shared" si="122"/>
        <v>144.92996833146648</v>
      </c>
      <c r="K194" s="129">
        <f t="shared" si="106"/>
        <v>179.7471677075643</v>
      </c>
      <c r="L194" s="85">
        <f t="shared" si="120"/>
        <v>1078.8082993604867</v>
      </c>
      <c r="M194" s="130">
        <f t="shared" si="107"/>
        <v>1258.555467068051</v>
      </c>
      <c r="N194" s="8">
        <f t="shared" si="108"/>
        <v>10167.559456960731</v>
      </c>
      <c r="O194" s="84">
        <f t="shared" si="109"/>
        <v>8909.0039898926825</v>
      </c>
      <c r="P194" s="117"/>
      <c r="Q194" s="117"/>
      <c r="R194" s="117"/>
      <c r="S194" s="117"/>
      <c r="T194" s="117"/>
      <c r="U194" s="117"/>
      <c r="V194" s="117"/>
      <c r="W194" s="117"/>
      <c r="X194" s="117"/>
    </row>
    <row r="195" spans="1:24" x14ac:dyDescent="0.2">
      <c r="A195" s="17" t="s">
        <v>66</v>
      </c>
      <c r="B195" s="81" t="str">
        <f t="shared" si="115"/>
        <v>Q3/2019</v>
      </c>
      <c r="C195" s="82">
        <f t="shared" si="113"/>
        <v>43647</v>
      </c>
      <c r="D195" s="82">
        <f t="shared" si="114"/>
        <v>43738</v>
      </c>
      <c r="E195" s="81">
        <f t="shared" si="111"/>
        <v>92</v>
      </c>
      <c r="F195" s="83">
        <f>VLOOKUP(D195,'FERC Interest Rate'!$A:$B,2,TRUE)</f>
        <v>0.06</v>
      </c>
      <c r="G195" s="84">
        <f t="shared" si="112"/>
        <v>8909.0039898926825</v>
      </c>
      <c r="H195" s="84">
        <v>0</v>
      </c>
      <c r="I195" s="109">
        <f t="shared" si="118"/>
        <v>34.817199376097811</v>
      </c>
      <c r="J195" s="85">
        <f t="shared" si="122"/>
        <v>134.7334302033085</v>
      </c>
      <c r="K195" s="129">
        <f t="shared" si="106"/>
        <v>169.55062957940632</v>
      </c>
      <c r="L195" s="85">
        <f t="shared" si="120"/>
        <v>1078.8082993604867</v>
      </c>
      <c r="M195" s="130">
        <f t="shared" si="107"/>
        <v>1248.3589289398931</v>
      </c>
      <c r="N195" s="8">
        <f t="shared" si="108"/>
        <v>9043.7374200959912</v>
      </c>
      <c r="O195" s="84">
        <f t="shared" si="109"/>
        <v>7795.3784911560979</v>
      </c>
      <c r="P195" s="117"/>
      <c r="Q195" s="117"/>
      <c r="R195" s="117"/>
      <c r="S195" s="117"/>
      <c r="T195" s="117"/>
      <c r="U195" s="117"/>
      <c r="V195" s="117"/>
      <c r="W195" s="117"/>
      <c r="X195" s="117"/>
    </row>
    <row r="196" spans="1:24" x14ac:dyDescent="0.2">
      <c r="A196" s="17" t="s">
        <v>67</v>
      </c>
      <c r="B196" s="81" t="str">
        <f t="shared" si="115"/>
        <v>Q4/2019</v>
      </c>
      <c r="C196" s="82">
        <f t="shared" si="113"/>
        <v>43739</v>
      </c>
      <c r="D196" s="82">
        <f t="shared" si="114"/>
        <v>43830</v>
      </c>
      <c r="E196" s="81">
        <f t="shared" si="111"/>
        <v>92</v>
      </c>
      <c r="F196" s="83">
        <f>VLOOKUP(D196,'FERC Interest Rate'!$A:$B,2,TRUE)</f>
        <v>6.0349460000000001E-2</v>
      </c>
      <c r="G196" s="84">
        <f t="shared" si="112"/>
        <v>7795.3784911560979</v>
      </c>
      <c r="H196" s="84">
        <v>0</v>
      </c>
      <c r="I196" s="109">
        <f t="shared" si="118"/>
        <v>34.817199376097811</v>
      </c>
      <c r="J196" s="85">
        <f t="shared" si="122"/>
        <v>118.5783922854615</v>
      </c>
      <c r="K196" s="129">
        <f t="shared" si="106"/>
        <v>153.39559166155931</v>
      </c>
      <c r="L196" s="85">
        <f t="shared" si="120"/>
        <v>1078.8082993604867</v>
      </c>
      <c r="M196" s="130">
        <f t="shared" si="107"/>
        <v>1232.203891022046</v>
      </c>
      <c r="N196" s="8">
        <f t="shared" si="108"/>
        <v>7913.9568834415595</v>
      </c>
      <c r="O196" s="84">
        <f t="shared" si="109"/>
        <v>6681.7529924195132</v>
      </c>
      <c r="P196" s="117"/>
      <c r="Q196" s="117"/>
      <c r="R196" s="117"/>
      <c r="S196" s="117"/>
      <c r="T196" s="117"/>
      <c r="U196" s="117"/>
      <c r="V196" s="117"/>
      <c r="W196" s="117"/>
      <c r="X196" s="117"/>
    </row>
    <row r="197" spans="1:24" x14ac:dyDescent="0.2">
      <c r="A197" s="17" t="s">
        <v>68</v>
      </c>
      <c r="B197" s="81" t="str">
        <f t="shared" si="115"/>
        <v>Q1/2020</v>
      </c>
      <c r="C197" s="82">
        <f t="shared" si="113"/>
        <v>43831</v>
      </c>
      <c r="D197" s="82">
        <f t="shared" si="114"/>
        <v>43921</v>
      </c>
      <c r="E197" s="81">
        <f t="shared" si="111"/>
        <v>91</v>
      </c>
      <c r="F197" s="83">
        <f>VLOOKUP(D197,'FERC Interest Rate'!$A:$B,2,TRUE)</f>
        <v>6.2501040000000008E-2</v>
      </c>
      <c r="G197" s="84">
        <f t="shared" si="112"/>
        <v>6681.7529924195132</v>
      </c>
      <c r="H197" s="84">
        <v>0</v>
      </c>
      <c r="I197" s="109">
        <f t="shared" si="118"/>
        <v>34.817199376097811</v>
      </c>
      <c r="J197" s="85">
        <f t="shared" si="122"/>
        <v>103.83361340297593</v>
      </c>
      <c r="K197" s="129">
        <f t="shared" si="106"/>
        <v>138.65081277907373</v>
      </c>
      <c r="L197" s="85">
        <f t="shared" si="120"/>
        <v>1078.8082993604867</v>
      </c>
      <c r="M197" s="130">
        <f t="shared" si="107"/>
        <v>1217.4591121395604</v>
      </c>
      <c r="N197" s="8">
        <f t="shared" si="108"/>
        <v>6785.5866058224892</v>
      </c>
      <c r="O197" s="84">
        <f t="shared" si="109"/>
        <v>5568.1274936829286</v>
      </c>
      <c r="P197" s="117"/>
      <c r="Q197" s="117"/>
      <c r="R197" s="117"/>
      <c r="S197" s="117"/>
      <c r="T197" s="117"/>
      <c r="U197" s="117"/>
      <c r="V197" s="117"/>
      <c r="W197" s="117"/>
      <c r="X197" s="117"/>
    </row>
    <row r="198" spans="1:24" x14ac:dyDescent="0.2">
      <c r="A198" s="17" t="s">
        <v>69</v>
      </c>
      <c r="B198" s="81" t="str">
        <f t="shared" si="115"/>
        <v>Q2/2020</v>
      </c>
      <c r="C198" s="82">
        <f t="shared" si="113"/>
        <v>43922</v>
      </c>
      <c r="D198" s="82">
        <f t="shared" si="114"/>
        <v>44012</v>
      </c>
      <c r="E198" s="81">
        <f t="shared" si="111"/>
        <v>91</v>
      </c>
      <c r="F198" s="83">
        <f>VLOOKUP(D198,'FERC Interest Rate'!$A:$B,2,TRUE)</f>
        <v>6.3055559999999997E-2</v>
      </c>
      <c r="G198" s="84">
        <f t="shared" si="112"/>
        <v>5568.1274936829286</v>
      </c>
      <c r="H198" s="84">
        <v>0</v>
      </c>
      <c r="I198" s="109">
        <f t="shared" si="118"/>
        <v>34.817199376097811</v>
      </c>
      <c r="J198" s="85">
        <f t="shared" si="122"/>
        <v>87.295702598817456</v>
      </c>
      <c r="K198" s="129">
        <f t="shared" si="106"/>
        <v>122.11290197491527</v>
      </c>
      <c r="L198" s="85">
        <f t="shared" si="120"/>
        <v>1078.8082993604867</v>
      </c>
      <c r="M198" s="130">
        <f t="shared" si="107"/>
        <v>1200.921201335402</v>
      </c>
      <c r="N198" s="8">
        <f t="shared" si="108"/>
        <v>5655.4231962817457</v>
      </c>
      <c r="O198" s="84">
        <f t="shared" si="109"/>
        <v>4454.501994946344</v>
      </c>
      <c r="P198" s="117"/>
      <c r="Q198" s="117"/>
      <c r="R198" s="117"/>
      <c r="S198" s="117"/>
      <c r="T198" s="117"/>
      <c r="U198" s="117"/>
      <c r="V198" s="117"/>
      <c r="W198" s="117"/>
      <c r="X198" s="117"/>
    </row>
    <row r="199" spans="1:24" x14ac:dyDescent="0.2">
      <c r="A199" s="17" t="s">
        <v>70</v>
      </c>
      <c r="B199" s="81" t="str">
        <f t="shared" si="115"/>
        <v>Q3/2020</v>
      </c>
      <c r="C199" s="82">
        <f t="shared" si="113"/>
        <v>44013</v>
      </c>
      <c r="D199" s="82">
        <f t="shared" si="114"/>
        <v>44104</v>
      </c>
      <c r="E199" s="81">
        <f t="shared" si="111"/>
        <v>92</v>
      </c>
      <c r="F199" s="83">
        <f>VLOOKUP(D199,'FERC Interest Rate'!$A:$B,2,TRUE)</f>
        <v>6.5000000000000002E-2</v>
      </c>
      <c r="G199" s="84">
        <f t="shared" si="112"/>
        <v>4454.501994946344</v>
      </c>
      <c r="H199" s="84">
        <v>0</v>
      </c>
      <c r="I199" s="109">
        <f t="shared" si="118"/>
        <v>34.817199376097811</v>
      </c>
      <c r="J199" s="85">
        <f t="shared" si="122"/>
        <v>72.78120745841295</v>
      </c>
      <c r="K199" s="129">
        <f t="shared" si="106"/>
        <v>107.59840683451077</v>
      </c>
      <c r="L199" s="85">
        <f t="shared" si="120"/>
        <v>1078.8082993604867</v>
      </c>
      <c r="M199" s="130">
        <f t="shared" si="107"/>
        <v>1186.4067061949975</v>
      </c>
      <c r="N199" s="8">
        <f t="shared" si="108"/>
        <v>4527.2832024047566</v>
      </c>
      <c r="O199" s="84">
        <f t="shared" si="109"/>
        <v>3340.8764962097594</v>
      </c>
      <c r="P199" s="117"/>
      <c r="Q199" s="117"/>
      <c r="R199" s="117"/>
      <c r="S199" s="117"/>
      <c r="T199" s="117"/>
      <c r="U199" s="117"/>
      <c r="V199" s="117"/>
      <c r="W199" s="117"/>
      <c r="X199" s="117"/>
    </row>
    <row r="200" spans="1:24" x14ac:dyDescent="0.2">
      <c r="A200" s="17" t="s">
        <v>71</v>
      </c>
      <c r="B200" s="81" t="str">
        <f t="shared" si="115"/>
        <v>Q4/2020</v>
      </c>
      <c r="C200" s="82">
        <f t="shared" si="113"/>
        <v>44105</v>
      </c>
      <c r="D200" s="82">
        <f t="shared" si="114"/>
        <v>44196</v>
      </c>
      <c r="E200" s="81">
        <f t="shared" si="111"/>
        <v>92</v>
      </c>
      <c r="F200" s="83">
        <f>VLOOKUP(D200,'FERC Interest Rate'!$A:$B,2,TRUE)</f>
        <v>6.5000000000000002E-2</v>
      </c>
      <c r="G200" s="84">
        <f t="shared" si="112"/>
        <v>3340.8764962097594</v>
      </c>
      <c r="H200" s="84">
        <v>0</v>
      </c>
      <c r="I200" s="109">
        <f t="shared" si="118"/>
        <v>34.817199376097811</v>
      </c>
      <c r="J200" s="85">
        <f t="shared" si="122"/>
        <v>54.585905593809734</v>
      </c>
      <c r="K200" s="129">
        <f t="shared" si="106"/>
        <v>89.403104969907545</v>
      </c>
      <c r="L200" s="85">
        <f t="shared" si="120"/>
        <v>1078.8082993604867</v>
      </c>
      <c r="M200" s="130">
        <f t="shared" si="107"/>
        <v>1168.2114043303943</v>
      </c>
      <c r="N200" s="8">
        <f t="shared" si="108"/>
        <v>3395.4624018035693</v>
      </c>
      <c r="O200" s="84">
        <f t="shared" si="109"/>
        <v>2227.2509974731747</v>
      </c>
      <c r="P200" s="117"/>
      <c r="Q200" s="117"/>
      <c r="R200" s="117"/>
      <c r="S200" s="117"/>
      <c r="T200" s="117"/>
      <c r="U200" s="117"/>
      <c r="V200" s="117"/>
      <c r="W200" s="117"/>
      <c r="X200" s="117"/>
    </row>
    <row r="201" spans="1:24" x14ac:dyDescent="0.2">
      <c r="A201" s="17" t="s">
        <v>72</v>
      </c>
      <c r="B201" s="81" t="str">
        <f t="shared" si="115"/>
        <v>Q1/2021</v>
      </c>
      <c r="C201" s="82">
        <f t="shared" si="113"/>
        <v>44197</v>
      </c>
      <c r="D201" s="82">
        <f t="shared" si="114"/>
        <v>44286</v>
      </c>
      <c r="E201" s="81">
        <f t="shared" si="111"/>
        <v>90</v>
      </c>
      <c r="F201" s="83">
        <f>VLOOKUP(D201,'FERC Interest Rate'!$A:$B,2,TRUE)</f>
        <v>6.5000000000000002E-2</v>
      </c>
      <c r="G201" s="84">
        <f t="shared" si="112"/>
        <v>2227.2509974731747</v>
      </c>
      <c r="H201" s="84">
        <v>0</v>
      </c>
      <c r="I201" s="109">
        <f t="shared" si="118"/>
        <v>34.817199376097811</v>
      </c>
      <c r="J201" s="85">
        <f t="shared" si="122"/>
        <v>35.697036534844031</v>
      </c>
      <c r="K201" s="129">
        <f t="shared" si="106"/>
        <v>70.514235910941835</v>
      </c>
      <c r="L201" s="85">
        <f t="shared" si="120"/>
        <v>1078.8082993604867</v>
      </c>
      <c r="M201" s="130">
        <f t="shared" si="107"/>
        <v>1149.3225352714285</v>
      </c>
      <c r="N201" s="8">
        <f t="shared" si="108"/>
        <v>2262.9480340080186</v>
      </c>
      <c r="O201" s="84">
        <f t="shared" si="109"/>
        <v>1113.6254987365903</v>
      </c>
      <c r="P201" s="117"/>
      <c r="Q201" s="117"/>
      <c r="R201" s="117"/>
      <c r="S201" s="117"/>
      <c r="T201" s="117"/>
      <c r="U201" s="117"/>
      <c r="V201" s="117"/>
      <c r="W201" s="117"/>
      <c r="X201" s="117"/>
    </row>
    <row r="202" spans="1:24" x14ac:dyDescent="0.2">
      <c r="A202" s="17" t="s">
        <v>73</v>
      </c>
      <c r="B202" s="81" t="str">
        <f t="shared" si="115"/>
        <v>Q2/2021</v>
      </c>
      <c r="C202" s="82">
        <f t="shared" si="113"/>
        <v>44287</v>
      </c>
      <c r="D202" s="82">
        <f t="shared" si="114"/>
        <v>44377</v>
      </c>
      <c r="E202" s="81">
        <f t="shared" si="111"/>
        <v>91</v>
      </c>
      <c r="F202" s="83">
        <f>VLOOKUP(D202,'FERC Interest Rate'!$A:$B,2,TRUE)</f>
        <v>6.5000000000000002E-2</v>
      </c>
      <c r="G202" s="84">
        <f t="shared" si="112"/>
        <v>1113.6254987365903</v>
      </c>
      <c r="H202" s="84">
        <v>0</v>
      </c>
      <c r="I202" s="109">
        <f t="shared" si="118"/>
        <v>34.817199376097811</v>
      </c>
      <c r="J202" s="85">
        <f t="shared" si="122"/>
        <v>18.046835137060089</v>
      </c>
      <c r="K202" s="129">
        <f t="shared" si="106"/>
        <v>52.864034513157904</v>
      </c>
      <c r="L202" s="85">
        <f t="shared" si="120"/>
        <v>1078.8082993604867</v>
      </c>
      <c r="M202" s="130">
        <f t="shared" si="107"/>
        <v>1131.6723338736447</v>
      </c>
      <c r="N202" s="8">
        <f t="shared" si="108"/>
        <v>1131.6723338736504</v>
      </c>
      <c r="O202" s="84">
        <f t="shared" si="109"/>
        <v>5.8335558605904225E-12</v>
      </c>
      <c r="P202" s="117"/>
      <c r="Q202" s="117"/>
      <c r="R202" s="117"/>
      <c r="S202" s="117"/>
      <c r="T202" s="117"/>
      <c r="U202" s="117"/>
      <c r="V202" s="117"/>
      <c r="W202" s="117"/>
      <c r="X202" s="117"/>
    </row>
    <row r="203" spans="1:24" x14ac:dyDescent="0.2">
      <c r="B203" s="81"/>
      <c r="C203" s="82"/>
      <c r="D203" s="82"/>
      <c r="E203" s="81"/>
      <c r="F203" s="83"/>
      <c r="G203" s="84"/>
      <c r="H203" s="84"/>
      <c r="I203" s="109"/>
      <c r="J203" s="85"/>
      <c r="K203" s="117"/>
      <c r="L203" s="85"/>
      <c r="M203" s="131"/>
      <c r="N203" s="117"/>
      <c r="O203" s="84"/>
      <c r="P203" s="117"/>
      <c r="Q203" s="117"/>
      <c r="R203" s="117"/>
      <c r="S203" s="117"/>
      <c r="T203" s="117"/>
      <c r="U203" s="117"/>
      <c r="V203" s="117"/>
      <c r="W203" s="117"/>
      <c r="X203" s="117"/>
    </row>
    <row r="204" spans="1:24" ht="13.5" thickBot="1" x14ac:dyDescent="0.25">
      <c r="A204" s="151"/>
      <c r="B204" s="152"/>
      <c r="C204" s="153"/>
      <c r="D204" s="153"/>
      <c r="E204" s="154"/>
      <c r="F204" s="152"/>
      <c r="G204" s="137">
        <f t="shared" ref="G204:O204" si="123">SUM(G180:G203)</f>
        <v>306115.28382541315</v>
      </c>
      <c r="H204" s="137">
        <f t="shared" si="123"/>
        <v>696.34398752195625</v>
      </c>
      <c r="I204" s="138">
        <f t="shared" si="123"/>
        <v>696.34398752195625</v>
      </c>
      <c r="J204" s="137">
        <f t="shared" si="123"/>
        <v>2533.512082575784</v>
      </c>
      <c r="K204" s="137">
        <f t="shared" si="123"/>
        <v>3229.8560700977391</v>
      </c>
      <c r="L204" s="137">
        <f t="shared" si="123"/>
        <v>21576.165987209744</v>
      </c>
      <c r="M204" s="139">
        <f t="shared" si="123"/>
        <v>24806.022057307473</v>
      </c>
      <c r="N204" s="137">
        <f t="shared" si="123"/>
        <v>309345.13989551086</v>
      </c>
      <c r="O204" s="137">
        <f t="shared" si="123"/>
        <v>284539.11783820338</v>
      </c>
      <c r="P204" s="117"/>
      <c r="Q204" s="117"/>
      <c r="R204" s="117"/>
      <c r="S204" s="117"/>
      <c r="T204" s="117"/>
      <c r="U204" s="117"/>
      <c r="V204" s="117"/>
      <c r="W204" s="117"/>
      <c r="X204" s="117"/>
    </row>
    <row r="205" spans="1:24" ht="14.25" thickTop="1" thickBot="1" x14ac:dyDescent="0.25">
      <c r="B205" s="117"/>
      <c r="C205" s="117"/>
      <c r="D205" s="117"/>
      <c r="E205" s="117"/>
      <c r="F205" s="117"/>
      <c r="G205" s="117"/>
      <c r="H205" s="117"/>
      <c r="I205" s="121"/>
      <c r="J205" s="122"/>
      <c r="K205" s="122"/>
      <c r="L205" s="122"/>
      <c r="M205" s="123"/>
      <c r="N205" s="117"/>
      <c r="O205" s="117"/>
      <c r="P205" s="117"/>
      <c r="Q205" s="117"/>
      <c r="R205" s="117"/>
      <c r="S205" s="117"/>
      <c r="T205" s="117"/>
      <c r="U205" s="117"/>
      <c r="V205" s="117"/>
      <c r="W205" s="117"/>
      <c r="X205" s="117"/>
    </row>
    <row r="206" spans="1:24" x14ac:dyDescent="0.2">
      <c r="B206" s="117"/>
      <c r="C206" s="117"/>
      <c r="D206" s="117"/>
      <c r="E206" s="117"/>
      <c r="F206" s="117"/>
      <c r="G206" s="117"/>
      <c r="H206" s="117"/>
      <c r="I206" s="117"/>
      <c r="J206" s="117"/>
      <c r="L206" s="117"/>
      <c r="N206" s="117"/>
      <c r="O206" s="117"/>
      <c r="P206" s="117"/>
      <c r="Q206" s="117"/>
      <c r="R206" s="117"/>
      <c r="S206" s="117"/>
      <c r="T206" s="117"/>
      <c r="U206" s="117"/>
      <c r="V206" s="117"/>
      <c r="W206" s="117"/>
      <c r="X206" s="117"/>
    </row>
  </sheetData>
  <mergeCells count="1">
    <mergeCell ref="A39:F39"/>
  </mergeCells>
  <pageMargins left="0.7" right="0.7" top="0.75" bottom="0.75" header="0.3" footer="0.3"/>
  <pageSetup scale="53" fitToHeight="0" orientation="landscape" r:id="rId1"/>
  <headerFooter alignWithMargins="0">
    <oddHeader>&amp;RTO2019 Annual Update
Attachment 4
WP Schedule 22
Page &amp;P of &amp;N</oddHeader>
    <oddFooter>&amp;R&amp;A</oddFooter>
  </headerFooter>
  <rowBreaks count="3" manualBreakCount="3">
    <brk id="65" max="14" man="1"/>
    <brk id="122" max="14" man="1"/>
    <brk id="177" max="14"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1"/>
  <sheetViews>
    <sheetView zoomScale="80" zoomScaleNormal="80" workbookViewId="0"/>
  </sheetViews>
  <sheetFormatPr defaultColWidth="9.140625" defaultRowHeight="12.75" x14ac:dyDescent="0.2"/>
  <cols>
    <col min="1" max="1" width="10.28515625" style="6" bestFit="1" customWidth="1"/>
    <col min="2" max="2" width="13.7109375" style="6" customWidth="1"/>
    <col min="3" max="4" width="12.7109375" style="6" customWidth="1"/>
    <col min="5" max="5" width="10" style="6" customWidth="1"/>
    <col min="6" max="6" width="12.5703125" style="6" customWidth="1"/>
    <col min="7" max="9" width="16.140625" style="6" customWidth="1"/>
    <col min="10" max="10" width="17.28515625" style="6" customWidth="1"/>
    <col min="11" max="15" width="16.140625" style="6" customWidth="1"/>
    <col min="16" max="16" width="16.140625" style="6" hidden="1" customWidth="1"/>
    <col min="17" max="17" width="11.7109375" style="6" bestFit="1" customWidth="1"/>
    <col min="18" max="16384" width="9.140625" style="6"/>
  </cols>
  <sheetData>
    <row r="1" spans="1:10" ht="38.25" x14ac:dyDescent="0.2">
      <c r="A1" s="101" t="s">
        <v>8</v>
      </c>
      <c r="B1" s="102" t="s">
        <v>88</v>
      </c>
      <c r="C1" s="101" t="s">
        <v>2</v>
      </c>
      <c r="D1" s="101" t="s">
        <v>1</v>
      </c>
      <c r="E1" s="102" t="s">
        <v>74</v>
      </c>
      <c r="F1" s="102" t="s">
        <v>48</v>
      </c>
    </row>
    <row r="2" spans="1:10" ht="12.75" customHeight="1" thickBot="1" x14ac:dyDescent="0.25">
      <c r="A2" s="195" t="s">
        <v>54</v>
      </c>
      <c r="B2" s="76">
        <v>41737</v>
      </c>
      <c r="C2" s="55">
        <v>196</v>
      </c>
      <c r="D2" s="264">
        <v>0</v>
      </c>
      <c r="E2" s="4">
        <v>0</v>
      </c>
      <c r="F2" s="7">
        <f>SUM(C2:E2)</f>
        <v>196</v>
      </c>
    </row>
    <row r="3" spans="1:10" ht="12.75" customHeight="1" x14ac:dyDescent="0.2">
      <c r="A3" s="195" t="s">
        <v>55</v>
      </c>
      <c r="B3" s="76">
        <v>41737</v>
      </c>
      <c r="C3" s="55">
        <v>261</v>
      </c>
      <c r="D3" s="264">
        <v>0</v>
      </c>
      <c r="E3" s="4">
        <v>0</v>
      </c>
      <c r="F3" s="7">
        <f t="shared" ref="F3:F23" si="0">SUM(C3:E3)</f>
        <v>261</v>
      </c>
      <c r="H3" s="57"/>
      <c r="I3" s="57"/>
      <c r="J3" s="57"/>
    </row>
    <row r="4" spans="1:10" ht="12.75" customHeight="1" x14ac:dyDescent="0.2">
      <c r="A4" s="195" t="s">
        <v>56</v>
      </c>
      <c r="B4" s="76">
        <v>41760</v>
      </c>
      <c r="C4" s="55">
        <v>446</v>
      </c>
      <c r="D4" s="264">
        <v>0</v>
      </c>
      <c r="E4" s="4">
        <v>0</v>
      </c>
      <c r="F4" s="7">
        <f t="shared" si="0"/>
        <v>446</v>
      </c>
      <c r="H4" s="78"/>
      <c r="I4" s="78"/>
      <c r="J4" s="78"/>
    </row>
    <row r="5" spans="1:10" ht="12.75" customHeight="1" x14ac:dyDescent="0.2">
      <c r="A5" s="195" t="s">
        <v>57</v>
      </c>
      <c r="B5" s="76">
        <v>41793</v>
      </c>
      <c r="C5" s="55">
        <v>344</v>
      </c>
      <c r="D5" s="264">
        <v>0</v>
      </c>
      <c r="E5" s="4">
        <v>0</v>
      </c>
      <c r="F5" s="7">
        <f t="shared" si="0"/>
        <v>344</v>
      </c>
      <c r="H5" s="47"/>
      <c r="I5" s="47"/>
      <c r="J5" s="47"/>
    </row>
    <row r="6" spans="1:10" ht="12.75" customHeight="1" x14ac:dyDescent="0.2">
      <c r="A6" s="195" t="s">
        <v>58</v>
      </c>
      <c r="B6" s="76">
        <v>41864</v>
      </c>
      <c r="C6" s="55">
        <v>569</v>
      </c>
      <c r="D6" s="264">
        <v>0</v>
      </c>
      <c r="E6" s="4">
        <v>0</v>
      </c>
      <c r="F6" s="7">
        <f t="shared" si="0"/>
        <v>569</v>
      </c>
      <c r="H6" s="46"/>
      <c r="I6" s="46"/>
      <c r="J6" s="46"/>
    </row>
    <row r="7" spans="1:10" x14ac:dyDescent="0.2">
      <c r="A7" s="195" t="s">
        <v>59</v>
      </c>
      <c r="B7" s="76">
        <v>41864</v>
      </c>
      <c r="C7" s="55">
        <v>709</v>
      </c>
      <c r="D7" s="264">
        <v>0</v>
      </c>
      <c r="E7" s="4">
        <v>0</v>
      </c>
      <c r="F7" s="7">
        <f t="shared" si="0"/>
        <v>709</v>
      </c>
      <c r="H7" s="46"/>
      <c r="I7" s="46"/>
      <c r="J7" s="46"/>
    </row>
    <row r="8" spans="1:10" x14ac:dyDescent="0.2">
      <c r="A8" s="195" t="s">
        <v>60</v>
      </c>
      <c r="B8" s="76">
        <v>41864</v>
      </c>
      <c r="C8" s="55">
        <v>860</v>
      </c>
      <c r="D8" s="264">
        <v>0</v>
      </c>
      <c r="E8" s="4">
        <v>0</v>
      </c>
      <c r="F8" s="7">
        <f t="shared" si="0"/>
        <v>860</v>
      </c>
      <c r="H8" s="1"/>
    </row>
    <row r="9" spans="1:10" x14ac:dyDescent="0.2">
      <c r="A9" s="195" t="s">
        <v>61</v>
      </c>
      <c r="B9" s="76">
        <v>41891</v>
      </c>
      <c r="C9" s="55">
        <v>1007</v>
      </c>
      <c r="D9" s="264">
        <v>0</v>
      </c>
      <c r="E9" s="4">
        <v>0</v>
      </c>
      <c r="F9" s="7">
        <f t="shared" si="0"/>
        <v>1007</v>
      </c>
      <c r="H9" s="46"/>
    </row>
    <row r="10" spans="1:10" x14ac:dyDescent="0.2">
      <c r="A10" s="195" t="s">
        <v>62</v>
      </c>
      <c r="B10" s="76">
        <v>41915</v>
      </c>
      <c r="C10" s="55">
        <v>1133</v>
      </c>
      <c r="D10" s="264">
        <v>0</v>
      </c>
      <c r="E10" s="4">
        <v>0</v>
      </c>
      <c r="F10" s="7">
        <f t="shared" si="0"/>
        <v>1133</v>
      </c>
      <c r="H10" s="46"/>
    </row>
    <row r="11" spans="1:10" x14ac:dyDescent="0.2">
      <c r="A11" s="195" t="s">
        <v>63</v>
      </c>
      <c r="B11" s="76">
        <v>41977</v>
      </c>
      <c r="C11" s="55">
        <v>1218</v>
      </c>
      <c r="D11" s="264">
        <v>0</v>
      </c>
      <c r="E11" s="4">
        <v>0</v>
      </c>
      <c r="F11" s="7">
        <f t="shared" si="0"/>
        <v>1218</v>
      </c>
      <c r="H11" s="46"/>
    </row>
    <row r="12" spans="1:10" x14ac:dyDescent="0.2">
      <c r="A12" s="195" t="s">
        <v>64</v>
      </c>
      <c r="B12" s="76">
        <v>42026</v>
      </c>
      <c r="C12" s="264">
        <v>1249</v>
      </c>
      <c r="D12" s="264">
        <v>0</v>
      </c>
      <c r="E12" s="4">
        <v>0</v>
      </c>
      <c r="F12" s="7">
        <f t="shared" si="0"/>
        <v>1249</v>
      </c>
      <c r="H12" s="46"/>
    </row>
    <row r="13" spans="1:10" x14ac:dyDescent="0.2">
      <c r="A13" s="195" t="s">
        <v>65</v>
      </c>
      <c r="B13" s="76">
        <v>42026</v>
      </c>
      <c r="C13" s="264">
        <v>1218</v>
      </c>
      <c r="D13" s="264">
        <v>0</v>
      </c>
      <c r="E13" s="4">
        <v>0</v>
      </c>
      <c r="F13" s="7">
        <f t="shared" si="0"/>
        <v>1218</v>
      </c>
      <c r="H13" s="46"/>
    </row>
    <row r="14" spans="1:10" x14ac:dyDescent="0.2">
      <c r="A14" s="195" t="s">
        <v>66</v>
      </c>
      <c r="B14" s="76">
        <v>42058</v>
      </c>
      <c r="C14" s="264">
        <v>1167</v>
      </c>
      <c r="D14" s="264">
        <v>0</v>
      </c>
      <c r="E14" s="4">
        <v>0</v>
      </c>
      <c r="F14" s="7">
        <f t="shared" si="0"/>
        <v>1167</v>
      </c>
      <c r="H14" s="46"/>
    </row>
    <row r="15" spans="1:10" x14ac:dyDescent="0.2">
      <c r="A15" s="195" t="s">
        <v>67</v>
      </c>
      <c r="B15" s="76">
        <v>42068</v>
      </c>
      <c r="C15" s="264">
        <v>1037</v>
      </c>
      <c r="D15" s="264">
        <v>0</v>
      </c>
      <c r="E15" s="4">
        <v>0</v>
      </c>
      <c r="F15" s="7">
        <f t="shared" si="0"/>
        <v>1037</v>
      </c>
      <c r="H15" s="15"/>
    </row>
    <row r="16" spans="1:10" x14ac:dyDescent="0.2">
      <c r="A16" s="195" t="s">
        <v>68</v>
      </c>
      <c r="B16" s="76">
        <v>42101</v>
      </c>
      <c r="C16" s="264">
        <v>886</v>
      </c>
      <c r="D16" s="264">
        <v>0</v>
      </c>
      <c r="E16" s="4">
        <v>0</v>
      </c>
      <c r="F16" s="7">
        <f t="shared" si="0"/>
        <v>886</v>
      </c>
      <c r="H16" s="15"/>
    </row>
    <row r="17" spans="1:16" x14ac:dyDescent="0.2">
      <c r="A17" s="195" t="s">
        <v>69</v>
      </c>
      <c r="B17" s="76">
        <v>42132</v>
      </c>
      <c r="C17" s="264">
        <v>731</v>
      </c>
      <c r="D17" s="264">
        <v>0</v>
      </c>
      <c r="E17" s="4">
        <v>0</v>
      </c>
      <c r="F17" s="7">
        <f t="shared" si="0"/>
        <v>731</v>
      </c>
      <c r="H17" s="15"/>
    </row>
    <row r="18" spans="1:16" x14ac:dyDescent="0.2">
      <c r="A18" s="195" t="s">
        <v>70</v>
      </c>
      <c r="B18" s="76">
        <v>42165</v>
      </c>
      <c r="C18" s="264">
        <v>586</v>
      </c>
      <c r="D18" s="264">
        <v>0</v>
      </c>
      <c r="E18" s="4">
        <v>0</v>
      </c>
      <c r="F18" s="7">
        <f t="shared" si="0"/>
        <v>586</v>
      </c>
      <c r="H18" s="15"/>
    </row>
    <row r="19" spans="1:16" x14ac:dyDescent="0.2">
      <c r="A19" s="195" t="s">
        <v>71</v>
      </c>
      <c r="B19" s="76">
        <v>42263</v>
      </c>
      <c r="C19" s="264">
        <v>460</v>
      </c>
      <c r="D19" s="264">
        <v>0</v>
      </c>
      <c r="E19" s="4">
        <v>0</v>
      </c>
      <c r="F19" s="7">
        <f t="shared" si="0"/>
        <v>460</v>
      </c>
    </row>
    <row r="20" spans="1:16" x14ac:dyDescent="0.2">
      <c r="A20" s="195" t="s">
        <v>72</v>
      </c>
      <c r="B20" s="76">
        <v>42263</v>
      </c>
      <c r="C20" s="264">
        <v>354</v>
      </c>
      <c r="D20" s="264">
        <v>0</v>
      </c>
      <c r="E20" s="4">
        <v>0</v>
      </c>
      <c r="F20" s="7">
        <f t="shared" si="0"/>
        <v>354</v>
      </c>
    </row>
    <row r="21" spans="1:16" x14ac:dyDescent="0.2">
      <c r="A21" s="195" t="s">
        <v>73</v>
      </c>
      <c r="B21" s="76">
        <v>42263</v>
      </c>
      <c r="C21" s="264">
        <v>269</v>
      </c>
      <c r="D21" s="264">
        <v>0</v>
      </c>
      <c r="E21" s="4">
        <v>0</v>
      </c>
      <c r="F21" s="7">
        <f t="shared" si="0"/>
        <v>269</v>
      </c>
    </row>
    <row r="22" spans="1:16" x14ac:dyDescent="0.2">
      <c r="A22" s="195" t="s">
        <v>76</v>
      </c>
      <c r="B22" s="76">
        <v>42279</v>
      </c>
      <c r="C22" s="264">
        <v>202</v>
      </c>
      <c r="D22" s="264">
        <v>0</v>
      </c>
      <c r="E22" s="4">
        <v>0</v>
      </c>
      <c r="F22" s="7">
        <f t="shared" si="0"/>
        <v>202</v>
      </c>
    </row>
    <row r="23" spans="1:16" ht="13.5" thickBot="1" x14ac:dyDescent="0.25">
      <c r="A23" s="195" t="s">
        <v>77</v>
      </c>
      <c r="B23" s="76">
        <v>42311</v>
      </c>
      <c r="C23" s="264">
        <v>151</v>
      </c>
      <c r="D23" s="264">
        <v>0</v>
      </c>
      <c r="E23" s="4">
        <v>0</v>
      </c>
      <c r="F23" s="7">
        <f t="shared" si="0"/>
        <v>151</v>
      </c>
    </row>
    <row r="24" spans="1:16" x14ac:dyDescent="0.2">
      <c r="B24" s="44" t="s">
        <v>0</v>
      </c>
      <c r="C24" s="124">
        <f>SUM(C2:C23)</f>
        <v>15053</v>
      </c>
      <c r="D24" s="124">
        <f>SUM(D2:D23)</f>
        <v>0</v>
      </c>
      <c r="E24" s="124">
        <f>SUM(E2:E23)</f>
        <v>0</v>
      </c>
      <c r="F24" s="124">
        <f>SUM(F2:F23)</f>
        <v>15053</v>
      </c>
      <c r="J24" s="159"/>
      <c r="K24" s="158" t="s">
        <v>14</v>
      </c>
      <c r="L24" s="250" t="s">
        <v>13</v>
      </c>
    </row>
    <row r="25" spans="1:16" x14ac:dyDescent="0.2">
      <c r="A25" s="17" t="s">
        <v>19</v>
      </c>
      <c r="B25" s="18" t="s">
        <v>22</v>
      </c>
      <c r="C25" s="8">
        <v>0</v>
      </c>
      <c r="D25" s="8">
        <v>0</v>
      </c>
      <c r="E25" s="8">
        <v>0</v>
      </c>
      <c r="F25" s="8">
        <f>SUM(C25:E25)</f>
        <v>0</v>
      </c>
      <c r="J25" s="156" t="s">
        <v>11</v>
      </c>
      <c r="K25" s="103">
        <v>42308</v>
      </c>
      <c r="L25" s="251">
        <v>42328</v>
      </c>
    </row>
    <row r="26" spans="1:16" ht="13.5" thickBot="1" x14ac:dyDescent="0.25">
      <c r="A26" s="17" t="s">
        <v>20</v>
      </c>
      <c r="B26" s="18" t="s">
        <v>22</v>
      </c>
      <c r="C26" s="8">
        <v>0</v>
      </c>
      <c r="D26" s="8">
        <v>0</v>
      </c>
      <c r="E26" s="8">
        <v>0</v>
      </c>
      <c r="F26" s="8">
        <f>SUM(C26:E26)</f>
        <v>0</v>
      </c>
      <c r="J26" s="157" t="s">
        <v>17</v>
      </c>
      <c r="K26" s="104">
        <v>42340</v>
      </c>
      <c r="L26" s="252">
        <v>42369</v>
      </c>
    </row>
    <row r="27" spans="1:16" ht="13.5" thickBot="1" x14ac:dyDescent="0.25">
      <c r="B27" s="44" t="s">
        <v>52</v>
      </c>
      <c r="C27" s="79">
        <f>+SUM(C24:C26)</f>
        <v>15053</v>
      </c>
      <c r="D27" s="79">
        <f>+SUM(D24:D26)</f>
        <v>0</v>
      </c>
      <c r="E27" s="79">
        <f>+SUM(E24:E26)</f>
        <v>0</v>
      </c>
      <c r="F27" s="79">
        <f>+SUM(F24:F26)</f>
        <v>15053</v>
      </c>
    </row>
    <row r="28" spans="1:16" ht="14.25" thickTop="1" thickBot="1" x14ac:dyDescent="0.25">
      <c r="B28" s="44"/>
      <c r="C28" s="13"/>
      <c r="D28" s="13"/>
      <c r="E28" s="13"/>
      <c r="F28" s="13"/>
    </row>
    <row r="29" spans="1:16" x14ac:dyDescent="0.2">
      <c r="B29" s="43"/>
      <c r="C29" s="5"/>
      <c r="D29" s="17"/>
      <c r="I29" s="143"/>
      <c r="J29" s="128"/>
      <c r="K29" s="128"/>
      <c r="L29" s="128"/>
      <c r="M29" s="108"/>
    </row>
    <row r="30" spans="1:16" ht="36.75" x14ac:dyDescent="0.2">
      <c r="A30" s="90" t="s">
        <v>53</v>
      </c>
      <c r="B30" s="90" t="s">
        <v>3</v>
      </c>
      <c r="C30" s="90" t="s">
        <v>4</v>
      </c>
      <c r="D30" s="90" t="s">
        <v>5</v>
      </c>
      <c r="E30" s="90" t="s">
        <v>6</v>
      </c>
      <c r="F30" s="90" t="s">
        <v>7</v>
      </c>
      <c r="G30" s="90" t="s">
        <v>80</v>
      </c>
      <c r="H30" s="90" t="s">
        <v>81</v>
      </c>
      <c r="I30" s="105" t="s">
        <v>82</v>
      </c>
      <c r="J30" s="106" t="s">
        <v>83</v>
      </c>
      <c r="K30" s="106" t="s">
        <v>84</v>
      </c>
      <c r="L30" s="106" t="s">
        <v>85</v>
      </c>
      <c r="M30" s="107" t="s">
        <v>75</v>
      </c>
      <c r="N30" s="90" t="s">
        <v>86</v>
      </c>
      <c r="O30" s="90" t="s">
        <v>87</v>
      </c>
      <c r="P30" s="170"/>
    </row>
    <row r="31" spans="1:16" x14ac:dyDescent="0.2">
      <c r="A31" s="309" t="s">
        <v>2</v>
      </c>
      <c r="B31" s="318"/>
      <c r="C31" s="282">
        <f>$L$25</f>
        <v>42328</v>
      </c>
      <c r="D31" s="282">
        <f>DATE(YEAR(C31),IF(MONTH(C31)&lt;=3,3,IF(MONTH(C31)&lt;=6,6,IF(MONTH(C31)&lt;=9,9,12))),IF(OR(MONTH(C31)&lt;=3,MONTH(C31)&gt;=10),31,30))</f>
        <v>42369</v>
      </c>
      <c r="E31" s="283">
        <f>D31-C31+1</f>
        <v>42</v>
      </c>
      <c r="F31" s="284">
        <f>VLOOKUP(D31,'FERC Interest Rate'!$A:$B,2,TRUE)</f>
        <v>3.2500000000000001E-2</v>
      </c>
      <c r="G31" s="167">
        <f>$C$24</f>
        <v>15053</v>
      </c>
      <c r="H31" s="167">
        <f>G31*F31*(E31/(DATE(YEAR(D31),12,31)-DATE(YEAR(D31),1,1)+1))</f>
        <v>56.294095890410958</v>
      </c>
      <c r="I31" s="285">
        <v>0</v>
      </c>
      <c r="J31" s="286">
        <v>0</v>
      </c>
      <c r="K31" s="288">
        <f>+SUM(I31:J31)</f>
        <v>0</v>
      </c>
      <c r="L31" s="286">
        <v>0</v>
      </c>
      <c r="M31" s="289">
        <f>+SUM(K31:L31)</f>
        <v>0</v>
      </c>
      <c r="N31" s="290">
        <f>+G31+H31+J31</f>
        <v>15109.294095890411</v>
      </c>
      <c r="O31" s="167">
        <f t="shared" ref="O31:O48" si="1">G31+H31-L31-I31</f>
        <v>15109.294095890411</v>
      </c>
      <c r="P31" s="167">
        <f>+N31-M31</f>
        <v>15109.294095890411</v>
      </c>
    </row>
    <row r="32" spans="1:16" x14ac:dyDescent="0.2">
      <c r="A32" s="96" t="s">
        <v>102</v>
      </c>
      <c r="B32" s="81" t="s">
        <v>110</v>
      </c>
      <c r="C32" s="82">
        <v>42370</v>
      </c>
      <c r="D32" s="82">
        <v>42643</v>
      </c>
      <c r="E32" s="81">
        <f>D32-C32+1</f>
        <v>274</v>
      </c>
      <c r="F32" s="83">
        <f>VLOOKUP(D32,'FERC Interest Rate'!$A:$B,2,TRUE)</f>
        <v>3.5000000000000003E-2</v>
      </c>
      <c r="G32" s="84">
        <f t="shared" ref="G32:G48" si="2">O31</f>
        <v>15109.294095890411</v>
      </c>
      <c r="H32" s="84">
        <v>0</v>
      </c>
      <c r="I32" s="109">
        <f>SUM($H$31:$H$49)/20*4</f>
        <v>11.258819178082192</v>
      </c>
      <c r="J32" s="85">
        <f>G32*F32*(E32/(DATE(YEAR(D32),12,31)-DATE(YEAR(D32),1,1)+1))*4</f>
        <v>1583.5861243670938</v>
      </c>
      <c r="K32" s="129">
        <f t="shared" ref="K32:K48" si="3">+SUM(I32:J32)</f>
        <v>1594.844943545176</v>
      </c>
      <c r="L32" s="85">
        <f>$C$24/20*4</f>
        <v>3010.6</v>
      </c>
      <c r="M32" s="130">
        <f t="shared" ref="M32:M48" si="4">+SUM(K32:L32)</f>
        <v>4605.4449435451761</v>
      </c>
      <c r="N32" s="8">
        <f>+G32+H32+J32</f>
        <v>16692.880220257506</v>
      </c>
      <c r="O32" s="84">
        <f t="shared" si="1"/>
        <v>12087.435276712329</v>
      </c>
      <c r="P32" s="84">
        <f t="shared" ref="P32:P48" si="5">+N32-M32</f>
        <v>12087.435276712331</v>
      </c>
    </row>
    <row r="33" spans="1:16" x14ac:dyDescent="0.2">
      <c r="A33" s="17" t="s">
        <v>58</v>
      </c>
      <c r="B33" s="81" t="str">
        <f t="shared" ref="B33:B48" si="6">+IF(MONTH(C33)&lt;4,"Q1",IF(MONTH(C33)&lt;7,"Q2",IF(MONTH(C33)&lt;10,"Q3","Q4")))&amp;"/"&amp;YEAR(C33)</f>
        <v>Q4/2016</v>
      </c>
      <c r="C33" s="82">
        <f t="shared" ref="C33:C48" si="7">D32+1</f>
        <v>42644</v>
      </c>
      <c r="D33" s="82">
        <f>EOMONTH(D32,3)</f>
        <v>42735</v>
      </c>
      <c r="E33" s="81">
        <f t="shared" ref="E33:E48" si="8">D33-C33+1</f>
        <v>92</v>
      </c>
      <c r="F33" s="83">
        <f>VLOOKUP(D33,'FERC Interest Rate'!$A:$B,2,TRUE)</f>
        <v>3.5000000000000003E-2</v>
      </c>
      <c r="G33" s="84">
        <f t="shared" si="2"/>
        <v>12087.435276712329</v>
      </c>
      <c r="H33" s="84">
        <v>0</v>
      </c>
      <c r="I33" s="109">
        <f t="shared" ref="I33:I48" si="9">SUM($H$31:$H$49)/20</f>
        <v>2.8147047945205479</v>
      </c>
      <c r="J33" s="85">
        <f t="shared" ref="J33:J48" si="10">G33*F33*(E33/(DATE(YEAR(D33),12,31)-DATE(YEAR(D33),1,1)+1))</f>
        <v>106.34300981151286</v>
      </c>
      <c r="K33" s="129">
        <f t="shared" si="3"/>
        <v>109.15771460603341</v>
      </c>
      <c r="L33" s="85">
        <f t="shared" ref="L33:L48" si="11">$C$24/20</f>
        <v>752.65</v>
      </c>
      <c r="M33" s="130">
        <f t="shared" si="4"/>
        <v>861.80771460603341</v>
      </c>
      <c r="N33" s="8">
        <f t="shared" ref="N33:N48" si="12">+G33+H33+J33</f>
        <v>12193.778286523842</v>
      </c>
      <c r="O33" s="84">
        <f t="shared" si="1"/>
        <v>11331.970571917809</v>
      </c>
      <c r="P33" s="84">
        <f t="shared" si="5"/>
        <v>11331.970571917809</v>
      </c>
    </row>
    <row r="34" spans="1:16" x14ac:dyDescent="0.2">
      <c r="A34" s="17" t="s">
        <v>59</v>
      </c>
      <c r="B34" s="81" t="str">
        <f t="shared" si="6"/>
        <v>Q1/2017</v>
      </c>
      <c r="C34" s="82">
        <f>D33+1</f>
        <v>42736</v>
      </c>
      <c r="D34" s="82">
        <f>EOMONTH(D33,3)</f>
        <v>42825</v>
      </c>
      <c r="E34" s="81">
        <f t="shared" si="8"/>
        <v>90</v>
      </c>
      <c r="F34" s="83">
        <f>VLOOKUP(D34,'FERC Interest Rate'!$A:$B,2,TRUE)</f>
        <v>3.5000000000000003E-2</v>
      </c>
      <c r="G34" s="84">
        <f>O33</f>
        <v>11331.970571917809</v>
      </c>
      <c r="H34" s="84">
        <v>0</v>
      </c>
      <c r="I34" s="109">
        <f t="shared" si="9"/>
        <v>2.8147047945205479</v>
      </c>
      <c r="J34" s="85">
        <f t="shared" si="10"/>
        <v>97.796458360386566</v>
      </c>
      <c r="K34" s="129">
        <f t="shared" si="3"/>
        <v>100.61116315490712</v>
      </c>
      <c r="L34" s="85">
        <f t="shared" si="11"/>
        <v>752.65</v>
      </c>
      <c r="M34" s="130">
        <f t="shared" si="4"/>
        <v>853.26116315490708</v>
      </c>
      <c r="N34" s="8">
        <f t="shared" si="12"/>
        <v>11429.767030278195</v>
      </c>
      <c r="O34" s="84">
        <f t="shared" si="1"/>
        <v>10576.505867123289</v>
      </c>
      <c r="P34" s="84">
        <f t="shared" si="5"/>
        <v>10576.505867123287</v>
      </c>
    </row>
    <row r="35" spans="1:16" x14ac:dyDescent="0.2">
      <c r="A35" s="17" t="s">
        <v>60</v>
      </c>
      <c r="B35" s="81" t="str">
        <f t="shared" si="6"/>
        <v>Q2/2017</v>
      </c>
      <c r="C35" s="82">
        <f t="shared" si="7"/>
        <v>42826</v>
      </c>
      <c r="D35" s="82">
        <f t="shared" ref="D35:D48" si="13">EOMONTH(D34,3)</f>
        <v>42916</v>
      </c>
      <c r="E35" s="81">
        <f t="shared" si="8"/>
        <v>91</v>
      </c>
      <c r="F35" s="83">
        <f>VLOOKUP(D35,'FERC Interest Rate'!$A:$B,2,TRUE)</f>
        <v>3.7100000000000001E-2</v>
      </c>
      <c r="G35" s="84">
        <f t="shared" si="2"/>
        <v>10576.505867123289</v>
      </c>
      <c r="H35" s="84">
        <v>0</v>
      </c>
      <c r="I35" s="109">
        <f t="shared" si="9"/>
        <v>2.8147047945205479</v>
      </c>
      <c r="J35" s="85">
        <f t="shared" si="10"/>
        <v>97.828332761629966</v>
      </c>
      <c r="K35" s="129">
        <f t="shared" si="3"/>
        <v>100.64303755615052</v>
      </c>
      <c r="L35" s="85">
        <f t="shared" si="11"/>
        <v>752.65</v>
      </c>
      <c r="M35" s="130">
        <f t="shared" si="4"/>
        <v>853.29303755615047</v>
      </c>
      <c r="N35" s="8">
        <f t="shared" si="12"/>
        <v>10674.334199884919</v>
      </c>
      <c r="O35" s="84">
        <f t="shared" si="1"/>
        <v>9821.0411623287691</v>
      </c>
      <c r="P35" s="84">
        <f t="shared" si="5"/>
        <v>9821.0411623287691</v>
      </c>
    </row>
    <row r="36" spans="1:16" x14ac:dyDescent="0.2">
      <c r="A36" s="17" t="s">
        <v>61</v>
      </c>
      <c r="B36" s="81" t="str">
        <f t="shared" si="6"/>
        <v>Q3/2017</v>
      </c>
      <c r="C36" s="82">
        <f t="shared" si="7"/>
        <v>42917</v>
      </c>
      <c r="D36" s="82">
        <f t="shared" si="13"/>
        <v>43008</v>
      </c>
      <c r="E36" s="81">
        <f t="shared" si="8"/>
        <v>92</v>
      </c>
      <c r="F36" s="83">
        <f>VLOOKUP(D36,'FERC Interest Rate'!$A:$B,2,TRUE)</f>
        <v>3.9600000000000003E-2</v>
      </c>
      <c r="G36" s="84">
        <f t="shared" si="2"/>
        <v>9821.0411623287691</v>
      </c>
      <c r="H36" s="84">
        <v>0</v>
      </c>
      <c r="I36" s="109">
        <f t="shared" si="9"/>
        <v>2.8147047945205479</v>
      </c>
      <c r="J36" s="85">
        <f t="shared" si="10"/>
        <v>98.027444281085423</v>
      </c>
      <c r="K36" s="129">
        <f t="shared" si="3"/>
        <v>100.84214907560597</v>
      </c>
      <c r="L36" s="85">
        <f t="shared" si="11"/>
        <v>752.65</v>
      </c>
      <c r="M36" s="130">
        <f t="shared" si="4"/>
        <v>853.49214907560599</v>
      </c>
      <c r="N36" s="8">
        <f t="shared" si="12"/>
        <v>9919.0686066098551</v>
      </c>
      <c r="O36" s="84">
        <f t="shared" si="1"/>
        <v>9065.5764575342491</v>
      </c>
      <c r="P36" s="84">
        <f t="shared" si="5"/>
        <v>9065.5764575342491</v>
      </c>
    </row>
    <row r="37" spans="1:16" x14ac:dyDescent="0.2">
      <c r="A37" s="17" t="s">
        <v>62</v>
      </c>
      <c r="B37" s="81" t="str">
        <f t="shared" si="6"/>
        <v>Q4/2017</v>
      </c>
      <c r="C37" s="82">
        <f t="shared" si="7"/>
        <v>43009</v>
      </c>
      <c r="D37" s="82">
        <f t="shared" si="13"/>
        <v>43100</v>
      </c>
      <c r="E37" s="81">
        <f t="shared" si="8"/>
        <v>92</v>
      </c>
      <c r="F37" s="83">
        <f>VLOOKUP(D37,'FERC Interest Rate'!$A:$B,2,TRUE)</f>
        <v>4.2099999999999999E-2</v>
      </c>
      <c r="G37" s="84">
        <f t="shared" si="2"/>
        <v>9065.5764575342491</v>
      </c>
      <c r="H37" s="84">
        <v>0</v>
      </c>
      <c r="I37" s="109">
        <f t="shared" si="9"/>
        <v>2.8147047945205479</v>
      </c>
      <c r="J37" s="85">
        <f t="shared" si="10"/>
        <v>96.199426672114129</v>
      </c>
      <c r="K37" s="129">
        <f t="shared" si="3"/>
        <v>99.01413146663468</v>
      </c>
      <c r="L37" s="85">
        <f t="shared" si="11"/>
        <v>752.65</v>
      </c>
      <c r="M37" s="130">
        <f t="shared" si="4"/>
        <v>851.66413146663467</v>
      </c>
      <c r="N37" s="8">
        <f t="shared" si="12"/>
        <v>9161.7758842063631</v>
      </c>
      <c r="O37" s="84">
        <f t="shared" si="1"/>
        <v>8310.1117527397291</v>
      </c>
      <c r="P37" s="84">
        <f t="shared" si="5"/>
        <v>8310.1117527397291</v>
      </c>
    </row>
    <row r="38" spans="1:16" x14ac:dyDescent="0.2">
      <c r="A38" s="17" t="s">
        <v>63</v>
      </c>
      <c r="B38" s="81" t="str">
        <f t="shared" si="6"/>
        <v>Q1/2018</v>
      </c>
      <c r="C38" s="82">
        <f t="shared" si="7"/>
        <v>43101</v>
      </c>
      <c r="D38" s="82">
        <f t="shared" si="13"/>
        <v>43190</v>
      </c>
      <c r="E38" s="81">
        <f t="shared" si="8"/>
        <v>90</v>
      </c>
      <c r="F38" s="83">
        <f>VLOOKUP(D38,'FERC Interest Rate'!$A:$B,2,TRUE)</f>
        <v>4.2500000000000003E-2</v>
      </c>
      <c r="G38" s="84">
        <f t="shared" si="2"/>
        <v>8310.1117527397291</v>
      </c>
      <c r="H38" s="84">
        <v>0</v>
      </c>
      <c r="I38" s="109">
        <f t="shared" si="9"/>
        <v>2.8147047945205479</v>
      </c>
      <c r="J38" s="85">
        <f t="shared" si="10"/>
        <v>87.085417682820449</v>
      </c>
      <c r="K38" s="129">
        <f t="shared" si="3"/>
        <v>89.900122477341</v>
      </c>
      <c r="L38" s="85">
        <f t="shared" si="11"/>
        <v>752.65</v>
      </c>
      <c r="M38" s="130">
        <f t="shared" si="4"/>
        <v>842.55012247734101</v>
      </c>
      <c r="N38" s="8">
        <f t="shared" si="12"/>
        <v>8397.1971704225489</v>
      </c>
      <c r="O38" s="84">
        <f t="shared" si="1"/>
        <v>7554.6470479452091</v>
      </c>
      <c r="P38" s="84">
        <f t="shared" si="5"/>
        <v>7554.6470479452082</v>
      </c>
    </row>
    <row r="39" spans="1:16" x14ac:dyDescent="0.2">
      <c r="A39" s="17" t="s">
        <v>64</v>
      </c>
      <c r="B39" s="81" t="str">
        <f t="shared" si="6"/>
        <v>Q2/2018</v>
      </c>
      <c r="C39" s="82">
        <f t="shared" si="7"/>
        <v>43191</v>
      </c>
      <c r="D39" s="82">
        <f t="shared" si="13"/>
        <v>43281</v>
      </c>
      <c r="E39" s="81">
        <f t="shared" si="8"/>
        <v>91</v>
      </c>
      <c r="F39" s="83">
        <f>VLOOKUP(D39,'FERC Interest Rate'!$A:$B,2,TRUE)</f>
        <v>4.4699999999999997E-2</v>
      </c>
      <c r="G39" s="84">
        <f t="shared" si="2"/>
        <v>7554.6470479452091</v>
      </c>
      <c r="H39" s="84">
        <v>0</v>
      </c>
      <c r="I39" s="109">
        <f t="shared" si="9"/>
        <v>2.8147047945205479</v>
      </c>
      <c r="J39" s="85">
        <f t="shared" si="10"/>
        <v>84.191884375141711</v>
      </c>
      <c r="K39" s="129">
        <f t="shared" si="3"/>
        <v>87.006589169662263</v>
      </c>
      <c r="L39" s="85">
        <f t="shared" si="11"/>
        <v>752.65</v>
      </c>
      <c r="M39" s="130">
        <f t="shared" si="4"/>
        <v>839.6565891696622</v>
      </c>
      <c r="N39" s="8">
        <f t="shared" si="12"/>
        <v>7638.838932320351</v>
      </c>
      <c r="O39" s="84">
        <f t="shared" si="1"/>
        <v>6799.1823431506891</v>
      </c>
      <c r="P39" s="84">
        <f t="shared" si="5"/>
        <v>6799.1823431506891</v>
      </c>
    </row>
    <row r="40" spans="1:16" x14ac:dyDescent="0.2">
      <c r="A40" s="17" t="s">
        <v>65</v>
      </c>
      <c r="B40" s="81" t="str">
        <f t="shared" si="6"/>
        <v>Q3/2018</v>
      </c>
      <c r="C40" s="82">
        <f t="shared" si="7"/>
        <v>43282</v>
      </c>
      <c r="D40" s="82">
        <f t="shared" si="13"/>
        <v>43373</v>
      </c>
      <c r="E40" s="81">
        <f t="shared" si="8"/>
        <v>92</v>
      </c>
      <c r="F40" s="83">
        <f>VLOOKUP(D40,'FERC Interest Rate'!$A:$B,2,TRUE)</f>
        <v>5.011111E-2</v>
      </c>
      <c r="G40" s="84">
        <f t="shared" si="2"/>
        <v>6799.1823431506891</v>
      </c>
      <c r="H40" s="84">
        <v>0</v>
      </c>
      <c r="I40" s="109">
        <f t="shared" si="9"/>
        <v>2.8147047945205479</v>
      </c>
      <c r="J40" s="85">
        <f t="shared" si="10"/>
        <v>85.878742017278739</v>
      </c>
      <c r="K40" s="129">
        <f t="shared" si="3"/>
        <v>88.693446811799291</v>
      </c>
      <c r="L40" s="85">
        <f t="shared" si="11"/>
        <v>752.65</v>
      </c>
      <c r="M40" s="130">
        <f t="shared" si="4"/>
        <v>841.34344681179925</v>
      </c>
      <c r="N40" s="8">
        <f t="shared" si="12"/>
        <v>6885.0610851679676</v>
      </c>
      <c r="O40" s="84">
        <f t="shared" si="1"/>
        <v>6043.7176383561691</v>
      </c>
      <c r="P40" s="84">
        <f t="shared" si="5"/>
        <v>6043.7176383561682</v>
      </c>
    </row>
    <row r="41" spans="1:16" x14ac:dyDescent="0.2">
      <c r="A41" s="17" t="s">
        <v>66</v>
      </c>
      <c r="B41" s="81" t="str">
        <f t="shared" si="6"/>
        <v>Q4/2018</v>
      </c>
      <c r="C41" s="82">
        <f t="shared" si="7"/>
        <v>43374</v>
      </c>
      <c r="D41" s="82">
        <f t="shared" si="13"/>
        <v>43465</v>
      </c>
      <c r="E41" s="81">
        <f t="shared" si="8"/>
        <v>92</v>
      </c>
      <c r="F41" s="83">
        <f>VLOOKUP(D41,'FERC Interest Rate'!$A:$B,2,TRUE)</f>
        <v>5.2822580000000001E-2</v>
      </c>
      <c r="G41" s="84">
        <f t="shared" si="2"/>
        <v>6043.7176383561691</v>
      </c>
      <c r="H41" s="84">
        <v>0</v>
      </c>
      <c r="I41" s="109">
        <f t="shared" si="9"/>
        <v>2.8147047945205479</v>
      </c>
      <c r="J41" s="85">
        <f t="shared" si="10"/>
        <v>80.467171992745605</v>
      </c>
      <c r="K41" s="129">
        <f t="shared" si="3"/>
        <v>83.281876787266157</v>
      </c>
      <c r="L41" s="85">
        <f t="shared" si="11"/>
        <v>752.65</v>
      </c>
      <c r="M41" s="130">
        <f t="shared" si="4"/>
        <v>835.93187678726611</v>
      </c>
      <c r="N41" s="8">
        <f t="shared" si="12"/>
        <v>6124.1848103489147</v>
      </c>
      <c r="O41" s="84">
        <f t="shared" si="1"/>
        <v>5288.2529335616491</v>
      </c>
      <c r="P41" s="84">
        <f t="shared" si="5"/>
        <v>5288.2529335616482</v>
      </c>
    </row>
    <row r="42" spans="1:16" x14ac:dyDescent="0.2">
      <c r="A42" s="17" t="s">
        <v>67</v>
      </c>
      <c r="B42" s="81" t="str">
        <f t="shared" si="6"/>
        <v>Q1/2019</v>
      </c>
      <c r="C42" s="82">
        <f t="shared" si="7"/>
        <v>43466</v>
      </c>
      <c r="D42" s="82">
        <f t="shared" si="13"/>
        <v>43555</v>
      </c>
      <c r="E42" s="81">
        <f t="shared" si="8"/>
        <v>90</v>
      </c>
      <c r="F42" s="83">
        <f>VLOOKUP(D42,'FERC Interest Rate'!$A:$B,2,TRUE)</f>
        <v>5.5296770000000002E-2</v>
      </c>
      <c r="G42" s="84">
        <f t="shared" si="2"/>
        <v>5288.2529335616491</v>
      </c>
      <c r="H42" s="84">
        <v>0</v>
      </c>
      <c r="I42" s="109">
        <f t="shared" si="9"/>
        <v>2.8147047945205479</v>
      </c>
      <c r="J42" s="85">
        <f t="shared" si="10"/>
        <v>72.104376863585045</v>
      </c>
      <c r="K42" s="129">
        <f t="shared" si="3"/>
        <v>74.919081658105597</v>
      </c>
      <c r="L42" s="85">
        <f t="shared" si="11"/>
        <v>752.65</v>
      </c>
      <c r="M42" s="130">
        <f t="shared" si="4"/>
        <v>827.56908165810557</v>
      </c>
      <c r="N42" s="8">
        <f t="shared" si="12"/>
        <v>5360.3573104252346</v>
      </c>
      <c r="O42" s="84">
        <f t="shared" si="1"/>
        <v>4532.7882287671291</v>
      </c>
      <c r="P42" s="84">
        <f t="shared" si="5"/>
        <v>4532.7882287671291</v>
      </c>
    </row>
    <row r="43" spans="1:16" x14ac:dyDescent="0.2">
      <c r="A43" s="17" t="s">
        <v>68</v>
      </c>
      <c r="B43" s="81" t="str">
        <f t="shared" si="6"/>
        <v>Q2/2019</v>
      </c>
      <c r="C43" s="82">
        <f t="shared" si="7"/>
        <v>43556</v>
      </c>
      <c r="D43" s="82">
        <f t="shared" si="13"/>
        <v>43646</v>
      </c>
      <c r="E43" s="81">
        <f t="shared" si="8"/>
        <v>91</v>
      </c>
      <c r="F43" s="83">
        <f>VLOOKUP(D43,'FERC Interest Rate'!$A:$B,2,TRUE)</f>
        <v>5.7999999999999996E-2</v>
      </c>
      <c r="G43" s="84">
        <f t="shared" si="2"/>
        <v>4532.7882287671291</v>
      </c>
      <c r="H43" s="84">
        <v>0</v>
      </c>
      <c r="I43" s="109">
        <f t="shared" si="9"/>
        <v>2.8147047945205479</v>
      </c>
      <c r="J43" s="85">
        <f t="shared" si="10"/>
        <v>65.545359647761387</v>
      </c>
      <c r="K43" s="129">
        <f t="shared" si="3"/>
        <v>68.360064442281939</v>
      </c>
      <c r="L43" s="85">
        <f t="shared" si="11"/>
        <v>752.65</v>
      </c>
      <c r="M43" s="130">
        <f t="shared" si="4"/>
        <v>821.01006444228187</v>
      </c>
      <c r="N43" s="8">
        <f t="shared" si="12"/>
        <v>4598.3335884148901</v>
      </c>
      <c r="O43" s="84">
        <f t="shared" si="1"/>
        <v>3777.3235239726087</v>
      </c>
      <c r="P43" s="84">
        <f t="shared" si="5"/>
        <v>3777.3235239726082</v>
      </c>
    </row>
    <row r="44" spans="1:16" x14ac:dyDescent="0.2">
      <c r="A44" s="17" t="s">
        <v>69</v>
      </c>
      <c r="B44" s="81" t="str">
        <f t="shared" si="6"/>
        <v>Q3/2019</v>
      </c>
      <c r="C44" s="82">
        <f t="shared" si="7"/>
        <v>43647</v>
      </c>
      <c r="D44" s="82">
        <f t="shared" si="13"/>
        <v>43738</v>
      </c>
      <c r="E44" s="81">
        <f t="shared" si="8"/>
        <v>92</v>
      </c>
      <c r="F44" s="83">
        <f>VLOOKUP(D44,'FERC Interest Rate'!$A:$B,2,TRUE)</f>
        <v>0.06</v>
      </c>
      <c r="G44" s="84">
        <f t="shared" si="2"/>
        <v>3777.3235239726087</v>
      </c>
      <c r="H44" s="84">
        <v>0</v>
      </c>
      <c r="I44" s="109">
        <f t="shared" si="9"/>
        <v>2.8147047945205479</v>
      </c>
      <c r="J44" s="85">
        <f t="shared" si="10"/>
        <v>57.125550280352883</v>
      </c>
      <c r="K44" s="129">
        <f t="shared" si="3"/>
        <v>59.940255074873434</v>
      </c>
      <c r="L44" s="85">
        <f t="shared" si="11"/>
        <v>752.65</v>
      </c>
      <c r="M44" s="130">
        <f t="shared" si="4"/>
        <v>812.59025507487343</v>
      </c>
      <c r="N44" s="8">
        <f t="shared" si="12"/>
        <v>3834.4490742529615</v>
      </c>
      <c r="O44" s="84">
        <f t="shared" si="1"/>
        <v>3021.8588191780882</v>
      </c>
      <c r="P44" s="84">
        <f t="shared" si="5"/>
        <v>3021.8588191780882</v>
      </c>
    </row>
    <row r="45" spans="1:16" x14ac:dyDescent="0.2">
      <c r="A45" s="17" t="s">
        <v>70</v>
      </c>
      <c r="B45" s="81" t="str">
        <f t="shared" si="6"/>
        <v>Q4/2019</v>
      </c>
      <c r="C45" s="82">
        <f t="shared" si="7"/>
        <v>43739</v>
      </c>
      <c r="D45" s="82">
        <f t="shared" si="13"/>
        <v>43830</v>
      </c>
      <c r="E45" s="81">
        <f t="shared" si="8"/>
        <v>92</v>
      </c>
      <c r="F45" s="83">
        <f>VLOOKUP(D45,'FERC Interest Rate'!$A:$B,2,TRUE)</f>
        <v>6.0349460000000001E-2</v>
      </c>
      <c r="G45" s="84">
        <f t="shared" si="2"/>
        <v>3021.8588191780882</v>
      </c>
      <c r="H45" s="84">
        <v>0</v>
      </c>
      <c r="I45" s="109">
        <f t="shared" si="9"/>
        <v>2.8147047945205479</v>
      </c>
      <c r="J45" s="85">
        <f t="shared" si="10"/>
        <v>45.966614821628625</v>
      </c>
      <c r="K45" s="129">
        <f t="shared" si="3"/>
        <v>48.781319616149176</v>
      </c>
      <c r="L45" s="85">
        <f t="shared" si="11"/>
        <v>752.65</v>
      </c>
      <c r="M45" s="130">
        <f t="shared" si="4"/>
        <v>801.43131961614915</v>
      </c>
      <c r="N45" s="8">
        <f t="shared" si="12"/>
        <v>3067.825433999717</v>
      </c>
      <c r="O45" s="84">
        <f t="shared" si="1"/>
        <v>2266.3941143835677</v>
      </c>
      <c r="P45" s="84">
        <f t="shared" si="5"/>
        <v>2266.3941143835677</v>
      </c>
    </row>
    <row r="46" spans="1:16" x14ac:dyDescent="0.2">
      <c r="A46" s="17" t="s">
        <v>71</v>
      </c>
      <c r="B46" s="81" t="str">
        <f t="shared" si="6"/>
        <v>Q1/2020</v>
      </c>
      <c r="C46" s="82">
        <f t="shared" si="7"/>
        <v>43831</v>
      </c>
      <c r="D46" s="82">
        <f t="shared" si="13"/>
        <v>43921</v>
      </c>
      <c r="E46" s="81">
        <f t="shared" si="8"/>
        <v>91</v>
      </c>
      <c r="F46" s="83">
        <f>VLOOKUP(D46,'FERC Interest Rate'!$A:$B,2,TRUE)</f>
        <v>6.2501040000000008E-2</v>
      </c>
      <c r="G46" s="84">
        <f t="shared" si="2"/>
        <v>2266.3941143835677</v>
      </c>
      <c r="H46" s="84">
        <v>0</v>
      </c>
      <c r="I46" s="109">
        <f t="shared" si="9"/>
        <v>2.8147047945205479</v>
      </c>
      <c r="J46" s="85">
        <f t="shared" si="10"/>
        <v>35.219483653266472</v>
      </c>
      <c r="K46" s="129">
        <f t="shared" si="3"/>
        <v>38.034188447787017</v>
      </c>
      <c r="L46" s="85">
        <f t="shared" si="11"/>
        <v>752.65</v>
      </c>
      <c r="M46" s="130">
        <f t="shared" si="4"/>
        <v>790.68418844778694</v>
      </c>
      <c r="N46" s="8">
        <f t="shared" si="12"/>
        <v>2301.613598036834</v>
      </c>
      <c r="O46" s="84">
        <f t="shared" si="1"/>
        <v>1510.9294095890471</v>
      </c>
      <c r="P46" s="84">
        <f t="shared" si="5"/>
        <v>1510.9294095890471</v>
      </c>
    </row>
    <row r="47" spans="1:16" x14ac:dyDescent="0.2">
      <c r="A47" s="17" t="s">
        <v>72</v>
      </c>
      <c r="B47" s="81" t="str">
        <f t="shared" si="6"/>
        <v>Q2/2020</v>
      </c>
      <c r="C47" s="82">
        <f t="shared" si="7"/>
        <v>43922</v>
      </c>
      <c r="D47" s="82">
        <f t="shared" si="13"/>
        <v>44012</v>
      </c>
      <c r="E47" s="81">
        <f t="shared" si="8"/>
        <v>91</v>
      </c>
      <c r="F47" s="83">
        <f>VLOOKUP(D47,'FERC Interest Rate'!$A:$B,2,TRUE)</f>
        <v>6.3055559999999997E-2</v>
      </c>
      <c r="G47" s="84">
        <f t="shared" si="2"/>
        <v>1510.9294095890471</v>
      </c>
      <c r="H47" s="84">
        <v>0</v>
      </c>
      <c r="I47" s="109">
        <f t="shared" si="9"/>
        <v>2.8147047945205479</v>
      </c>
      <c r="J47" s="85">
        <f t="shared" si="10"/>
        <v>23.68797132194457</v>
      </c>
      <c r="K47" s="129">
        <f t="shared" si="3"/>
        <v>26.502676116465118</v>
      </c>
      <c r="L47" s="85">
        <f t="shared" si="11"/>
        <v>752.65</v>
      </c>
      <c r="M47" s="130">
        <f t="shared" si="4"/>
        <v>779.15267611646505</v>
      </c>
      <c r="N47" s="8">
        <f t="shared" si="12"/>
        <v>1534.6173809109916</v>
      </c>
      <c r="O47" s="84">
        <f t="shared" si="1"/>
        <v>755.46470479452648</v>
      </c>
      <c r="P47" s="84">
        <f t="shared" si="5"/>
        <v>755.4647047945266</v>
      </c>
    </row>
    <row r="48" spans="1:16" x14ac:dyDescent="0.2">
      <c r="A48" s="17" t="s">
        <v>73</v>
      </c>
      <c r="B48" s="81" t="str">
        <f t="shared" si="6"/>
        <v>Q3/2020</v>
      </c>
      <c r="C48" s="82">
        <f t="shared" si="7"/>
        <v>44013</v>
      </c>
      <c r="D48" s="82">
        <f t="shared" si="13"/>
        <v>44104</v>
      </c>
      <c r="E48" s="81">
        <f t="shared" si="8"/>
        <v>92</v>
      </c>
      <c r="F48" s="83">
        <f>VLOOKUP(D48,'FERC Interest Rate'!$A:$B,2,TRUE)</f>
        <v>6.5000000000000002E-2</v>
      </c>
      <c r="G48" s="84">
        <f t="shared" si="2"/>
        <v>755.46470479452648</v>
      </c>
      <c r="H48" s="84">
        <v>0</v>
      </c>
      <c r="I48" s="109">
        <f t="shared" si="9"/>
        <v>2.8147047945205479</v>
      </c>
      <c r="J48" s="85">
        <f t="shared" si="10"/>
        <v>12.343385067407839</v>
      </c>
      <c r="K48" s="129">
        <f t="shared" si="3"/>
        <v>15.158089861928387</v>
      </c>
      <c r="L48" s="85">
        <f t="shared" si="11"/>
        <v>752.65</v>
      </c>
      <c r="M48" s="130">
        <f t="shared" si="4"/>
        <v>767.80808986192835</v>
      </c>
      <c r="N48" s="8">
        <f t="shared" si="12"/>
        <v>767.80808986193438</v>
      </c>
      <c r="O48" s="84">
        <f t="shared" si="1"/>
        <v>5.9579008393484401E-12</v>
      </c>
      <c r="P48" s="84">
        <f t="shared" si="5"/>
        <v>6.0254023992456496E-12</v>
      </c>
    </row>
    <row r="49" spans="1:17" x14ac:dyDescent="0.2">
      <c r="B49" s="11"/>
      <c r="C49" s="125"/>
      <c r="D49" s="125"/>
      <c r="E49" s="10"/>
      <c r="F49" s="11"/>
      <c r="G49" s="85"/>
      <c r="H49" s="12"/>
      <c r="I49" s="115"/>
      <c r="J49" s="85"/>
      <c r="K49" s="117"/>
      <c r="L49" s="70"/>
      <c r="M49" s="131"/>
      <c r="O49" s="85"/>
      <c r="P49" s="85"/>
    </row>
    <row r="50" spans="1:17" ht="13.5" thickBot="1" x14ac:dyDescent="0.25">
      <c r="A50" s="151"/>
      <c r="B50" s="152"/>
      <c r="C50" s="155"/>
      <c r="D50" s="155"/>
      <c r="E50" s="154"/>
      <c r="F50" s="152"/>
      <c r="G50" s="140">
        <f t="shared" ref="G50:P50" si="14">+SUM(G31:G49)</f>
        <v>132905.49394794524</v>
      </c>
      <c r="H50" s="140">
        <f t="shared" si="14"/>
        <v>56.294095890410958</v>
      </c>
      <c r="I50" s="141">
        <f t="shared" si="14"/>
        <v>56.294095890410986</v>
      </c>
      <c r="J50" s="140">
        <f t="shared" si="14"/>
        <v>2729.3967539777564</v>
      </c>
      <c r="K50" s="140">
        <f t="shared" si="14"/>
        <v>2785.6908498681673</v>
      </c>
      <c r="L50" s="140">
        <f t="shared" si="14"/>
        <v>15052.999999999995</v>
      </c>
      <c r="M50" s="142">
        <f t="shared" si="14"/>
        <v>17838.69084986817</v>
      </c>
      <c r="N50" s="140">
        <f t="shared" si="14"/>
        <v>135691.18479781342</v>
      </c>
      <c r="O50" s="140">
        <f t="shared" si="14"/>
        <v>117852.49394794527</v>
      </c>
      <c r="P50" s="140">
        <f t="shared" si="14"/>
        <v>117852.49394794527</v>
      </c>
      <c r="Q50" s="8"/>
    </row>
    <row r="51" spans="1:17" ht="14.25" thickTop="1" thickBot="1" x14ac:dyDescent="0.25">
      <c r="I51" s="121"/>
      <c r="J51" s="122"/>
      <c r="K51" s="122"/>
      <c r="L51" s="122"/>
      <c r="M51" s="123"/>
    </row>
  </sheetData>
  <mergeCells count="1">
    <mergeCell ref="A31:B31"/>
  </mergeCells>
  <pageMargins left="0.7" right="0.7" top="0.75" bottom="0.75" header="0.3" footer="0.3"/>
  <pageSetup scale="57" fitToHeight="0" orientation="landscape" r:id="rId1"/>
  <headerFooter alignWithMargins="0">
    <oddHeader>&amp;RTO2019 Annual Update
Attachment 4
WP Schedule 22
Page &amp;P of &amp;N</oddHeader>
    <oddFooter>&amp;R&amp;A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5"/>
  <sheetViews>
    <sheetView topLeftCell="B1" zoomScale="80" zoomScaleNormal="80" workbookViewId="0">
      <selection activeCell="B1" sqref="B1"/>
    </sheetView>
  </sheetViews>
  <sheetFormatPr defaultColWidth="9.140625" defaultRowHeight="12.75" x14ac:dyDescent="0.2"/>
  <cols>
    <col min="1" max="1" width="10.28515625" style="6" bestFit="1" customWidth="1"/>
    <col min="2" max="2" width="13.28515625" style="6" bestFit="1" customWidth="1"/>
    <col min="3" max="3" width="15.42578125" style="6" customWidth="1"/>
    <col min="4" max="4" width="14.28515625" style="6" customWidth="1"/>
    <col min="5" max="5" width="9.7109375" style="6" bestFit="1" customWidth="1"/>
    <col min="6" max="7" width="16.140625" style="6" customWidth="1"/>
    <col min="8" max="8" width="16.85546875" style="6" bestFit="1" customWidth="1"/>
    <col min="9" max="9" width="16.140625" style="6" customWidth="1"/>
    <col min="10" max="10" width="17.28515625" style="6" customWidth="1"/>
    <col min="11" max="15" width="16.140625" style="6" customWidth="1"/>
    <col min="16" max="16384" width="9.140625" style="6"/>
  </cols>
  <sheetData>
    <row r="1" spans="1:16" ht="38.25" x14ac:dyDescent="0.2">
      <c r="A1" s="101" t="s">
        <v>8</v>
      </c>
      <c r="B1" s="102" t="s">
        <v>88</v>
      </c>
      <c r="C1" s="101" t="s">
        <v>2</v>
      </c>
      <c r="D1" s="101" t="s">
        <v>1</v>
      </c>
      <c r="E1" s="102" t="s">
        <v>74</v>
      </c>
      <c r="F1" s="102" t="s">
        <v>48</v>
      </c>
    </row>
    <row r="2" spans="1:16" ht="12.75" customHeight="1" thickBot="1" x14ac:dyDescent="0.25">
      <c r="A2" s="96" t="s">
        <v>54</v>
      </c>
      <c r="B2" s="3">
        <v>40689</v>
      </c>
      <c r="C2" s="4">
        <v>1266201</v>
      </c>
      <c r="D2" s="4">
        <v>0</v>
      </c>
      <c r="E2" s="4">
        <v>0</v>
      </c>
      <c r="F2" s="7">
        <f>SUM(C2:E2)</f>
        <v>1266201</v>
      </c>
    </row>
    <row r="3" spans="1:16" x14ac:dyDescent="0.2">
      <c r="B3" s="44" t="s">
        <v>0</v>
      </c>
      <c r="C3" s="124">
        <f>SUM(C2:C2)</f>
        <v>1266201</v>
      </c>
      <c r="D3" s="124">
        <f>SUM(D2:D2)</f>
        <v>0</v>
      </c>
      <c r="E3" s="124">
        <f>SUM(E2:E2)</f>
        <v>0</v>
      </c>
      <c r="F3" s="124">
        <f>SUM(F2:F2)</f>
        <v>1266201</v>
      </c>
      <c r="J3" s="159"/>
      <c r="K3" s="158" t="s">
        <v>14</v>
      </c>
      <c r="L3" s="250" t="s">
        <v>13</v>
      </c>
    </row>
    <row r="4" spans="1:16" x14ac:dyDescent="0.2">
      <c r="A4" s="17" t="s">
        <v>19</v>
      </c>
      <c r="B4" s="18" t="s">
        <v>22</v>
      </c>
      <c r="C4" s="8">
        <v>0</v>
      </c>
      <c r="D4" s="8">
        <v>0</v>
      </c>
      <c r="E4" s="8">
        <v>0</v>
      </c>
      <c r="F4" s="8">
        <f>SUM(C4:E4)</f>
        <v>0</v>
      </c>
      <c r="J4" s="156" t="s">
        <v>11</v>
      </c>
      <c r="K4" s="103">
        <v>41962</v>
      </c>
      <c r="L4" s="251">
        <f>K4</f>
        <v>41962</v>
      </c>
    </row>
    <row r="5" spans="1:16" ht="13.5" thickBot="1" x14ac:dyDescent="0.25">
      <c r="A5" s="17" t="s">
        <v>20</v>
      </c>
      <c r="B5" s="18" t="s">
        <v>22</v>
      </c>
      <c r="C5" s="8">
        <v>0</v>
      </c>
      <c r="D5" s="8">
        <v>0</v>
      </c>
      <c r="E5" s="8">
        <v>0</v>
      </c>
      <c r="F5" s="8">
        <f>SUM(C5:E5)</f>
        <v>0</v>
      </c>
      <c r="J5" s="157" t="s">
        <v>17</v>
      </c>
      <c r="K5" s="104">
        <v>42004</v>
      </c>
      <c r="L5" s="252">
        <v>42004</v>
      </c>
    </row>
    <row r="6" spans="1:16" ht="13.5" thickBot="1" x14ac:dyDescent="0.25">
      <c r="A6" s="44"/>
      <c r="B6" s="80" t="s">
        <v>52</v>
      </c>
      <c r="C6" s="79">
        <f>+SUM(C3:C5)</f>
        <v>1266201</v>
      </c>
      <c r="D6" s="79">
        <f>+SUM(D3:D5)</f>
        <v>0</v>
      </c>
      <c r="E6" s="79">
        <f>+SUM(E3:E5)</f>
        <v>0</v>
      </c>
      <c r="F6" s="79">
        <f>+SUM(F3:F5)</f>
        <v>1266201</v>
      </c>
    </row>
    <row r="7" spans="1:16" ht="14.25" thickTop="1" thickBot="1" x14ac:dyDescent="0.25">
      <c r="B7" s="44"/>
      <c r="C7" s="13"/>
      <c r="D7" s="13"/>
      <c r="E7" s="13"/>
      <c r="F7" s="13"/>
    </row>
    <row r="8" spans="1:16" x14ac:dyDescent="0.2">
      <c r="I8" s="143"/>
      <c r="J8" s="128"/>
      <c r="K8" s="128"/>
      <c r="L8" s="128"/>
      <c r="M8" s="108"/>
    </row>
    <row r="9" spans="1:16" ht="36.75" x14ac:dyDescent="0.2">
      <c r="A9" s="90" t="s">
        <v>53</v>
      </c>
      <c r="B9" s="90" t="s">
        <v>3</v>
      </c>
      <c r="C9" s="90" t="s">
        <v>4</v>
      </c>
      <c r="D9" s="90" t="s">
        <v>5</v>
      </c>
      <c r="E9" s="90" t="s">
        <v>6</v>
      </c>
      <c r="F9" s="90" t="s">
        <v>7</v>
      </c>
      <c r="G9" s="90" t="s">
        <v>80</v>
      </c>
      <c r="H9" s="90" t="s">
        <v>81</v>
      </c>
      <c r="I9" s="105" t="s">
        <v>82</v>
      </c>
      <c r="J9" s="106" t="s">
        <v>83</v>
      </c>
      <c r="K9" s="106" t="s">
        <v>84</v>
      </c>
      <c r="L9" s="106" t="s">
        <v>85</v>
      </c>
      <c r="M9" s="107" t="s">
        <v>75</v>
      </c>
      <c r="N9" s="90" t="s">
        <v>86</v>
      </c>
      <c r="O9" s="90" t="s">
        <v>87</v>
      </c>
    </row>
    <row r="10" spans="1:16" x14ac:dyDescent="0.2">
      <c r="A10" s="309" t="s">
        <v>2</v>
      </c>
      <c r="B10" s="309"/>
      <c r="C10" s="282">
        <f>$L$4</f>
        <v>41962</v>
      </c>
      <c r="D10" s="282">
        <f>DATE(YEAR(C10),IF(MONTH(C10)&lt;=3,3,IF(MONTH(C10)&lt;=6,6,IF(MONTH(C10)&lt;=9,9,12))),IF(OR(MONTH(C10)&lt;=3,MONTH(C10)&gt;=10),31,30))</f>
        <v>42004</v>
      </c>
      <c r="E10" s="283">
        <f>D10-C10+1</f>
        <v>43</v>
      </c>
      <c r="F10" s="284">
        <f>VLOOKUP(D10,'FERC Interest Rate'!$A:$B,2,TRUE)</f>
        <v>3.2500000000000001E-2</v>
      </c>
      <c r="G10" s="167">
        <f>$C$3</f>
        <v>1266201</v>
      </c>
      <c r="H10" s="167">
        <f>G10*F10*(E10/(DATE(YEAR(D10),12,31)-DATE(YEAR(D10),1,1)+1))</f>
        <v>4847.9887602739727</v>
      </c>
      <c r="I10" s="285">
        <v>0</v>
      </c>
      <c r="J10" s="286">
        <v>0</v>
      </c>
      <c r="K10" s="288">
        <f>+SUM(I10:J10)</f>
        <v>0</v>
      </c>
      <c r="L10" s="286">
        <v>0</v>
      </c>
      <c r="M10" s="289">
        <f>+SUM(K10:L10)</f>
        <v>0</v>
      </c>
      <c r="N10" s="290">
        <f>+G10+H10+J10</f>
        <v>1271048.9887602739</v>
      </c>
      <c r="O10" s="167">
        <f t="shared" ref="O10:O30" si="0">G10+H10-L10-I10</f>
        <v>1271048.9887602739</v>
      </c>
      <c r="P10" s="117"/>
    </row>
    <row r="11" spans="1:16" x14ac:dyDescent="0.2">
      <c r="A11" s="17" t="s">
        <v>54</v>
      </c>
      <c r="B11" s="81" t="str">
        <f t="shared" ref="B11:B30" si="1">+IF(MONTH(C11)&lt;4,"Q1",IF(MONTH(C11)&lt;7,"Q2",IF(MONTH(C11)&lt;10,"Q3","Q4")))&amp;"/"&amp;YEAR(C11)</f>
        <v>Q1/2015</v>
      </c>
      <c r="C11" s="82">
        <f>D10+1</f>
        <v>42005</v>
      </c>
      <c r="D11" s="82">
        <v>42035</v>
      </c>
      <c r="E11" s="81">
        <f>D11-C11+1</f>
        <v>31</v>
      </c>
      <c r="F11" s="83">
        <f>VLOOKUP(D11,'FERC Interest Rate'!$A:$B,2,TRUE)</f>
        <v>3.2500000000000001E-2</v>
      </c>
      <c r="G11" s="84">
        <f t="shared" ref="G11:G30" si="2">O10</f>
        <v>1271048.9887602739</v>
      </c>
      <c r="H11" s="84">
        <v>0</v>
      </c>
      <c r="I11" s="109">
        <f t="shared" ref="I11:I20" si="3">SUM($H$10:$H$31)/20</f>
        <v>242.39943801369864</v>
      </c>
      <c r="J11" s="85">
        <f>G11*F11*(E11/(DATE(YEAR(D11),12,31)-DATE(YEAR(D11),1,1)+1))</f>
        <v>3508.4434415780165</v>
      </c>
      <c r="K11" s="129">
        <f t="shared" ref="K11:K22" si="4">+SUM(I11:J11)</f>
        <v>3750.8428795917152</v>
      </c>
      <c r="L11" s="85">
        <f t="shared" ref="L11:L20" si="5">$C$3/20</f>
        <v>63310.05</v>
      </c>
      <c r="M11" s="130">
        <f t="shared" ref="M11:M22" si="6">+SUM(K11:L11)</f>
        <v>67060.892879591716</v>
      </c>
      <c r="N11" s="8">
        <f t="shared" ref="N11:N30" si="7">+G11+H11+J11</f>
        <v>1274557.4322018519</v>
      </c>
      <c r="O11" s="84">
        <f t="shared" si="0"/>
        <v>1207496.5393222601</v>
      </c>
      <c r="P11" s="117"/>
    </row>
    <row r="12" spans="1:16" x14ac:dyDescent="0.2">
      <c r="A12" s="17" t="s">
        <v>55</v>
      </c>
      <c r="B12" s="81" t="str">
        <f t="shared" si="1"/>
        <v>Q1/2015</v>
      </c>
      <c r="C12" s="82">
        <f>D11+1</f>
        <v>42036</v>
      </c>
      <c r="D12" s="82">
        <v>42094</v>
      </c>
      <c r="E12" s="81">
        <f>D12-C12+1</f>
        <v>59</v>
      </c>
      <c r="F12" s="83">
        <f>VLOOKUP(D12,'FERC Interest Rate'!$A:$B,2,TRUE)</f>
        <v>3.2500000000000001E-2</v>
      </c>
      <c r="G12" s="84">
        <f t="shared" si="2"/>
        <v>1207496.5393222601</v>
      </c>
      <c r="H12" s="84">
        <v>0</v>
      </c>
      <c r="I12" s="109">
        <f t="shared" si="3"/>
        <v>242.39943801369864</v>
      </c>
      <c r="J12" s="85">
        <f>G12*F12*(E12/(DATE(YEAR(D12),12,31)-DATE(YEAR(D12),1,1)+1))</f>
        <v>6343.4920935628325</v>
      </c>
      <c r="K12" s="129">
        <f t="shared" si="4"/>
        <v>6585.8915315765307</v>
      </c>
      <c r="L12" s="85">
        <f t="shared" si="5"/>
        <v>63310.05</v>
      </c>
      <c r="M12" s="130">
        <f t="shared" si="6"/>
        <v>69895.941531576536</v>
      </c>
      <c r="N12" s="8">
        <f t="shared" si="7"/>
        <v>1213840.0314158229</v>
      </c>
      <c r="O12" s="84">
        <f t="shared" si="0"/>
        <v>1143944.0898842462</v>
      </c>
    </row>
    <row r="13" spans="1:16" x14ac:dyDescent="0.2">
      <c r="A13" s="17" t="s">
        <v>56</v>
      </c>
      <c r="B13" s="81" t="str">
        <f t="shared" si="1"/>
        <v>Q2/2015</v>
      </c>
      <c r="C13" s="82">
        <f t="shared" ref="C13:C29" si="8">D12+1</f>
        <v>42095</v>
      </c>
      <c r="D13" s="82">
        <f t="shared" ref="D13:D30" si="9">EOMONTH(D12,3)</f>
        <v>42185</v>
      </c>
      <c r="E13" s="81">
        <f t="shared" ref="E13:E29" si="10">D13-C13+1</f>
        <v>91</v>
      </c>
      <c r="F13" s="83">
        <f>VLOOKUP(D13,'FERC Interest Rate'!$A:$B,2,TRUE)</f>
        <v>3.2500000000000001E-2</v>
      </c>
      <c r="G13" s="84">
        <f t="shared" si="2"/>
        <v>1143944.0898842462</v>
      </c>
      <c r="H13" s="84">
        <v>0</v>
      </c>
      <c r="I13" s="109">
        <f t="shared" si="3"/>
        <v>242.39943801369864</v>
      </c>
      <c r="J13" s="85">
        <f t="shared" ref="J13:J21" si="11">G13*F13*(E13/(DATE(YEAR(D13),12,31)-DATE(YEAR(D13),1,1)+1))</f>
        <v>9269.0812214593388</v>
      </c>
      <c r="K13" s="129">
        <f t="shared" si="4"/>
        <v>9511.480659473038</v>
      </c>
      <c r="L13" s="85">
        <f t="shared" si="5"/>
        <v>63310.05</v>
      </c>
      <c r="M13" s="130">
        <f t="shared" si="6"/>
        <v>72821.530659473035</v>
      </c>
      <c r="N13" s="8">
        <f t="shared" si="7"/>
        <v>1153213.1711057057</v>
      </c>
      <c r="O13" s="84">
        <f t="shared" si="0"/>
        <v>1080391.6404462324</v>
      </c>
    </row>
    <row r="14" spans="1:16" x14ac:dyDescent="0.2">
      <c r="A14" s="17" t="s">
        <v>57</v>
      </c>
      <c r="B14" s="81" t="str">
        <f t="shared" si="1"/>
        <v>Q3/2015</v>
      </c>
      <c r="C14" s="82">
        <f t="shared" si="8"/>
        <v>42186</v>
      </c>
      <c r="D14" s="82">
        <f t="shared" si="9"/>
        <v>42277</v>
      </c>
      <c r="E14" s="81">
        <f t="shared" si="10"/>
        <v>92</v>
      </c>
      <c r="F14" s="83">
        <f>VLOOKUP(D14,'FERC Interest Rate'!$A:$B,2,TRUE)</f>
        <v>3.2500000000000001E-2</v>
      </c>
      <c r="G14" s="84">
        <f t="shared" si="2"/>
        <v>1080391.6404462324</v>
      </c>
      <c r="H14" s="84">
        <v>0</v>
      </c>
      <c r="I14" s="109">
        <f t="shared" si="3"/>
        <v>242.39943801369864</v>
      </c>
      <c r="J14" s="85">
        <f t="shared" si="11"/>
        <v>8850.3315203677685</v>
      </c>
      <c r="K14" s="129">
        <f t="shared" si="4"/>
        <v>9092.7309583814676</v>
      </c>
      <c r="L14" s="85">
        <f t="shared" si="5"/>
        <v>63310.05</v>
      </c>
      <c r="M14" s="130">
        <f t="shared" si="6"/>
        <v>72402.780958381467</v>
      </c>
      <c r="N14" s="8">
        <f t="shared" si="7"/>
        <v>1089241.9719666003</v>
      </c>
      <c r="O14" s="84">
        <f t="shared" si="0"/>
        <v>1016839.1910082187</v>
      </c>
    </row>
    <row r="15" spans="1:16" x14ac:dyDescent="0.2">
      <c r="A15" s="17" t="s">
        <v>58</v>
      </c>
      <c r="B15" s="81" t="str">
        <f t="shared" si="1"/>
        <v>Q4/2015</v>
      </c>
      <c r="C15" s="82">
        <f t="shared" si="8"/>
        <v>42278</v>
      </c>
      <c r="D15" s="82">
        <f t="shared" si="9"/>
        <v>42369</v>
      </c>
      <c r="E15" s="81">
        <f t="shared" si="10"/>
        <v>92</v>
      </c>
      <c r="F15" s="83">
        <f>VLOOKUP(D15,'FERC Interest Rate'!$A:$B,2,TRUE)</f>
        <v>3.2500000000000001E-2</v>
      </c>
      <c r="G15" s="84">
        <f t="shared" si="2"/>
        <v>1016839.1910082187</v>
      </c>
      <c r="H15" s="84">
        <v>0</v>
      </c>
      <c r="I15" s="109">
        <f t="shared" si="3"/>
        <v>242.39943801369864</v>
      </c>
      <c r="J15" s="85">
        <f t="shared" si="11"/>
        <v>8329.7237838755464</v>
      </c>
      <c r="K15" s="129">
        <f t="shared" si="4"/>
        <v>8572.1232218892455</v>
      </c>
      <c r="L15" s="85">
        <f t="shared" si="5"/>
        <v>63310.05</v>
      </c>
      <c r="M15" s="130">
        <f t="shared" si="6"/>
        <v>71882.173221889243</v>
      </c>
      <c r="N15" s="8">
        <f t="shared" si="7"/>
        <v>1025168.9147920943</v>
      </c>
      <c r="O15" s="84">
        <f t="shared" si="0"/>
        <v>953286.74157020496</v>
      </c>
    </row>
    <row r="16" spans="1:16" x14ac:dyDescent="0.2">
      <c r="A16" s="17" t="s">
        <v>59</v>
      </c>
      <c r="B16" s="81" t="str">
        <f t="shared" si="1"/>
        <v>Q1/2016</v>
      </c>
      <c r="C16" s="82">
        <f t="shared" si="8"/>
        <v>42370</v>
      </c>
      <c r="D16" s="82">
        <f t="shared" si="9"/>
        <v>42460</v>
      </c>
      <c r="E16" s="81">
        <f t="shared" si="10"/>
        <v>91</v>
      </c>
      <c r="F16" s="83">
        <f>VLOOKUP(D16,'FERC Interest Rate'!$A:$B,2,TRUE)</f>
        <v>3.2500000000000001E-2</v>
      </c>
      <c r="G16" s="84">
        <f t="shared" si="2"/>
        <v>953286.74157020496</v>
      </c>
      <c r="H16" s="84">
        <v>0</v>
      </c>
      <c r="I16" s="109">
        <f t="shared" si="3"/>
        <v>242.39943801369864</v>
      </c>
      <c r="J16" s="85">
        <f t="shared" si="11"/>
        <v>7703.1298857756319</v>
      </c>
      <c r="K16" s="129">
        <f t="shared" si="4"/>
        <v>7945.5293237893302</v>
      </c>
      <c r="L16" s="85">
        <f t="shared" si="5"/>
        <v>63310.05</v>
      </c>
      <c r="M16" s="130">
        <f t="shared" si="6"/>
        <v>71255.579323789338</v>
      </c>
      <c r="N16" s="8">
        <f t="shared" si="7"/>
        <v>960989.87145598058</v>
      </c>
      <c r="O16" s="84">
        <f t="shared" si="0"/>
        <v>889734.29213219124</v>
      </c>
    </row>
    <row r="17" spans="1:15" x14ac:dyDescent="0.2">
      <c r="A17" s="17" t="s">
        <v>60</v>
      </c>
      <c r="B17" s="81" t="str">
        <f t="shared" si="1"/>
        <v>Q2/2016</v>
      </c>
      <c r="C17" s="82">
        <f t="shared" si="8"/>
        <v>42461</v>
      </c>
      <c r="D17" s="82">
        <f t="shared" si="9"/>
        <v>42551</v>
      </c>
      <c r="E17" s="81">
        <f t="shared" si="10"/>
        <v>91</v>
      </c>
      <c r="F17" s="83">
        <f>VLOOKUP(D17,'FERC Interest Rate'!$A:$B,2,TRUE)</f>
        <v>3.4599999999999999E-2</v>
      </c>
      <c r="G17" s="84">
        <f t="shared" si="2"/>
        <v>889734.29213219124</v>
      </c>
      <c r="H17" s="84">
        <v>0</v>
      </c>
      <c r="I17" s="109">
        <f t="shared" si="3"/>
        <v>242.39943801369864</v>
      </c>
      <c r="J17" s="85">
        <f t="shared" si="11"/>
        <v>7654.1458803481346</v>
      </c>
      <c r="K17" s="129">
        <f t="shared" si="4"/>
        <v>7896.5453183618329</v>
      </c>
      <c r="L17" s="85">
        <f t="shared" si="5"/>
        <v>63310.05</v>
      </c>
      <c r="M17" s="130">
        <f t="shared" si="6"/>
        <v>71206.59531836184</v>
      </c>
      <c r="N17" s="8">
        <f t="shared" si="7"/>
        <v>897388.43801253941</v>
      </c>
      <c r="O17" s="84">
        <f t="shared" si="0"/>
        <v>826181.84269417753</v>
      </c>
    </row>
    <row r="18" spans="1:15" x14ac:dyDescent="0.2">
      <c r="A18" s="17" t="s">
        <v>61</v>
      </c>
      <c r="B18" s="81" t="str">
        <f t="shared" si="1"/>
        <v>Q3/2016</v>
      </c>
      <c r="C18" s="82">
        <f t="shared" si="8"/>
        <v>42552</v>
      </c>
      <c r="D18" s="82">
        <f t="shared" si="9"/>
        <v>42643</v>
      </c>
      <c r="E18" s="81">
        <f t="shared" si="10"/>
        <v>92</v>
      </c>
      <c r="F18" s="83">
        <f>VLOOKUP(D18,'FERC Interest Rate'!$A:$B,2,TRUE)</f>
        <v>3.5000000000000003E-2</v>
      </c>
      <c r="G18" s="84">
        <f t="shared" si="2"/>
        <v>826181.84269417753</v>
      </c>
      <c r="H18" s="84">
        <v>0</v>
      </c>
      <c r="I18" s="109">
        <f t="shared" si="3"/>
        <v>242.39943801369864</v>
      </c>
      <c r="J18" s="85">
        <f t="shared" si="11"/>
        <v>7268.5943537575185</v>
      </c>
      <c r="K18" s="129">
        <f t="shared" si="4"/>
        <v>7510.9937917712168</v>
      </c>
      <c r="L18" s="85">
        <f t="shared" si="5"/>
        <v>63310.05</v>
      </c>
      <c r="M18" s="130">
        <f t="shared" si="6"/>
        <v>70821.043791771226</v>
      </c>
      <c r="N18" s="8">
        <f t="shared" si="7"/>
        <v>833450.43704793509</v>
      </c>
      <c r="O18" s="84">
        <f t="shared" si="0"/>
        <v>762629.39325616381</v>
      </c>
    </row>
    <row r="19" spans="1:15" x14ac:dyDescent="0.2">
      <c r="A19" s="17" t="s">
        <v>62</v>
      </c>
      <c r="B19" s="81" t="str">
        <f t="shared" si="1"/>
        <v>Q4/2016</v>
      </c>
      <c r="C19" s="82">
        <f t="shared" si="8"/>
        <v>42644</v>
      </c>
      <c r="D19" s="82">
        <f t="shared" si="9"/>
        <v>42735</v>
      </c>
      <c r="E19" s="81">
        <f t="shared" si="10"/>
        <v>92</v>
      </c>
      <c r="F19" s="83">
        <f>VLOOKUP(D19,'FERC Interest Rate'!$A:$B,2,TRUE)</f>
        <v>3.5000000000000003E-2</v>
      </c>
      <c r="G19" s="84">
        <f t="shared" si="2"/>
        <v>762629.39325616381</v>
      </c>
      <c r="H19" s="84">
        <v>0</v>
      </c>
      <c r="I19" s="109">
        <f t="shared" si="3"/>
        <v>242.39943801369864</v>
      </c>
      <c r="J19" s="85">
        <f t="shared" si="11"/>
        <v>6709.4717111607861</v>
      </c>
      <c r="K19" s="129">
        <f t="shared" si="4"/>
        <v>6951.8711491744843</v>
      </c>
      <c r="L19" s="85">
        <f t="shared" si="5"/>
        <v>63310.05</v>
      </c>
      <c r="M19" s="130">
        <f t="shared" si="6"/>
        <v>70261.921149174494</v>
      </c>
      <c r="N19" s="8">
        <f t="shared" si="7"/>
        <v>769338.86496732454</v>
      </c>
      <c r="O19" s="84">
        <f t="shared" si="0"/>
        <v>699076.94381815009</v>
      </c>
    </row>
    <row r="20" spans="1:15" x14ac:dyDescent="0.2">
      <c r="A20" s="17" t="s">
        <v>63</v>
      </c>
      <c r="B20" s="81" t="str">
        <f t="shared" si="1"/>
        <v>Q1/2017</v>
      </c>
      <c r="C20" s="82">
        <f t="shared" si="8"/>
        <v>42736</v>
      </c>
      <c r="D20" s="82">
        <f t="shared" si="9"/>
        <v>42825</v>
      </c>
      <c r="E20" s="81">
        <f t="shared" si="10"/>
        <v>90</v>
      </c>
      <c r="F20" s="83">
        <f>VLOOKUP(D20,'FERC Interest Rate'!$A:$B,2,TRUE)</f>
        <v>3.5000000000000003E-2</v>
      </c>
      <c r="G20" s="84">
        <f t="shared" si="2"/>
        <v>699076.94381815009</v>
      </c>
      <c r="H20" s="84">
        <v>0</v>
      </c>
      <c r="I20" s="109">
        <f t="shared" si="3"/>
        <v>242.39943801369864</v>
      </c>
      <c r="J20" s="85">
        <f t="shared" si="11"/>
        <v>6033.1297891155418</v>
      </c>
      <c r="K20" s="129">
        <f t="shared" si="4"/>
        <v>6275.5292271292401</v>
      </c>
      <c r="L20" s="85">
        <f t="shared" si="5"/>
        <v>63310.05</v>
      </c>
      <c r="M20" s="130">
        <f t="shared" si="6"/>
        <v>69585.579227129245</v>
      </c>
      <c r="N20" s="8">
        <f t="shared" si="7"/>
        <v>705110.0736072656</v>
      </c>
      <c r="O20" s="84">
        <f t="shared" si="0"/>
        <v>635524.49438013637</v>
      </c>
    </row>
    <row r="21" spans="1:15" x14ac:dyDescent="0.2">
      <c r="A21" s="17" t="s">
        <v>64</v>
      </c>
      <c r="B21" s="81" t="str">
        <f t="shared" si="1"/>
        <v>Q2/2017</v>
      </c>
      <c r="C21" s="82">
        <f t="shared" si="8"/>
        <v>42826</v>
      </c>
      <c r="D21" s="82">
        <f t="shared" si="9"/>
        <v>42916</v>
      </c>
      <c r="E21" s="81">
        <f t="shared" si="10"/>
        <v>91</v>
      </c>
      <c r="F21" s="83">
        <f>VLOOKUP(D21,'FERC Interest Rate'!$A:$B,2,TRUE)</f>
        <v>3.7100000000000001E-2</v>
      </c>
      <c r="G21" s="84">
        <f t="shared" si="2"/>
        <v>635524.49438013637</v>
      </c>
      <c r="H21" s="84">
        <v>0</v>
      </c>
      <c r="I21" s="109">
        <f>SUM($H$10:$H$31)/20*10</f>
        <v>2423.9943801369864</v>
      </c>
      <c r="J21" s="85">
        <f t="shared" si="11"/>
        <v>5878.3403985665163</v>
      </c>
      <c r="K21" s="129">
        <f t="shared" si="4"/>
        <v>8302.3347787035018</v>
      </c>
      <c r="L21" s="85">
        <f>$C$3/20*10</f>
        <v>633100.5</v>
      </c>
      <c r="M21" s="130">
        <f t="shared" si="6"/>
        <v>641402.83477870352</v>
      </c>
      <c r="N21" s="8">
        <f t="shared" si="7"/>
        <v>641402.83477870293</v>
      </c>
      <c r="O21" s="84">
        <f t="shared" si="0"/>
        <v>-6.1663740780204535E-10</v>
      </c>
    </row>
    <row r="22" spans="1:15" x14ac:dyDescent="0.2">
      <c r="A22" s="17" t="s">
        <v>65</v>
      </c>
      <c r="B22" s="81" t="str">
        <f t="shared" si="1"/>
        <v>Q3/2017</v>
      </c>
      <c r="C22" s="82">
        <f t="shared" si="8"/>
        <v>42917</v>
      </c>
      <c r="D22" s="82">
        <f t="shared" si="9"/>
        <v>43008</v>
      </c>
      <c r="E22" s="81">
        <f t="shared" si="10"/>
        <v>92</v>
      </c>
      <c r="F22" s="83">
        <f>VLOOKUP(D22,'FERC Interest Rate'!$A:$B,2,TRUE)</f>
        <v>3.9600000000000003E-2</v>
      </c>
      <c r="G22" s="84">
        <f t="shared" si="2"/>
        <v>-6.1663740780204535E-10</v>
      </c>
      <c r="H22" s="84">
        <v>0</v>
      </c>
      <c r="I22" s="109">
        <v>0</v>
      </c>
      <c r="J22" s="85">
        <v>0</v>
      </c>
      <c r="K22" s="129">
        <f t="shared" si="4"/>
        <v>0</v>
      </c>
      <c r="L22" s="85">
        <v>0</v>
      </c>
      <c r="M22" s="130">
        <f t="shared" si="6"/>
        <v>0</v>
      </c>
      <c r="N22" s="8">
        <f t="shared" si="7"/>
        <v>-6.1663740780204535E-10</v>
      </c>
      <c r="O22" s="84">
        <f t="shared" si="0"/>
        <v>-6.1663740780204535E-10</v>
      </c>
    </row>
    <row r="23" spans="1:15" x14ac:dyDescent="0.2">
      <c r="A23" s="17" t="s">
        <v>66</v>
      </c>
      <c r="B23" s="81" t="str">
        <f t="shared" si="1"/>
        <v>Q4/2017</v>
      </c>
      <c r="C23" s="82">
        <f t="shared" si="8"/>
        <v>43009</v>
      </c>
      <c r="D23" s="82">
        <f t="shared" si="9"/>
        <v>43100</v>
      </c>
      <c r="E23" s="81">
        <f t="shared" si="10"/>
        <v>92</v>
      </c>
      <c r="F23" s="83">
        <f>VLOOKUP(D23,'FERC Interest Rate'!$A:$B,2,TRUE)</f>
        <v>4.2099999999999999E-2</v>
      </c>
      <c r="G23" s="84">
        <f t="shared" si="2"/>
        <v>-6.1663740780204535E-10</v>
      </c>
      <c r="H23" s="84">
        <v>0</v>
      </c>
      <c r="I23" s="109">
        <v>0</v>
      </c>
      <c r="J23" s="85">
        <v>0</v>
      </c>
      <c r="K23" s="129">
        <f t="shared" ref="K23:K30" si="12">+SUM(I23:J23)</f>
        <v>0</v>
      </c>
      <c r="L23" s="85">
        <v>0</v>
      </c>
      <c r="M23" s="130">
        <f t="shared" ref="M23:M30" si="13">+SUM(K23:L23)</f>
        <v>0</v>
      </c>
      <c r="N23" s="8">
        <f t="shared" si="7"/>
        <v>-6.1663740780204535E-10</v>
      </c>
      <c r="O23" s="84">
        <f t="shared" si="0"/>
        <v>-6.1663740780204535E-10</v>
      </c>
    </row>
    <row r="24" spans="1:15" x14ac:dyDescent="0.2">
      <c r="A24" s="17" t="s">
        <v>67</v>
      </c>
      <c r="B24" s="81" t="str">
        <f t="shared" si="1"/>
        <v>Q1/2018</v>
      </c>
      <c r="C24" s="82">
        <f t="shared" si="8"/>
        <v>43101</v>
      </c>
      <c r="D24" s="82">
        <f t="shared" si="9"/>
        <v>43190</v>
      </c>
      <c r="E24" s="81">
        <f t="shared" si="10"/>
        <v>90</v>
      </c>
      <c r="F24" s="83">
        <f>VLOOKUP(D24,'FERC Interest Rate'!$A:$B,2,TRUE)</f>
        <v>4.2500000000000003E-2</v>
      </c>
      <c r="G24" s="84">
        <f t="shared" si="2"/>
        <v>-6.1663740780204535E-10</v>
      </c>
      <c r="H24" s="84">
        <v>0</v>
      </c>
      <c r="I24" s="109">
        <v>0</v>
      </c>
      <c r="J24" s="85">
        <v>0</v>
      </c>
      <c r="K24" s="129">
        <f t="shared" si="12"/>
        <v>0</v>
      </c>
      <c r="L24" s="85">
        <v>0</v>
      </c>
      <c r="M24" s="130">
        <f t="shared" si="13"/>
        <v>0</v>
      </c>
      <c r="N24" s="8">
        <f t="shared" si="7"/>
        <v>-6.1663740780204535E-10</v>
      </c>
      <c r="O24" s="84">
        <f t="shared" si="0"/>
        <v>-6.1663740780204535E-10</v>
      </c>
    </row>
    <row r="25" spans="1:15" x14ac:dyDescent="0.2">
      <c r="A25" s="17" t="s">
        <v>68</v>
      </c>
      <c r="B25" s="81" t="str">
        <f t="shared" si="1"/>
        <v>Q2/2018</v>
      </c>
      <c r="C25" s="82">
        <f t="shared" si="8"/>
        <v>43191</v>
      </c>
      <c r="D25" s="82">
        <f t="shared" si="9"/>
        <v>43281</v>
      </c>
      <c r="E25" s="81">
        <f t="shared" si="10"/>
        <v>91</v>
      </c>
      <c r="F25" s="83">
        <f>VLOOKUP(D25,'FERC Interest Rate'!$A:$B,2,TRUE)</f>
        <v>4.4699999999999997E-2</v>
      </c>
      <c r="G25" s="84">
        <f t="shared" si="2"/>
        <v>-6.1663740780204535E-10</v>
      </c>
      <c r="H25" s="84">
        <v>0</v>
      </c>
      <c r="I25" s="109">
        <v>0</v>
      </c>
      <c r="J25" s="85">
        <v>0</v>
      </c>
      <c r="K25" s="129">
        <f t="shared" si="12"/>
        <v>0</v>
      </c>
      <c r="L25" s="85">
        <v>0</v>
      </c>
      <c r="M25" s="130">
        <f t="shared" si="13"/>
        <v>0</v>
      </c>
      <c r="N25" s="8">
        <f t="shared" si="7"/>
        <v>-6.1663740780204535E-10</v>
      </c>
      <c r="O25" s="84">
        <f t="shared" si="0"/>
        <v>-6.1663740780204535E-10</v>
      </c>
    </row>
    <row r="26" spans="1:15" x14ac:dyDescent="0.2">
      <c r="A26" s="17" t="s">
        <v>69</v>
      </c>
      <c r="B26" s="81" t="str">
        <f t="shared" si="1"/>
        <v>Q3/2018</v>
      </c>
      <c r="C26" s="82">
        <f t="shared" si="8"/>
        <v>43282</v>
      </c>
      <c r="D26" s="82">
        <f t="shared" si="9"/>
        <v>43373</v>
      </c>
      <c r="E26" s="81">
        <f t="shared" si="10"/>
        <v>92</v>
      </c>
      <c r="F26" s="83">
        <f>VLOOKUP(D26,'FERC Interest Rate'!$A:$B,2,TRUE)</f>
        <v>5.011111E-2</v>
      </c>
      <c r="G26" s="84">
        <f t="shared" si="2"/>
        <v>-6.1663740780204535E-10</v>
      </c>
      <c r="H26" s="84">
        <v>0</v>
      </c>
      <c r="I26" s="109">
        <v>0</v>
      </c>
      <c r="J26" s="85">
        <v>0</v>
      </c>
      <c r="K26" s="129">
        <f t="shared" si="12"/>
        <v>0</v>
      </c>
      <c r="L26" s="85">
        <v>0</v>
      </c>
      <c r="M26" s="130">
        <f t="shared" si="13"/>
        <v>0</v>
      </c>
      <c r="N26" s="8">
        <f t="shared" si="7"/>
        <v>-6.1663740780204535E-10</v>
      </c>
      <c r="O26" s="84">
        <f t="shared" si="0"/>
        <v>-6.1663740780204535E-10</v>
      </c>
    </row>
    <row r="27" spans="1:15" x14ac:dyDescent="0.2">
      <c r="A27" s="17" t="s">
        <v>70</v>
      </c>
      <c r="B27" s="81" t="str">
        <f t="shared" si="1"/>
        <v>Q4/2018</v>
      </c>
      <c r="C27" s="82">
        <f t="shared" si="8"/>
        <v>43374</v>
      </c>
      <c r="D27" s="82">
        <f t="shared" si="9"/>
        <v>43465</v>
      </c>
      <c r="E27" s="81">
        <f t="shared" si="10"/>
        <v>92</v>
      </c>
      <c r="F27" s="83">
        <f>VLOOKUP(D27,'FERC Interest Rate'!$A:$B,2,TRUE)</f>
        <v>5.2822580000000001E-2</v>
      </c>
      <c r="G27" s="84">
        <f t="shared" si="2"/>
        <v>-6.1663740780204535E-10</v>
      </c>
      <c r="H27" s="84">
        <v>0</v>
      </c>
      <c r="I27" s="109">
        <v>0</v>
      </c>
      <c r="J27" s="85">
        <v>0</v>
      </c>
      <c r="K27" s="129">
        <f t="shared" si="12"/>
        <v>0</v>
      </c>
      <c r="L27" s="85">
        <v>0</v>
      </c>
      <c r="M27" s="130">
        <f t="shared" si="13"/>
        <v>0</v>
      </c>
      <c r="N27" s="8">
        <f t="shared" si="7"/>
        <v>-6.1663740780204535E-10</v>
      </c>
      <c r="O27" s="84">
        <f t="shared" si="0"/>
        <v>-6.1663740780204535E-10</v>
      </c>
    </row>
    <row r="28" spans="1:15" x14ac:dyDescent="0.2">
      <c r="A28" s="17" t="s">
        <v>71</v>
      </c>
      <c r="B28" s="81" t="str">
        <f t="shared" si="1"/>
        <v>Q1/2019</v>
      </c>
      <c r="C28" s="82">
        <f t="shared" si="8"/>
        <v>43466</v>
      </c>
      <c r="D28" s="82">
        <f t="shared" si="9"/>
        <v>43555</v>
      </c>
      <c r="E28" s="81">
        <f t="shared" si="10"/>
        <v>90</v>
      </c>
      <c r="F28" s="83">
        <f>VLOOKUP(D28,'FERC Interest Rate'!$A:$B,2,TRUE)</f>
        <v>5.5296770000000002E-2</v>
      </c>
      <c r="G28" s="84">
        <f t="shared" si="2"/>
        <v>-6.1663740780204535E-10</v>
      </c>
      <c r="H28" s="84">
        <v>0</v>
      </c>
      <c r="I28" s="109">
        <v>0</v>
      </c>
      <c r="J28" s="85">
        <v>0</v>
      </c>
      <c r="K28" s="129">
        <f t="shared" si="12"/>
        <v>0</v>
      </c>
      <c r="L28" s="85">
        <v>0</v>
      </c>
      <c r="M28" s="130">
        <f t="shared" si="13"/>
        <v>0</v>
      </c>
      <c r="N28" s="8">
        <f t="shared" si="7"/>
        <v>-6.1663740780204535E-10</v>
      </c>
      <c r="O28" s="84">
        <f t="shared" si="0"/>
        <v>-6.1663740780204535E-10</v>
      </c>
    </row>
    <row r="29" spans="1:15" x14ac:dyDescent="0.2">
      <c r="A29" s="17" t="s">
        <v>72</v>
      </c>
      <c r="B29" s="81" t="str">
        <f t="shared" si="1"/>
        <v>Q2/2019</v>
      </c>
      <c r="C29" s="82">
        <f t="shared" si="8"/>
        <v>43556</v>
      </c>
      <c r="D29" s="82">
        <f t="shared" si="9"/>
        <v>43646</v>
      </c>
      <c r="E29" s="81">
        <f t="shared" si="10"/>
        <v>91</v>
      </c>
      <c r="F29" s="83">
        <f>VLOOKUP(D29,'FERC Interest Rate'!$A:$B,2,TRUE)</f>
        <v>5.7999999999999996E-2</v>
      </c>
      <c r="G29" s="84">
        <f t="shared" si="2"/>
        <v>-6.1663740780204535E-10</v>
      </c>
      <c r="H29" s="84">
        <v>0</v>
      </c>
      <c r="I29" s="109">
        <v>0</v>
      </c>
      <c r="J29" s="85">
        <v>0</v>
      </c>
      <c r="K29" s="129">
        <f t="shared" si="12"/>
        <v>0</v>
      </c>
      <c r="L29" s="85">
        <v>0</v>
      </c>
      <c r="M29" s="130">
        <f t="shared" si="13"/>
        <v>0</v>
      </c>
      <c r="N29" s="8">
        <f t="shared" si="7"/>
        <v>-6.1663740780204535E-10</v>
      </c>
      <c r="O29" s="84">
        <f t="shared" si="0"/>
        <v>-6.1663740780204535E-10</v>
      </c>
    </row>
    <row r="30" spans="1:15" x14ac:dyDescent="0.2">
      <c r="A30" s="17" t="s">
        <v>73</v>
      </c>
      <c r="B30" s="81" t="str">
        <f t="shared" si="1"/>
        <v>Q3/2019</v>
      </c>
      <c r="C30" s="82">
        <f>D29+1</f>
        <v>43647</v>
      </c>
      <c r="D30" s="82">
        <f t="shared" si="9"/>
        <v>43738</v>
      </c>
      <c r="E30" s="81">
        <f>D30-C30+1</f>
        <v>92</v>
      </c>
      <c r="F30" s="83">
        <f>VLOOKUP(D30,'FERC Interest Rate'!$A:$B,2,TRUE)</f>
        <v>0.06</v>
      </c>
      <c r="G30" s="84">
        <f t="shared" si="2"/>
        <v>-6.1663740780204535E-10</v>
      </c>
      <c r="H30" s="84">
        <v>0</v>
      </c>
      <c r="I30" s="109">
        <v>0</v>
      </c>
      <c r="J30" s="85">
        <v>0</v>
      </c>
      <c r="K30" s="129">
        <f t="shared" si="12"/>
        <v>0</v>
      </c>
      <c r="L30" s="85">
        <v>0</v>
      </c>
      <c r="M30" s="130">
        <f t="shared" si="13"/>
        <v>0</v>
      </c>
      <c r="N30" s="8">
        <f t="shared" si="7"/>
        <v>-6.1663740780204535E-10</v>
      </c>
      <c r="O30" s="84">
        <f t="shared" si="0"/>
        <v>-6.1663740780204535E-10</v>
      </c>
    </row>
    <row r="31" spans="1:15" x14ac:dyDescent="0.2">
      <c r="B31" s="11"/>
      <c r="C31" s="125"/>
      <c r="D31" s="125"/>
      <c r="E31" s="10"/>
      <c r="F31" s="11"/>
      <c r="G31" s="85"/>
      <c r="H31" s="12"/>
      <c r="I31" s="115"/>
      <c r="J31" s="85"/>
      <c r="K31" s="117"/>
      <c r="L31" s="70"/>
      <c r="M31" s="131"/>
      <c r="O31" s="85"/>
    </row>
    <row r="32" spans="1:15" ht="13.5" thickBot="1" x14ac:dyDescent="0.25">
      <c r="A32" s="99"/>
      <c r="B32" s="133"/>
      <c r="C32" s="134"/>
      <c r="D32" s="134"/>
      <c r="E32" s="135"/>
      <c r="F32" s="136"/>
      <c r="G32" s="140">
        <f t="shared" ref="G32:O32" si="14">+SUM(G10:G31)</f>
        <v>11752355.157272257</v>
      </c>
      <c r="H32" s="140">
        <f t="shared" si="14"/>
        <v>4847.9887602739727</v>
      </c>
      <c r="I32" s="141">
        <f t="shared" si="14"/>
        <v>4847.9887602739727</v>
      </c>
      <c r="J32" s="140">
        <f t="shared" si="14"/>
        <v>77547.884079567637</v>
      </c>
      <c r="K32" s="140">
        <f t="shared" si="14"/>
        <v>82395.872839841599</v>
      </c>
      <c r="L32" s="140">
        <f t="shared" si="14"/>
        <v>1266201</v>
      </c>
      <c r="M32" s="142">
        <f t="shared" si="14"/>
        <v>1348596.8728398415</v>
      </c>
      <c r="N32" s="140">
        <f t="shared" si="14"/>
        <v>11834751.030112099</v>
      </c>
      <c r="O32" s="140">
        <f t="shared" si="14"/>
        <v>10486154.157272255</v>
      </c>
    </row>
    <row r="33" spans="1:15" ht="13.5" thickTop="1" x14ac:dyDescent="0.2">
      <c r="B33" s="117"/>
      <c r="C33" s="117"/>
      <c r="D33" s="117"/>
      <c r="E33" s="117"/>
      <c r="F33" s="117"/>
      <c r="G33" s="117"/>
      <c r="H33" s="117"/>
      <c r="I33" s="116"/>
      <c r="J33" s="129"/>
      <c r="K33" s="117"/>
      <c r="L33" s="117"/>
      <c r="M33" s="131"/>
      <c r="O33" s="129"/>
    </row>
    <row r="34" spans="1:15" ht="36.75" x14ac:dyDescent="0.2">
      <c r="A34" s="90" t="s">
        <v>53</v>
      </c>
      <c r="B34" s="90" t="s">
        <v>3</v>
      </c>
      <c r="C34" s="90" t="s">
        <v>4</v>
      </c>
      <c r="D34" s="90" t="s">
        <v>5</v>
      </c>
      <c r="E34" s="90" t="s">
        <v>6</v>
      </c>
      <c r="F34" s="90" t="s">
        <v>7</v>
      </c>
      <c r="G34" s="90" t="s">
        <v>80</v>
      </c>
      <c r="H34" s="90" t="s">
        <v>81</v>
      </c>
      <c r="I34" s="105" t="s">
        <v>82</v>
      </c>
      <c r="J34" s="106" t="s">
        <v>83</v>
      </c>
      <c r="K34" s="106" t="s">
        <v>84</v>
      </c>
      <c r="L34" s="106" t="s">
        <v>85</v>
      </c>
      <c r="M34" s="107" t="s">
        <v>75</v>
      </c>
      <c r="N34" s="90" t="s">
        <v>86</v>
      </c>
      <c r="O34" s="90" t="s">
        <v>87</v>
      </c>
    </row>
    <row r="35" spans="1:15" x14ac:dyDescent="0.2">
      <c r="B35" s="81"/>
      <c r="C35" s="82">
        <f>$B$2</f>
        <v>40689</v>
      </c>
      <c r="D35" s="82">
        <f>DATE(YEAR(C35),IF(MONTH(C35)&lt;=3,3,IF(MONTH(C35)&lt;=6,6,IF(MONTH(C35)&lt;=9,9,12))),IF(OR(MONTH(C35)&lt;=3,MONTH(C35)&gt;=10),31,30))</f>
        <v>40724</v>
      </c>
      <c r="E35" s="81">
        <f>D35-C35+1</f>
        <v>36</v>
      </c>
      <c r="F35" s="83">
        <f>VLOOKUP(D35,'FERC Interest Rate'!$A:$B,2,TRUE)</f>
        <v>3.2500000000000001E-2</v>
      </c>
      <c r="G35" s="84">
        <f>$E$2</f>
        <v>0</v>
      </c>
      <c r="H35" s="84">
        <f t="shared" ref="H35:H42" si="15">G35*F35*(E35/(DATE(YEAR(D35),12,31)-DATE(YEAR(D35),1,1)+1))</f>
        <v>0</v>
      </c>
      <c r="I35" s="109">
        <v>0</v>
      </c>
      <c r="J35" s="85">
        <v>0</v>
      </c>
      <c r="K35" s="129">
        <f t="shared" ref="K35:K62" si="16">+SUM(I35:J35)</f>
        <v>0</v>
      </c>
      <c r="L35" s="85">
        <v>0</v>
      </c>
      <c r="M35" s="130">
        <f t="shared" ref="M35:M62" si="17">+SUM(K35:L35)</f>
        <v>0</v>
      </c>
      <c r="N35" s="8">
        <f t="shared" ref="N35:N62" si="18">+G35+H35+J35</f>
        <v>0</v>
      </c>
      <c r="O35" s="84">
        <f t="shared" ref="O35:O62" si="19">G35+H35-L35-I35</f>
        <v>0</v>
      </c>
    </row>
    <row r="36" spans="1:15" x14ac:dyDescent="0.2">
      <c r="B36" s="81"/>
      <c r="C36" s="82">
        <f>D35+1</f>
        <v>40725</v>
      </c>
      <c r="D36" s="82">
        <f>EOMONTH(D35,3)</f>
        <v>40816</v>
      </c>
      <c r="E36" s="81">
        <f t="shared" ref="E36:E62" si="20">D36-C36+1</f>
        <v>92</v>
      </c>
      <c r="F36" s="83">
        <f>VLOOKUP(D36,'FERC Interest Rate'!$A:$B,2,TRUE)</f>
        <v>3.2500000000000001E-2</v>
      </c>
      <c r="G36" s="84">
        <f t="shared" ref="G36:G62" si="21">O35</f>
        <v>0</v>
      </c>
      <c r="H36" s="84">
        <f t="shared" si="15"/>
        <v>0</v>
      </c>
      <c r="I36" s="109">
        <v>0</v>
      </c>
      <c r="J36" s="85">
        <v>0</v>
      </c>
      <c r="K36" s="129">
        <f t="shared" si="16"/>
        <v>0</v>
      </c>
      <c r="L36" s="85">
        <v>0</v>
      </c>
      <c r="M36" s="130">
        <f t="shared" si="17"/>
        <v>0</v>
      </c>
      <c r="N36" s="8">
        <f t="shared" si="18"/>
        <v>0</v>
      </c>
      <c r="O36" s="84">
        <f t="shared" si="19"/>
        <v>0</v>
      </c>
    </row>
    <row r="37" spans="1:15" x14ac:dyDescent="0.2">
      <c r="B37" s="81"/>
      <c r="C37" s="82">
        <f t="shared" ref="C37:C62" si="22">D36+1</f>
        <v>40817</v>
      </c>
      <c r="D37" s="82">
        <f t="shared" ref="D37:D62" si="23">EOMONTH(D36,3)</f>
        <v>40908</v>
      </c>
      <c r="E37" s="81">
        <f t="shared" si="20"/>
        <v>92</v>
      </c>
      <c r="F37" s="83">
        <f>VLOOKUP(D37,'FERC Interest Rate'!$A:$B,2,TRUE)</f>
        <v>3.2500000000000001E-2</v>
      </c>
      <c r="G37" s="84">
        <f t="shared" si="21"/>
        <v>0</v>
      </c>
      <c r="H37" s="84">
        <f t="shared" si="15"/>
        <v>0</v>
      </c>
      <c r="I37" s="109">
        <v>0</v>
      </c>
      <c r="J37" s="85">
        <v>0</v>
      </c>
      <c r="K37" s="129">
        <f t="shared" si="16"/>
        <v>0</v>
      </c>
      <c r="L37" s="85">
        <v>0</v>
      </c>
      <c r="M37" s="130">
        <f t="shared" si="17"/>
        <v>0</v>
      </c>
      <c r="N37" s="8">
        <f t="shared" si="18"/>
        <v>0</v>
      </c>
      <c r="O37" s="84">
        <f t="shared" si="19"/>
        <v>0</v>
      </c>
    </row>
    <row r="38" spans="1:15" x14ac:dyDescent="0.2">
      <c r="B38" s="81"/>
      <c r="C38" s="82">
        <f t="shared" si="22"/>
        <v>40909</v>
      </c>
      <c r="D38" s="82">
        <f t="shared" si="23"/>
        <v>40999</v>
      </c>
      <c r="E38" s="81">
        <f t="shared" si="20"/>
        <v>91</v>
      </c>
      <c r="F38" s="83">
        <f>VLOOKUP(D38,'FERC Interest Rate'!$A:$B,2,TRUE)</f>
        <v>3.2500000000000001E-2</v>
      </c>
      <c r="G38" s="84">
        <f t="shared" si="21"/>
        <v>0</v>
      </c>
      <c r="H38" s="84">
        <f t="shared" si="15"/>
        <v>0</v>
      </c>
      <c r="I38" s="109">
        <v>0</v>
      </c>
      <c r="J38" s="85">
        <v>0</v>
      </c>
      <c r="K38" s="129">
        <f t="shared" si="16"/>
        <v>0</v>
      </c>
      <c r="L38" s="85">
        <v>0</v>
      </c>
      <c r="M38" s="130">
        <f t="shared" si="17"/>
        <v>0</v>
      </c>
      <c r="N38" s="8">
        <f t="shared" si="18"/>
        <v>0</v>
      </c>
      <c r="O38" s="84">
        <f t="shared" si="19"/>
        <v>0</v>
      </c>
    </row>
    <row r="39" spans="1:15" x14ac:dyDescent="0.2">
      <c r="B39" s="81"/>
      <c r="C39" s="82">
        <f t="shared" si="22"/>
        <v>41000</v>
      </c>
      <c r="D39" s="82">
        <f t="shared" si="23"/>
        <v>41090</v>
      </c>
      <c r="E39" s="81">
        <f t="shared" si="20"/>
        <v>91</v>
      </c>
      <c r="F39" s="83">
        <f>VLOOKUP(D39,'FERC Interest Rate'!$A:$B,2,TRUE)</f>
        <v>3.2500000000000001E-2</v>
      </c>
      <c r="G39" s="84">
        <f t="shared" si="21"/>
        <v>0</v>
      </c>
      <c r="H39" s="84">
        <f t="shared" si="15"/>
        <v>0</v>
      </c>
      <c r="I39" s="109">
        <v>0</v>
      </c>
      <c r="J39" s="85">
        <v>0</v>
      </c>
      <c r="K39" s="129">
        <f t="shared" si="16"/>
        <v>0</v>
      </c>
      <c r="L39" s="85">
        <v>0</v>
      </c>
      <c r="M39" s="130">
        <f t="shared" si="17"/>
        <v>0</v>
      </c>
      <c r="N39" s="8">
        <f t="shared" si="18"/>
        <v>0</v>
      </c>
      <c r="O39" s="84">
        <f t="shared" si="19"/>
        <v>0</v>
      </c>
    </row>
    <row r="40" spans="1:15" x14ac:dyDescent="0.2">
      <c r="B40" s="81"/>
      <c r="C40" s="82">
        <f t="shared" si="22"/>
        <v>41091</v>
      </c>
      <c r="D40" s="82">
        <f t="shared" si="23"/>
        <v>41182</v>
      </c>
      <c r="E40" s="81">
        <f t="shared" si="20"/>
        <v>92</v>
      </c>
      <c r="F40" s="83">
        <f>VLOOKUP(D40,'FERC Interest Rate'!$A:$B,2,TRUE)</f>
        <v>3.2500000000000001E-2</v>
      </c>
      <c r="G40" s="84">
        <f t="shared" si="21"/>
        <v>0</v>
      </c>
      <c r="H40" s="84">
        <f t="shared" si="15"/>
        <v>0</v>
      </c>
      <c r="I40" s="109">
        <v>0</v>
      </c>
      <c r="J40" s="85">
        <v>0</v>
      </c>
      <c r="K40" s="129">
        <f t="shared" si="16"/>
        <v>0</v>
      </c>
      <c r="L40" s="85">
        <v>0</v>
      </c>
      <c r="M40" s="130">
        <f t="shared" si="17"/>
        <v>0</v>
      </c>
      <c r="N40" s="8">
        <f t="shared" si="18"/>
        <v>0</v>
      </c>
      <c r="O40" s="84">
        <f t="shared" si="19"/>
        <v>0</v>
      </c>
    </row>
    <row r="41" spans="1:15" x14ac:dyDescent="0.2">
      <c r="B41" s="81"/>
      <c r="C41" s="82">
        <f t="shared" si="22"/>
        <v>41183</v>
      </c>
      <c r="D41" s="82">
        <f t="shared" si="23"/>
        <v>41274</v>
      </c>
      <c r="E41" s="81">
        <f t="shared" si="20"/>
        <v>92</v>
      </c>
      <c r="F41" s="83">
        <f>VLOOKUP(D41,'FERC Interest Rate'!$A:$B,2,TRUE)</f>
        <v>3.2500000000000001E-2</v>
      </c>
      <c r="G41" s="84">
        <f t="shared" si="21"/>
        <v>0</v>
      </c>
      <c r="H41" s="84">
        <f t="shared" si="15"/>
        <v>0</v>
      </c>
      <c r="I41" s="109">
        <v>0</v>
      </c>
      <c r="J41" s="85">
        <v>0</v>
      </c>
      <c r="K41" s="129">
        <f t="shared" si="16"/>
        <v>0</v>
      </c>
      <c r="L41" s="85">
        <v>0</v>
      </c>
      <c r="M41" s="130">
        <f t="shared" si="17"/>
        <v>0</v>
      </c>
      <c r="N41" s="8">
        <f t="shared" si="18"/>
        <v>0</v>
      </c>
      <c r="O41" s="84">
        <f t="shared" si="19"/>
        <v>0</v>
      </c>
    </row>
    <row r="42" spans="1:15" x14ac:dyDescent="0.2">
      <c r="B42" s="81"/>
      <c r="C42" s="82">
        <f t="shared" si="22"/>
        <v>41275</v>
      </c>
      <c r="D42" s="82">
        <f t="shared" si="23"/>
        <v>41364</v>
      </c>
      <c r="E42" s="81">
        <f t="shared" si="20"/>
        <v>90</v>
      </c>
      <c r="F42" s="83">
        <f>VLOOKUP(D42,'FERC Interest Rate'!$A:$B,2,TRUE)</f>
        <v>3.2500000000000001E-2</v>
      </c>
      <c r="G42" s="84">
        <f t="shared" si="21"/>
        <v>0</v>
      </c>
      <c r="H42" s="84">
        <f t="shared" si="15"/>
        <v>0</v>
      </c>
      <c r="I42" s="109">
        <v>0</v>
      </c>
      <c r="J42" s="85">
        <v>0</v>
      </c>
      <c r="K42" s="129">
        <f t="shared" si="16"/>
        <v>0</v>
      </c>
      <c r="L42" s="85">
        <v>0</v>
      </c>
      <c r="M42" s="130">
        <f t="shared" si="17"/>
        <v>0</v>
      </c>
      <c r="N42" s="8">
        <f t="shared" si="18"/>
        <v>0</v>
      </c>
      <c r="O42" s="84">
        <f t="shared" si="19"/>
        <v>0</v>
      </c>
    </row>
    <row r="43" spans="1:15" x14ac:dyDescent="0.2">
      <c r="B43" s="81"/>
      <c r="C43" s="82">
        <f t="shared" si="22"/>
        <v>41365</v>
      </c>
      <c r="D43" s="82">
        <f t="shared" si="23"/>
        <v>41455</v>
      </c>
      <c r="E43" s="81">
        <f t="shared" si="20"/>
        <v>91</v>
      </c>
      <c r="F43" s="83">
        <f>VLOOKUP(D43,'FERC Interest Rate'!$A:$B,2,TRUE)</f>
        <v>3.2500000000000001E-2</v>
      </c>
      <c r="G43" s="84">
        <f t="shared" si="21"/>
        <v>0</v>
      </c>
      <c r="H43" s="84">
        <v>0</v>
      </c>
      <c r="I43" s="109">
        <v>0</v>
      </c>
      <c r="J43" s="85">
        <v>0</v>
      </c>
      <c r="K43" s="129">
        <f t="shared" si="16"/>
        <v>0</v>
      </c>
      <c r="L43" s="85">
        <f t="shared" ref="L43:L62" si="24">$G$35/20</f>
        <v>0</v>
      </c>
      <c r="M43" s="130">
        <f t="shared" si="17"/>
        <v>0</v>
      </c>
      <c r="N43" s="8">
        <f t="shared" si="18"/>
        <v>0</v>
      </c>
      <c r="O43" s="84">
        <f t="shared" si="19"/>
        <v>0</v>
      </c>
    </row>
    <row r="44" spans="1:15" x14ac:dyDescent="0.2">
      <c r="B44" s="81"/>
      <c r="C44" s="82">
        <f t="shared" si="22"/>
        <v>41456</v>
      </c>
      <c r="D44" s="82">
        <f t="shared" si="23"/>
        <v>41547</v>
      </c>
      <c r="E44" s="81">
        <f t="shared" si="20"/>
        <v>92</v>
      </c>
      <c r="F44" s="83">
        <f>VLOOKUP(D44,'FERC Interest Rate'!$A:$B,2,TRUE)</f>
        <v>3.2500000000000001E-2</v>
      </c>
      <c r="G44" s="84">
        <f t="shared" si="21"/>
        <v>0</v>
      </c>
      <c r="H44" s="84">
        <v>0</v>
      </c>
      <c r="I44" s="109">
        <v>0</v>
      </c>
      <c r="J44" s="85">
        <v>0</v>
      </c>
      <c r="K44" s="129">
        <f t="shared" si="16"/>
        <v>0</v>
      </c>
      <c r="L44" s="85">
        <f t="shared" si="24"/>
        <v>0</v>
      </c>
      <c r="M44" s="130">
        <f t="shared" si="17"/>
        <v>0</v>
      </c>
      <c r="N44" s="8">
        <f t="shared" si="18"/>
        <v>0</v>
      </c>
      <c r="O44" s="84">
        <f t="shared" si="19"/>
        <v>0</v>
      </c>
    </row>
    <row r="45" spans="1:15" x14ac:dyDescent="0.2">
      <c r="B45" s="81"/>
      <c r="C45" s="82">
        <f t="shared" si="22"/>
        <v>41548</v>
      </c>
      <c r="D45" s="82">
        <f t="shared" si="23"/>
        <v>41639</v>
      </c>
      <c r="E45" s="81">
        <f t="shared" si="20"/>
        <v>92</v>
      </c>
      <c r="F45" s="83">
        <f>VLOOKUP(D45,'FERC Interest Rate'!$A:$B,2,TRUE)</f>
        <v>3.2500000000000001E-2</v>
      </c>
      <c r="G45" s="84">
        <f t="shared" si="21"/>
        <v>0</v>
      </c>
      <c r="H45" s="84">
        <v>0</v>
      </c>
      <c r="I45" s="109">
        <v>0</v>
      </c>
      <c r="J45" s="85">
        <v>0</v>
      </c>
      <c r="K45" s="129">
        <f t="shared" si="16"/>
        <v>0</v>
      </c>
      <c r="L45" s="85">
        <f t="shared" si="24"/>
        <v>0</v>
      </c>
      <c r="M45" s="130">
        <f t="shared" si="17"/>
        <v>0</v>
      </c>
      <c r="N45" s="8">
        <f t="shared" si="18"/>
        <v>0</v>
      </c>
      <c r="O45" s="84">
        <f t="shared" si="19"/>
        <v>0</v>
      </c>
    </row>
    <row r="46" spans="1:15" x14ac:dyDescent="0.2">
      <c r="B46" s="81"/>
      <c r="C46" s="82">
        <f t="shared" si="22"/>
        <v>41640</v>
      </c>
      <c r="D46" s="82">
        <f t="shared" si="23"/>
        <v>41729</v>
      </c>
      <c r="E46" s="81">
        <f t="shared" si="20"/>
        <v>90</v>
      </c>
      <c r="F46" s="83">
        <f>VLOOKUP(D46,'FERC Interest Rate'!$A:$B,2,TRUE)</f>
        <v>3.2500000000000001E-2</v>
      </c>
      <c r="G46" s="84">
        <f t="shared" si="21"/>
        <v>0</v>
      </c>
      <c r="H46" s="84">
        <v>0</v>
      </c>
      <c r="I46" s="109">
        <v>0</v>
      </c>
      <c r="J46" s="85">
        <v>0</v>
      </c>
      <c r="K46" s="129">
        <f t="shared" si="16"/>
        <v>0</v>
      </c>
      <c r="L46" s="85">
        <f t="shared" si="24"/>
        <v>0</v>
      </c>
      <c r="M46" s="130">
        <f t="shared" si="17"/>
        <v>0</v>
      </c>
      <c r="N46" s="8">
        <f t="shared" si="18"/>
        <v>0</v>
      </c>
      <c r="O46" s="84">
        <f t="shared" si="19"/>
        <v>0</v>
      </c>
    </row>
    <row r="47" spans="1:15" x14ac:dyDescent="0.2">
      <c r="B47" s="81"/>
      <c r="C47" s="82">
        <f t="shared" si="22"/>
        <v>41730</v>
      </c>
      <c r="D47" s="82">
        <f t="shared" si="23"/>
        <v>41820</v>
      </c>
      <c r="E47" s="81">
        <f t="shared" si="20"/>
        <v>91</v>
      </c>
      <c r="F47" s="83">
        <f>VLOOKUP(D47,'FERC Interest Rate'!$A:$B,2,TRUE)</f>
        <v>3.2500000000000001E-2</v>
      </c>
      <c r="G47" s="84">
        <f t="shared" si="21"/>
        <v>0</v>
      </c>
      <c r="H47" s="84">
        <v>0</v>
      </c>
      <c r="I47" s="109">
        <v>0</v>
      </c>
      <c r="J47" s="85">
        <v>0</v>
      </c>
      <c r="K47" s="129">
        <f t="shared" si="16"/>
        <v>0</v>
      </c>
      <c r="L47" s="85">
        <f t="shared" si="24"/>
        <v>0</v>
      </c>
      <c r="M47" s="130">
        <f t="shared" si="17"/>
        <v>0</v>
      </c>
      <c r="N47" s="8">
        <f t="shared" si="18"/>
        <v>0</v>
      </c>
      <c r="O47" s="84">
        <f t="shared" si="19"/>
        <v>0</v>
      </c>
    </row>
    <row r="48" spans="1:15" x14ac:dyDescent="0.2">
      <c r="B48" s="81"/>
      <c r="C48" s="82">
        <f t="shared" si="22"/>
        <v>41821</v>
      </c>
      <c r="D48" s="82">
        <f t="shared" si="23"/>
        <v>41912</v>
      </c>
      <c r="E48" s="81">
        <f t="shared" si="20"/>
        <v>92</v>
      </c>
      <c r="F48" s="83">
        <f>VLOOKUP(D48,'FERC Interest Rate'!$A:$B,2,TRUE)</f>
        <v>3.2500000000000001E-2</v>
      </c>
      <c r="G48" s="84">
        <f t="shared" si="21"/>
        <v>0</v>
      </c>
      <c r="H48" s="84">
        <v>0</v>
      </c>
      <c r="I48" s="109">
        <v>0</v>
      </c>
      <c r="J48" s="85">
        <v>0</v>
      </c>
      <c r="K48" s="129">
        <f t="shared" si="16"/>
        <v>0</v>
      </c>
      <c r="L48" s="85">
        <f t="shared" si="24"/>
        <v>0</v>
      </c>
      <c r="M48" s="130">
        <f t="shared" si="17"/>
        <v>0</v>
      </c>
      <c r="N48" s="8">
        <f t="shared" si="18"/>
        <v>0</v>
      </c>
      <c r="O48" s="84">
        <f t="shared" si="19"/>
        <v>0</v>
      </c>
    </row>
    <row r="49" spans="1:15" x14ac:dyDescent="0.2">
      <c r="B49" s="81"/>
      <c r="C49" s="82">
        <f t="shared" si="22"/>
        <v>41913</v>
      </c>
      <c r="D49" s="82">
        <f t="shared" si="23"/>
        <v>42004</v>
      </c>
      <c r="E49" s="81">
        <f t="shared" si="20"/>
        <v>92</v>
      </c>
      <c r="F49" s="83">
        <f>VLOOKUP(D49,'FERC Interest Rate'!$A:$B,2,TRUE)</f>
        <v>3.2500000000000001E-2</v>
      </c>
      <c r="G49" s="84">
        <f t="shared" si="21"/>
        <v>0</v>
      </c>
      <c r="H49" s="84">
        <v>0</v>
      </c>
      <c r="I49" s="109">
        <v>0</v>
      </c>
      <c r="J49" s="85">
        <v>0</v>
      </c>
      <c r="K49" s="129">
        <f t="shared" si="16"/>
        <v>0</v>
      </c>
      <c r="L49" s="85">
        <f t="shared" si="24"/>
        <v>0</v>
      </c>
      <c r="M49" s="130">
        <f t="shared" si="17"/>
        <v>0</v>
      </c>
      <c r="N49" s="8">
        <f t="shared" si="18"/>
        <v>0</v>
      </c>
      <c r="O49" s="84">
        <f t="shared" si="19"/>
        <v>0</v>
      </c>
    </row>
    <row r="50" spans="1:15" x14ac:dyDescent="0.2">
      <c r="B50" s="81"/>
      <c r="C50" s="82">
        <f t="shared" si="22"/>
        <v>42005</v>
      </c>
      <c r="D50" s="82">
        <f t="shared" si="23"/>
        <v>42094</v>
      </c>
      <c r="E50" s="81">
        <f t="shared" si="20"/>
        <v>90</v>
      </c>
      <c r="F50" s="83">
        <f>VLOOKUP(D50,'FERC Interest Rate'!$A:$B,2,TRUE)</f>
        <v>3.2500000000000001E-2</v>
      </c>
      <c r="G50" s="84">
        <f t="shared" si="21"/>
        <v>0</v>
      </c>
      <c r="H50" s="84">
        <v>0</v>
      </c>
      <c r="I50" s="109">
        <v>0</v>
      </c>
      <c r="J50" s="85">
        <v>0</v>
      </c>
      <c r="K50" s="129">
        <f t="shared" si="16"/>
        <v>0</v>
      </c>
      <c r="L50" s="85">
        <f t="shared" si="24"/>
        <v>0</v>
      </c>
      <c r="M50" s="130">
        <f t="shared" si="17"/>
        <v>0</v>
      </c>
      <c r="N50" s="8">
        <f t="shared" si="18"/>
        <v>0</v>
      </c>
      <c r="O50" s="84">
        <f t="shared" si="19"/>
        <v>0</v>
      </c>
    </row>
    <row r="51" spans="1:15" x14ac:dyDescent="0.2">
      <c r="B51" s="81"/>
      <c r="C51" s="82">
        <f t="shared" si="22"/>
        <v>42095</v>
      </c>
      <c r="D51" s="82">
        <f t="shared" si="23"/>
        <v>42185</v>
      </c>
      <c r="E51" s="81">
        <f t="shared" si="20"/>
        <v>91</v>
      </c>
      <c r="F51" s="83">
        <f>VLOOKUP(D51,'FERC Interest Rate'!$A:$B,2,TRUE)</f>
        <v>3.2500000000000001E-2</v>
      </c>
      <c r="G51" s="84">
        <f t="shared" si="21"/>
        <v>0</v>
      </c>
      <c r="H51" s="84">
        <v>0</v>
      </c>
      <c r="I51" s="109">
        <v>0</v>
      </c>
      <c r="J51" s="85">
        <v>0</v>
      </c>
      <c r="K51" s="129">
        <f t="shared" si="16"/>
        <v>0</v>
      </c>
      <c r="L51" s="85">
        <f t="shared" si="24"/>
        <v>0</v>
      </c>
      <c r="M51" s="130">
        <f t="shared" si="17"/>
        <v>0</v>
      </c>
      <c r="N51" s="8">
        <f t="shared" si="18"/>
        <v>0</v>
      </c>
      <c r="O51" s="84">
        <f t="shared" si="19"/>
        <v>0</v>
      </c>
    </row>
    <row r="52" spans="1:15" x14ac:dyDescent="0.2">
      <c r="B52" s="81"/>
      <c r="C52" s="82">
        <f t="shared" si="22"/>
        <v>42186</v>
      </c>
      <c r="D52" s="82">
        <f t="shared" si="23"/>
        <v>42277</v>
      </c>
      <c r="E52" s="81">
        <f t="shared" si="20"/>
        <v>92</v>
      </c>
      <c r="F52" s="83">
        <f>VLOOKUP(D52,'FERC Interest Rate'!$A:$B,2,TRUE)</f>
        <v>3.2500000000000001E-2</v>
      </c>
      <c r="G52" s="84">
        <f t="shared" si="21"/>
        <v>0</v>
      </c>
      <c r="H52" s="84">
        <v>0</v>
      </c>
      <c r="I52" s="109">
        <v>0</v>
      </c>
      <c r="J52" s="85">
        <v>0</v>
      </c>
      <c r="K52" s="129">
        <f t="shared" si="16"/>
        <v>0</v>
      </c>
      <c r="L52" s="85">
        <f t="shared" si="24"/>
        <v>0</v>
      </c>
      <c r="M52" s="130">
        <f t="shared" si="17"/>
        <v>0</v>
      </c>
      <c r="N52" s="8">
        <f t="shared" si="18"/>
        <v>0</v>
      </c>
      <c r="O52" s="84">
        <f t="shared" si="19"/>
        <v>0</v>
      </c>
    </row>
    <row r="53" spans="1:15" x14ac:dyDescent="0.2">
      <c r="B53" s="81"/>
      <c r="C53" s="82">
        <f t="shared" si="22"/>
        <v>42278</v>
      </c>
      <c r="D53" s="82">
        <f t="shared" si="23"/>
        <v>42369</v>
      </c>
      <c r="E53" s="81">
        <f t="shared" si="20"/>
        <v>92</v>
      </c>
      <c r="F53" s="83">
        <f>VLOOKUP(D53,'FERC Interest Rate'!$A:$B,2,TRUE)</f>
        <v>3.2500000000000001E-2</v>
      </c>
      <c r="G53" s="84">
        <f t="shared" si="21"/>
        <v>0</v>
      </c>
      <c r="H53" s="84">
        <v>0</v>
      </c>
      <c r="I53" s="109">
        <v>0</v>
      </c>
      <c r="J53" s="85">
        <v>0</v>
      </c>
      <c r="K53" s="129">
        <f t="shared" si="16"/>
        <v>0</v>
      </c>
      <c r="L53" s="85">
        <f t="shared" si="24"/>
        <v>0</v>
      </c>
      <c r="M53" s="130">
        <f t="shared" si="17"/>
        <v>0</v>
      </c>
      <c r="N53" s="8">
        <f t="shared" si="18"/>
        <v>0</v>
      </c>
      <c r="O53" s="84">
        <f t="shared" si="19"/>
        <v>0</v>
      </c>
    </row>
    <row r="54" spans="1:15" x14ac:dyDescent="0.2">
      <c r="B54" s="81"/>
      <c r="C54" s="82">
        <f t="shared" si="22"/>
        <v>42370</v>
      </c>
      <c r="D54" s="82">
        <f t="shared" si="23"/>
        <v>42460</v>
      </c>
      <c r="E54" s="81">
        <f t="shared" si="20"/>
        <v>91</v>
      </c>
      <c r="F54" s="83">
        <f>VLOOKUP(D54,'FERC Interest Rate'!$A:$B,2,TRUE)</f>
        <v>3.2500000000000001E-2</v>
      </c>
      <c r="G54" s="84">
        <f t="shared" si="21"/>
        <v>0</v>
      </c>
      <c r="H54" s="84">
        <v>0</v>
      </c>
      <c r="I54" s="109">
        <v>0</v>
      </c>
      <c r="J54" s="85">
        <v>0</v>
      </c>
      <c r="K54" s="129">
        <f t="shared" si="16"/>
        <v>0</v>
      </c>
      <c r="L54" s="85">
        <f t="shared" si="24"/>
        <v>0</v>
      </c>
      <c r="M54" s="130">
        <f t="shared" si="17"/>
        <v>0</v>
      </c>
      <c r="N54" s="8">
        <f t="shared" si="18"/>
        <v>0</v>
      </c>
      <c r="O54" s="84">
        <f t="shared" si="19"/>
        <v>0</v>
      </c>
    </row>
    <row r="55" spans="1:15" x14ac:dyDescent="0.2">
      <c r="B55" s="81"/>
      <c r="C55" s="82">
        <f t="shared" si="22"/>
        <v>42461</v>
      </c>
      <c r="D55" s="82">
        <f t="shared" si="23"/>
        <v>42551</v>
      </c>
      <c r="E55" s="81">
        <f t="shared" si="20"/>
        <v>91</v>
      </c>
      <c r="F55" s="83">
        <f>VLOOKUP(D55,'FERC Interest Rate'!$A:$B,2,TRUE)</f>
        <v>3.4599999999999999E-2</v>
      </c>
      <c r="G55" s="84">
        <f t="shared" si="21"/>
        <v>0</v>
      </c>
      <c r="H55" s="84">
        <v>0</v>
      </c>
      <c r="I55" s="109">
        <v>0</v>
      </c>
      <c r="J55" s="85">
        <v>0</v>
      </c>
      <c r="K55" s="129">
        <f t="shared" si="16"/>
        <v>0</v>
      </c>
      <c r="L55" s="85">
        <f t="shared" si="24"/>
        <v>0</v>
      </c>
      <c r="M55" s="130">
        <f t="shared" si="17"/>
        <v>0</v>
      </c>
      <c r="N55" s="8">
        <f t="shared" si="18"/>
        <v>0</v>
      </c>
      <c r="O55" s="84">
        <f t="shared" si="19"/>
        <v>0</v>
      </c>
    </row>
    <row r="56" spans="1:15" x14ac:dyDescent="0.2">
      <c r="B56" s="81"/>
      <c r="C56" s="82">
        <f t="shared" si="22"/>
        <v>42552</v>
      </c>
      <c r="D56" s="82">
        <f t="shared" si="23"/>
        <v>42643</v>
      </c>
      <c r="E56" s="81">
        <f t="shared" si="20"/>
        <v>92</v>
      </c>
      <c r="F56" s="83">
        <f>VLOOKUP(D56,'FERC Interest Rate'!$A:$B,2,TRUE)</f>
        <v>3.5000000000000003E-2</v>
      </c>
      <c r="G56" s="84">
        <f t="shared" si="21"/>
        <v>0</v>
      </c>
      <c r="H56" s="84">
        <v>0</v>
      </c>
      <c r="I56" s="109">
        <v>0</v>
      </c>
      <c r="J56" s="85">
        <v>0</v>
      </c>
      <c r="K56" s="129">
        <f t="shared" si="16"/>
        <v>0</v>
      </c>
      <c r="L56" s="85">
        <f t="shared" si="24"/>
        <v>0</v>
      </c>
      <c r="M56" s="130">
        <f t="shared" si="17"/>
        <v>0</v>
      </c>
      <c r="N56" s="8">
        <f t="shared" si="18"/>
        <v>0</v>
      </c>
      <c r="O56" s="84">
        <f t="shared" si="19"/>
        <v>0</v>
      </c>
    </row>
    <row r="57" spans="1:15" x14ac:dyDescent="0.2">
      <c r="B57" s="81"/>
      <c r="C57" s="82">
        <f t="shared" si="22"/>
        <v>42644</v>
      </c>
      <c r="D57" s="82">
        <f t="shared" si="23"/>
        <v>42735</v>
      </c>
      <c r="E57" s="81">
        <f t="shared" si="20"/>
        <v>92</v>
      </c>
      <c r="F57" s="83">
        <f>VLOOKUP(D57,'FERC Interest Rate'!$A:$B,2,TRUE)</f>
        <v>3.5000000000000003E-2</v>
      </c>
      <c r="G57" s="84">
        <f t="shared" si="21"/>
        <v>0</v>
      </c>
      <c r="H57" s="84">
        <v>0</v>
      </c>
      <c r="I57" s="109">
        <v>0</v>
      </c>
      <c r="J57" s="85">
        <v>0</v>
      </c>
      <c r="K57" s="129">
        <f t="shared" si="16"/>
        <v>0</v>
      </c>
      <c r="L57" s="85">
        <f t="shared" si="24"/>
        <v>0</v>
      </c>
      <c r="M57" s="130">
        <f t="shared" si="17"/>
        <v>0</v>
      </c>
      <c r="N57" s="8">
        <f t="shared" si="18"/>
        <v>0</v>
      </c>
      <c r="O57" s="84">
        <f t="shared" si="19"/>
        <v>0</v>
      </c>
    </row>
    <row r="58" spans="1:15" x14ac:dyDescent="0.2">
      <c r="B58" s="81"/>
      <c r="C58" s="82">
        <f t="shared" si="22"/>
        <v>42736</v>
      </c>
      <c r="D58" s="82">
        <f t="shared" si="23"/>
        <v>42825</v>
      </c>
      <c r="E58" s="81">
        <f t="shared" si="20"/>
        <v>90</v>
      </c>
      <c r="F58" s="83">
        <f>VLOOKUP(D58,'FERC Interest Rate'!$A:$B,2,TRUE)</f>
        <v>3.5000000000000003E-2</v>
      </c>
      <c r="G58" s="84">
        <f t="shared" si="21"/>
        <v>0</v>
      </c>
      <c r="H58" s="84">
        <v>0</v>
      </c>
      <c r="I58" s="109">
        <v>0</v>
      </c>
      <c r="J58" s="85">
        <v>0</v>
      </c>
      <c r="K58" s="129">
        <f t="shared" si="16"/>
        <v>0</v>
      </c>
      <c r="L58" s="85">
        <f t="shared" si="24"/>
        <v>0</v>
      </c>
      <c r="M58" s="130">
        <f t="shared" si="17"/>
        <v>0</v>
      </c>
      <c r="N58" s="8">
        <f t="shared" si="18"/>
        <v>0</v>
      </c>
      <c r="O58" s="84">
        <f t="shared" si="19"/>
        <v>0</v>
      </c>
    </row>
    <row r="59" spans="1:15" x14ac:dyDescent="0.2">
      <c r="B59" s="81"/>
      <c r="C59" s="82">
        <f t="shared" si="22"/>
        <v>42826</v>
      </c>
      <c r="D59" s="82">
        <f t="shared" si="23"/>
        <v>42916</v>
      </c>
      <c r="E59" s="81">
        <f t="shared" si="20"/>
        <v>91</v>
      </c>
      <c r="F59" s="83">
        <f>VLOOKUP(D59,'FERC Interest Rate'!$A:$B,2,TRUE)</f>
        <v>3.7100000000000001E-2</v>
      </c>
      <c r="G59" s="84">
        <f t="shared" si="21"/>
        <v>0</v>
      </c>
      <c r="H59" s="84">
        <v>0</v>
      </c>
      <c r="I59" s="109">
        <v>0</v>
      </c>
      <c r="J59" s="85">
        <v>0</v>
      </c>
      <c r="K59" s="129">
        <f t="shared" si="16"/>
        <v>0</v>
      </c>
      <c r="L59" s="85">
        <f t="shared" si="24"/>
        <v>0</v>
      </c>
      <c r="M59" s="130">
        <f t="shared" si="17"/>
        <v>0</v>
      </c>
      <c r="N59" s="8">
        <f t="shared" si="18"/>
        <v>0</v>
      </c>
      <c r="O59" s="84">
        <f t="shared" si="19"/>
        <v>0</v>
      </c>
    </row>
    <row r="60" spans="1:15" x14ac:dyDescent="0.2">
      <c r="B60" s="81"/>
      <c r="C60" s="82">
        <f t="shared" si="22"/>
        <v>42917</v>
      </c>
      <c r="D60" s="82">
        <f t="shared" si="23"/>
        <v>43008</v>
      </c>
      <c r="E60" s="81">
        <f t="shared" si="20"/>
        <v>92</v>
      </c>
      <c r="F60" s="83">
        <f>VLOOKUP(D60,'FERC Interest Rate'!$A:$B,2,TRUE)</f>
        <v>3.9600000000000003E-2</v>
      </c>
      <c r="G60" s="84">
        <f t="shared" si="21"/>
        <v>0</v>
      </c>
      <c r="H60" s="84">
        <v>0</v>
      </c>
      <c r="I60" s="109">
        <v>0</v>
      </c>
      <c r="J60" s="85">
        <v>0</v>
      </c>
      <c r="K60" s="129">
        <f t="shared" si="16"/>
        <v>0</v>
      </c>
      <c r="L60" s="85">
        <f t="shared" si="24"/>
        <v>0</v>
      </c>
      <c r="M60" s="130">
        <f t="shared" si="17"/>
        <v>0</v>
      </c>
      <c r="N60" s="8">
        <f t="shared" si="18"/>
        <v>0</v>
      </c>
      <c r="O60" s="84">
        <f t="shared" si="19"/>
        <v>0</v>
      </c>
    </row>
    <row r="61" spans="1:15" x14ac:dyDescent="0.2">
      <c r="B61" s="81"/>
      <c r="C61" s="82">
        <f t="shared" si="22"/>
        <v>43009</v>
      </c>
      <c r="D61" s="82">
        <f t="shared" si="23"/>
        <v>43100</v>
      </c>
      <c r="E61" s="81">
        <f t="shared" si="20"/>
        <v>92</v>
      </c>
      <c r="F61" s="83">
        <f>VLOOKUP(D61,'FERC Interest Rate'!$A:$B,2,TRUE)</f>
        <v>4.2099999999999999E-2</v>
      </c>
      <c r="G61" s="84">
        <f t="shared" si="21"/>
        <v>0</v>
      </c>
      <c r="H61" s="84">
        <v>0</v>
      </c>
      <c r="I61" s="109">
        <v>0</v>
      </c>
      <c r="J61" s="85">
        <v>0</v>
      </c>
      <c r="K61" s="129">
        <f t="shared" si="16"/>
        <v>0</v>
      </c>
      <c r="L61" s="85">
        <f t="shared" si="24"/>
        <v>0</v>
      </c>
      <c r="M61" s="130">
        <f t="shared" si="17"/>
        <v>0</v>
      </c>
      <c r="N61" s="8">
        <f t="shared" si="18"/>
        <v>0</v>
      </c>
      <c r="O61" s="84">
        <f t="shared" si="19"/>
        <v>0</v>
      </c>
    </row>
    <row r="62" spans="1:15" x14ac:dyDescent="0.2">
      <c r="B62" s="81"/>
      <c r="C62" s="82">
        <f t="shared" si="22"/>
        <v>43101</v>
      </c>
      <c r="D62" s="82">
        <f t="shared" si="23"/>
        <v>43190</v>
      </c>
      <c r="E62" s="81">
        <f t="shared" si="20"/>
        <v>90</v>
      </c>
      <c r="F62" s="83">
        <f>VLOOKUP(D62,'FERC Interest Rate'!$A:$B,2,TRUE)</f>
        <v>4.2500000000000003E-2</v>
      </c>
      <c r="G62" s="84">
        <f t="shared" si="21"/>
        <v>0</v>
      </c>
      <c r="H62" s="84">
        <v>0</v>
      </c>
      <c r="I62" s="109">
        <v>0</v>
      </c>
      <c r="J62" s="85">
        <v>0</v>
      </c>
      <c r="K62" s="129">
        <f t="shared" si="16"/>
        <v>0</v>
      </c>
      <c r="L62" s="85">
        <f t="shared" si="24"/>
        <v>0</v>
      </c>
      <c r="M62" s="130">
        <f t="shared" si="17"/>
        <v>0</v>
      </c>
      <c r="N62" s="8">
        <f t="shared" si="18"/>
        <v>0</v>
      </c>
      <c r="O62" s="84">
        <f t="shared" si="19"/>
        <v>0</v>
      </c>
    </row>
    <row r="63" spans="1:15" x14ac:dyDescent="0.2">
      <c r="B63" s="11"/>
      <c r="C63" s="98"/>
      <c r="D63" s="98"/>
      <c r="E63" s="10"/>
      <c r="F63" s="11"/>
      <c r="G63" s="85"/>
      <c r="H63" s="85"/>
      <c r="I63" s="132"/>
      <c r="J63" s="12"/>
      <c r="K63" s="12"/>
      <c r="L63" s="85"/>
      <c r="M63" s="131"/>
    </row>
    <row r="64" spans="1:15" ht="13.5" thickBot="1" x14ac:dyDescent="0.25">
      <c r="A64" s="99"/>
      <c r="B64" s="99"/>
      <c r="C64" s="99"/>
      <c r="D64" s="99"/>
      <c r="E64" s="99"/>
      <c r="F64" s="99"/>
      <c r="G64" s="79">
        <f>+SUM(G35:G63)</f>
        <v>0</v>
      </c>
      <c r="H64" s="79">
        <f t="shared" ref="H64:O64" si="25">+SUM(H35:H63)</f>
        <v>0</v>
      </c>
      <c r="I64" s="119">
        <f t="shared" si="25"/>
        <v>0</v>
      </c>
      <c r="J64" s="79">
        <f t="shared" si="25"/>
        <v>0</v>
      </c>
      <c r="K64" s="79">
        <f t="shared" si="25"/>
        <v>0</v>
      </c>
      <c r="L64" s="79">
        <f t="shared" si="25"/>
        <v>0</v>
      </c>
      <c r="M64" s="120">
        <f t="shared" si="25"/>
        <v>0</v>
      </c>
      <c r="N64" s="79">
        <f t="shared" si="25"/>
        <v>0</v>
      </c>
      <c r="O64" s="79">
        <f t="shared" si="25"/>
        <v>0</v>
      </c>
    </row>
    <row r="65" spans="9:13" ht="14.25" thickTop="1" thickBot="1" x14ac:dyDescent="0.25">
      <c r="I65" s="121"/>
      <c r="J65" s="122"/>
      <c r="K65" s="122"/>
      <c r="L65" s="122"/>
      <c r="M65" s="123"/>
    </row>
  </sheetData>
  <mergeCells count="1">
    <mergeCell ref="A10:B10"/>
  </mergeCells>
  <pageMargins left="0.7" right="0.7" top="0.75" bottom="0.75" header="0.3" footer="0.3"/>
  <pageSetup scale="55" fitToHeight="0" orientation="landscape" r:id="rId1"/>
  <headerFooter alignWithMargins="0">
    <oddHeader>&amp;RTO2019 Annual Update
Attachment 4
WP Schedule 22
Page &amp;P of &amp;N</oddHeader>
    <oddFooter>&amp;R&amp;A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0"/>
  <sheetViews>
    <sheetView topLeftCell="B1" zoomScale="85" zoomScaleNormal="85" workbookViewId="0">
      <selection activeCell="B1" sqref="B1"/>
    </sheetView>
  </sheetViews>
  <sheetFormatPr defaultColWidth="9.140625" defaultRowHeight="12.75" x14ac:dyDescent="0.2"/>
  <cols>
    <col min="1" max="1" width="10.28515625" style="59" customWidth="1"/>
    <col min="2" max="2" width="13.5703125" style="59" customWidth="1"/>
    <col min="3" max="3" width="15.42578125" style="59" bestFit="1" customWidth="1"/>
    <col min="4" max="4" width="13.5703125" style="59" customWidth="1"/>
    <col min="5" max="5" width="12.42578125" style="59" customWidth="1"/>
    <col min="6" max="6" width="15.42578125" style="59" bestFit="1" customWidth="1"/>
    <col min="7" max="7" width="17.28515625" style="59" customWidth="1"/>
    <col min="8" max="9" width="16.140625" style="59" customWidth="1"/>
    <col min="10" max="10" width="17.28515625" style="59" bestFit="1" customWidth="1"/>
    <col min="11" max="11" width="16.140625" style="59" customWidth="1"/>
    <col min="12" max="12" width="17.85546875" style="59" customWidth="1"/>
    <col min="13" max="13" width="16.140625" style="59" customWidth="1"/>
    <col min="14" max="14" width="17" style="59" customWidth="1"/>
    <col min="15" max="15" width="17.28515625" style="59" customWidth="1"/>
    <col min="16" max="18" width="16.140625" style="59" customWidth="1"/>
    <col min="19" max="19" width="16" style="59" customWidth="1"/>
    <col min="20" max="16384" width="9.140625" style="59"/>
  </cols>
  <sheetData>
    <row r="1" spans="1:17" ht="38.25" x14ac:dyDescent="0.2">
      <c r="A1" s="190" t="s">
        <v>8</v>
      </c>
      <c r="B1" s="191" t="s">
        <v>88</v>
      </c>
      <c r="C1" s="190" t="s">
        <v>2</v>
      </c>
      <c r="D1" s="190" t="s">
        <v>1</v>
      </c>
      <c r="E1" s="191" t="s">
        <v>74</v>
      </c>
      <c r="F1" s="191" t="s">
        <v>48</v>
      </c>
      <c r="H1"/>
      <c r="I1"/>
      <c r="J1"/>
      <c r="K1"/>
      <c r="L1"/>
      <c r="M1"/>
    </row>
    <row r="2" spans="1:17" ht="12.75" customHeight="1" x14ac:dyDescent="0.2">
      <c r="A2" s="195" t="s">
        <v>54</v>
      </c>
      <c r="B2" s="76">
        <v>41121</v>
      </c>
      <c r="C2" s="55">
        <v>1034</v>
      </c>
      <c r="D2" s="55">
        <v>0</v>
      </c>
      <c r="E2" s="55">
        <v>0</v>
      </c>
      <c r="F2" s="7">
        <f>SUM(C2:E2)</f>
        <v>1034</v>
      </c>
      <c r="G2"/>
      <c r="H2"/>
      <c r="I2"/>
      <c r="J2"/>
      <c r="K2"/>
      <c r="L2"/>
      <c r="M2"/>
    </row>
    <row r="3" spans="1:17" ht="12.75" customHeight="1" x14ac:dyDescent="0.2">
      <c r="A3" s="195" t="s">
        <v>55</v>
      </c>
      <c r="B3" s="76">
        <v>41127</v>
      </c>
      <c r="C3" s="55">
        <v>3035</v>
      </c>
      <c r="D3" s="55">
        <v>0</v>
      </c>
      <c r="E3" s="55">
        <v>0</v>
      </c>
      <c r="F3" s="7">
        <f t="shared" ref="F3:F14" si="0">SUM(C3:E3)</f>
        <v>3035</v>
      </c>
      <c r="G3"/>
      <c r="H3" s="257"/>
      <c r="I3" s="257"/>
      <c r="J3" s="257"/>
      <c r="K3" s="257"/>
      <c r="L3" s="257"/>
      <c r="M3" s="257"/>
    </row>
    <row r="4" spans="1:17" collapsed="1" x14ac:dyDescent="0.2">
      <c r="A4" s="195" t="s">
        <v>56</v>
      </c>
      <c r="B4" s="76">
        <v>41184</v>
      </c>
      <c r="C4" s="55">
        <v>5076</v>
      </c>
      <c r="D4" s="55">
        <v>0</v>
      </c>
      <c r="E4" s="55">
        <v>0</v>
      </c>
      <c r="F4" s="7">
        <f t="shared" si="0"/>
        <v>5076</v>
      </c>
      <c r="G4"/>
      <c r="H4" s="257"/>
      <c r="I4" s="257"/>
      <c r="J4" s="257"/>
      <c r="K4" s="257"/>
      <c r="L4" s="257"/>
      <c r="M4" s="257"/>
    </row>
    <row r="5" spans="1:17" x14ac:dyDescent="0.2">
      <c r="A5" s="195" t="s">
        <v>57</v>
      </c>
      <c r="B5" s="76">
        <v>41261</v>
      </c>
      <c r="C5" s="55">
        <v>14232</v>
      </c>
      <c r="D5" s="55">
        <v>0</v>
      </c>
      <c r="E5" s="55">
        <v>0</v>
      </c>
      <c r="F5" s="7">
        <f t="shared" si="0"/>
        <v>14232</v>
      </c>
      <c r="G5"/>
      <c r="H5" s="257"/>
      <c r="I5" s="257"/>
      <c r="J5" s="257"/>
      <c r="K5" s="257"/>
      <c r="L5" s="257"/>
      <c r="M5" s="257"/>
    </row>
    <row r="6" spans="1:17" ht="12.75" customHeight="1" x14ac:dyDescent="0.2">
      <c r="A6" s="195" t="s">
        <v>58</v>
      </c>
      <c r="B6" s="76">
        <v>41351</v>
      </c>
      <c r="C6" s="55">
        <v>19354</v>
      </c>
      <c r="D6" s="55">
        <v>0</v>
      </c>
      <c r="E6" s="55">
        <v>0</v>
      </c>
      <c r="F6" s="7">
        <f t="shared" si="0"/>
        <v>19354</v>
      </c>
      <c r="G6"/>
      <c r="H6" s="257"/>
      <c r="I6" s="257"/>
      <c r="J6" s="257"/>
      <c r="K6" s="257"/>
      <c r="L6" s="257"/>
      <c r="M6" s="257"/>
    </row>
    <row r="7" spans="1:17" x14ac:dyDescent="0.2">
      <c r="A7" s="195" t="s">
        <v>59</v>
      </c>
      <c r="B7" s="76">
        <v>41403</v>
      </c>
      <c r="C7" s="55">
        <v>28492</v>
      </c>
      <c r="D7" s="55">
        <v>0</v>
      </c>
      <c r="E7" s="55">
        <v>0</v>
      </c>
      <c r="F7" s="7">
        <f t="shared" si="0"/>
        <v>28492</v>
      </c>
      <c r="G7"/>
      <c r="H7" s="257"/>
      <c r="I7" s="257"/>
      <c r="J7" s="257"/>
      <c r="K7" s="257"/>
      <c r="L7" s="257"/>
      <c r="M7" s="257"/>
    </row>
    <row r="8" spans="1:17" x14ac:dyDescent="0.2">
      <c r="A8" s="195" t="s">
        <v>60</v>
      </c>
      <c r="B8" s="76">
        <v>41493</v>
      </c>
      <c r="C8" s="55">
        <v>75571</v>
      </c>
      <c r="D8" s="55">
        <v>0</v>
      </c>
      <c r="E8" s="55">
        <v>0</v>
      </c>
      <c r="F8" s="7">
        <f t="shared" si="0"/>
        <v>75571</v>
      </c>
      <c r="G8"/>
      <c r="H8" s="257"/>
      <c r="I8" s="257"/>
      <c r="J8" s="257"/>
      <c r="K8" s="257"/>
      <c r="L8" s="257"/>
      <c r="M8" s="257"/>
    </row>
    <row r="9" spans="1:17" x14ac:dyDescent="0.2">
      <c r="A9" s="195" t="s">
        <v>61</v>
      </c>
      <c r="B9" s="76">
        <v>41621</v>
      </c>
      <c r="C9" s="55">
        <v>255512</v>
      </c>
      <c r="D9" s="55">
        <v>0</v>
      </c>
      <c r="E9" s="55">
        <v>0</v>
      </c>
      <c r="F9" s="7">
        <f t="shared" si="0"/>
        <v>255512</v>
      </c>
      <c r="G9"/>
      <c r="H9" s="257"/>
      <c r="I9" s="257"/>
      <c r="J9" s="257"/>
      <c r="K9" s="257"/>
      <c r="L9" s="257"/>
      <c r="M9" s="257"/>
    </row>
    <row r="10" spans="1:17" x14ac:dyDescent="0.2">
      <c r="A10" s="195" t="s">
        <v>62</v>
      </c>
      <c r="B10" s="76">
        <v>41668</v>
      </c>
      <c r="C10" s="55">
        <v>75497</v>
      </c>
      <c r="D10" s="55">
        <v>0</v>
      </c>
      <c r="E10" s="55">
        <v>0</v>
      </c>
      <c r="F10" s="7">
        <f t="shared" si="0"/>
        <v>75497</v>
      </c>
      <c r="G10"/>
      <c r="H10" s="257"/>
      <c r="I10" s="257"/>
      <c r="J10" s="257"/>
      <c r="K10" s="257"/>
      <c r="L10" s="257"/>
      <c r="M10" s="257"/>
    </row>
    <row r="11" spans="1:17" x14ac:dyDescent="0.2">
      <c r="A11" s="195" t="s">
        <v>63</v>
      </c>
      <c r="B11" s="76">
        <v>41705</v>
      </c>
      <c r="C11" s="55">
        <v>35744</v>
      </c>
      <c r="D11" s="55">
        <v>0</v>
      </c>
      <c r="E11" s="55">
        <v>0</v>
      </c>
      <c r="F11" s="7">
        <f t="shared" si="0"/>
        <v>35744</v>
      </c>
      <c r="G11"/>
      <c r="H11" s="257"/>
      <c r="I11" s="257"/>
      <c r="J11" s="257"/>
      <c r="K11" s="257"/>
      <c r="L11" s="257"/>
      <c r="M11" s="257"/>
    </row>
    <row r="12" spans="1:17" collapsed="1" x14ac:dyDescent="0.2">
      <c r="A12" s="195" t="s">
        <v>64</v>
      </c>
      <c r="B12" s="76">
        <v>41726</v>
      </c>
      <c r="C12" s="55">
        <v>30622</v>
      </c>
      <c r="D12" s="55">
        <v>0</v>
      </c>
      <c r="E12" s="55">
        <v>0</v>
      </c>
      <c r="F12" s="7">
        <f t="shared" si="0"/>
        <v>30622</v>
      </c>
      <c r="G12"/>
      <c r="H12" s="257"/>
      <c r="I12" s="257"/>
      <c r="J12" s="257"/>
      <c r="K12" s="257"/>
      <c r="L12" s="257"/>
      <c r="M12" s="257"/>
    </row>
    <row r="13" spans="1:17" x14ac:dyDescent="0.2">
      <c r="A13" s="195" t="s">
        <v>65</v>
      </c>
      <c r="B13" s="76">
        <v>41750</v>
      </c>
      <c r="C13" s="55">
        <v>15351</v>
      </c>
      <c r="D13" s="55">
        <v>0</v>
      </c>
      <c r="E13" s="55">
        <v>0</v>
      </c>
      <c r="F13" s="7">
        <f t="shared" si="0"/>
        <v>15351</v>
      </c>
      <c r="G13"/>
      <c r="H13" s="257"/>
      <c r="I13" s="257"/>
      <c r="J13" s="257"/>
      <c r="K13" s="257"/>
      <c r="L13" s="257"/>
      <c r="M13" s="257"/>
    </row>
    <row r="14" spans="1:17" x14ac:dyDescent="0.2">
      <c r="A14" s="195" t="s">
        <v>66</v>
      </c>
      <c r="B14" s="76">
        <v>41778</v>
      </c>
      <c r="C14" s="55">
        <v>4064</v>
      </c>
      <c r="D14" s="55">
        <v>0</v>
      </c>
      <c r="E14" s="55">
        <v>0</v>
      </c>
      <c r="F14" s="7">
        <f t="shared" si="0"/>
        <v>4064</v>
      </c>
      <c r="G14"/>
      <c r="H14" s="257"/>
      <c r="I14" s="257"/>
      <c r="J14" s="257"/>
      <c r="K14" s="257"/>
      <c r="L14" s="257"/>
      <c r="M14" s="257"/>
    </row>
    <row r="15" spans="1:17" ht="13.5" thickBot="1" x14ac:dyDescent="0.25">
      <c r="B15" s="58" t="s">
        <v>0</v>
      </c>
      <c r="C15" s="196">
        <f>SUM(C2:C14)</f>
        <v>563584</v>
      </c>
      <c r="D15" s="196">
        <f>SUM(D2:D14)</f>
        <v>0</v>
      </c>
      <c r="E15" s="196">
        <f>SUM(E2:E14)</f>
        <v>0</v>
      </c>
      <c r="F15" s="196">
        <f>SUM(F2:F14)</f>
        <v>563584</v>
      </c>
      <c r="G15"/>
      <c r="H15"/>
      <c r="I15"/>
      <c r="J15"/>
      <c r="K15"/>
      <c r="L15"/>
      <c r="M15"/>
    </row>
    <row r="16" spans="1:17" ht="13.5" thickTop="1" x14ac:dyDescent="0.2">
      <c r="A16" s="60" t="s">
        <v>19</v>
      </c>
      <c r="B16" s="62" t="s">
        <v>22</v>
      </c>
      <c r="C16" s="64">
        <v>0</v>
      </c>
      <c r="D16" s="64">
        <v>0</v>
      </c>
      <c r="E16" s="64">
        <v>0</v>
      </c>
      <c r="F16" s="64">
        <f>SUM(C16:E16)</f>
        <v>0</v>
      </c>
      <c r="J16" s="198"/>
      <c r="K16" s="199" t="s">
        <v>14</v>
      </c>
      <c r="L16" s="259" t="s">
        <v>13</v>
      </c>
      <c r="M16"/>
      <c r="Q16" s="200"/>
    </row>
    <row r="17" spans="1:18" x14ac:dyDescent="0.2">
      <c r="A17" s="60" t="s">
        <v>20</v>
      </c>
      <c r="B17" s="62" t="s">
        <v>22</v>
      </c>
      <c r="C17" s="64">
        <v>0</v>
      </c>
      <c r="D17" s="64">
        <v>0</v>
      </c>
      <c r="E17" s="64">
        <v>0</v>
      </c>
      <c r="F17" s="64">
        <f>SUM(C17:E17)</f>
        <v>0</v>
      </c>
      <c r="J17" s="201" t="s">
        <v>11</v>
      </c>
      <c r="K17" s="103">
        <v>42491</v>
      </c>
      <c r="L17" s="251">
        <v>42445</v>
      </c>
      <c r="M17"/>
    </row>
    <row r="18" spans="1:18" ht="13.5" thickBot="1" x14ac:dyDescent="0.25">
      <c r="B18" s="58" t="s">
        <v>52</v>
      </c>
      <c r="C18" s="196">
        <f>+SUM(C15:C17)</f>
        <v>563584</v>
      </c>
      <c r="D18" s="196">
        <f>+SUM(D15:D17)</f>
        <v>0</v>
      </c>
      <c r="E18" s="196">
        <f>+SUM(E15:E17)</f>
        <v>0</v>
      </c>
      <c r="F18" s="196">
        <f>+SUM(F15:F17)</f>
        <v>563584</v>
      </c>
      <c r="J18" s="203" t="s">
        <v>17</v>
      </c>
      <c r="K18" s="104">
        <v>42654</v>
      </c>
      <c r="L18" s="252">
        <v>42661</v>
      </c>
      <c r="M18"/>
    </row>
    <row r="19" spans="1:18" ht="14.25" thickTop="1" thickBot="1" x14ac:dyDescent="0.25">
      <c r="B19" s="58"/>
      <c r="C19" s="63"/>
      <c r="D19" s="63"/>
      <c r="E19" s="63"/>
      <c r="F19" s="63"/>
      <c r="I19" s="64"/>
      <c r="J19" s="64"/>
      <c r="K19" s="64"/>
      <c r="L19" s="64"/>
      <c r="M19" s="64"/>
      <c r="N19" s="64"/>
      <c r="O19" s="64"/>
      <c r="P19" s="64"/>
      <c r="Q19" s="64"/>
      <c r="R19" s="64"/>
    </row>
    <row r="20" spans="1:18" x14ac:dyDescent="0.2">
      <c r="B20" s="227"/>
      <c r="C20" s="65"/>
      <c r="D20" s="60"/>
      <c r="I20" s="205"/>
      <c r="J20" s="313" t="s">
        <v>2</v>
      </c>
      <c r="K20" s="313"/>
      <c r="L20" s="206" t="s">
        <v>54</v>
      </c>
      <c r="M20" s="207"/>
    </row>
    <row r="21" spans="1:18" ht="36.75" x14ac:dyDescent="0.2">
      <c r="A21" s="208" t="s">
        <v>53</v>
      </c>
      <c r="B21" s="208" t="s">
        <v>3</v>
      </c>
      <c r="C21" s="208" t="s">
        <v>4</v>
      </c>
      <c r="D21" s="208" t="s">
        <v>5</v>
      </c>
      <c r="E21" s="208" t="s">
        <v>6</v>
      </c>
      <c r="F21" s="208" t="s">
        <v>7</v>
      </c>
      <c r="G21" s="208" t="s">
        <v>80</v>
      </c>
      <c r="H21" s="208" t="s">
        <v>81</v>
      </c>
      <c r="I21" s="192" t="s">
        <v>82</v>
      </c>
      <c r="J21" s="193" t="s">
        <v>83</v>
      </c>
      <c r="K21" s="193" t="s">
        <v>84</v>
      </c>
      <c r="L21" s="193" t="s">
        <v>85</v>
      </c>
      <c r="M21" s="194" t="s">
        <v>75</v>
      </c>
      <c r="N21" s="208" t="s">
        <v>86</v>
      </c>
      <c r="O21" s="208" t="s">
        <v>87</v>
      </c>
    </row>
    <row r="22" spans="1:18" x14ac:dyDescent="0.2">
      <c r="A22" s="195" t="s">
        <v>22</v>
      </c>
      <c r="B22" s="209" t="str">
        <f t="shared" ref="B22:B27" si="1">+IF(MONTH(C22)&lt;4,"Q1",IF(MONTH(C22)&lt;7,"Q2",IF(MONTH(C22)&lt;10,"Q3","Q4")))&amp;"/"&amp;YEAR(C22)</f>
        <v>Q1/2016</v>
      </c>
      <c r="C22" s="210">
        <f>+L17</f>
        <v>42445</v>
      </c>
      <c r="D22" s="210">
        <f t="shared" ref="D22:D27" si="2">DATE(YEAR(C22),IF(MONTH(C22)&lt;=3,3,IF(MONTH(C22)&lt;=6,6,IF(MONTH(C22)&lt;=9,9,12))),IF(OR(MONTH(C22)&lt;=3,MONTH(C22)&gt;=10),31,30))</f>
        <v>42460</v>
      </c>
      <c r="E22" s="209">
        <f t="shared" ref="E22:E27" si="3">D22-C22+1</f>
        <v>16</v>
      </c>
      <c r="F22" s="83">
        <f>VLOOKUP(D22,'FERC Interest Rate'!$A:$B,2,TRUE)</f>
        <v>3.2500000000000001E-2</v>
      </c>
      <c r="G22" s="84">
        <f>+$C$18</f>
        <v>563584</v>
      </c>
      <c r="H22" s="84">
        <f>G22*F22*(E22/(DATE(YEAR(D22),12,31)-DATE(YEAR(D22),1,1)+1))</f>
        <v>800.72043715846996</v>
      </c>
      <c r="I22" s="109">
        <v>0</v>
      </c>
      <c r="J22" s="69">
        <v>0</v>
      </c>
      <c r="K22" s="211">
        <f t="shared" ref="K22:K26" si="4">+SUM(I22:J22)</f>
        <v>0</v>
      </c>
      <c r="L22" s="69">
        <v>0</v>
      </c>
      <c r="M22" s="212">
        <v>0</v>
      </c>
      <c r="N22" s="64">
        <f t="shared" ref="N22:N27" si="5">+G22+H22+J22</f>
        <v>564384.72043715848</v>
      </c>
      <c r="O22" s="84">
        <f>+N22-M22</f>
        <v>564384.72043715848</v>
      </c>
    </row>
    <row r="23" spans="1:18" x14ac:dyDescent="0.2">
      <c r="A23" s="195" t="s">
        <v>22</v>
      </c>
      <c r="B23" s="209" t="str">
        <f t="shared" si="1"/>
        <v>Q2/2016</v>
      </c>
      <c r="C23" s="210">
        <f t="shared" ref="C23:C27" si="6">D22+1</f>
        <v>42461</v>
      </c>
      <c r="D23" s="210">
        <f t="shared" si="2"/>
        <v>42551</v>
      </c>
      <c r="E23" s="209">
        <f t="shared" si="3"/>
        <v>91</v>
      </c>
      <c r="F23" s="83">
        <f>VLOOKUP(D23,'FERC Interest Rate'!$A:$B,2,TRUE)</f>
        <v>3.4599999999999999E-2</v>
      </c>
      <c r="G23" s="84">
        <f>O22</f>
        <v>564384.72043715848</v>
      </c>
      <c r="H23" s="84">
        <f t="shared" ref="H23:H27" si="7">G23*F23*(E23/(DATE(YEAR(D23),12,31)-DATE(YEAR(D23),1,1)+1))</f>
        <v>4855.2506305148554</v>
      </c>
      <c r="I23" s="109">
        <v>0</v>
      </c>
      <c r="J23" s="69">
        <v>0</v>
      </c>
      <c r="K23" s="211">
        <f t="shared" si="4"/>
        <v>0</v>
      </c>
      <c r="L23" s="69">
        <v>0</v>
      </c>
      <c r="M23" s="212">
        <v>0</v>
      </c>
      <c r="N23" s="64">
        <f t="shared" si="5"/>
        <v>569239.97106767329</v>
      </c>
      <c r="O23" s="84">
        <f t="shared" ref="O23:O27" si="8">+N23-M23</f>
        <v>569239.97106767329</v>
      </c>
    </row>
    <row r="24" spans="1:18" x14ac:dyDescent="0.2">
      <c r="A24" s="195" t="s">
        <v>22</v>
      </c>
      <c r="B24" s="209" t="str">
        <f t="shared" si="1"/>
        <v>Q3/2016</v>
      </c>
      <c r="C24" s="210">
        <f t="shared" si="6"/>
        <v>42552</v>
      </c>
      <c r="D24" s="210">
        <f t="shared" si="2"/>
        <v>42643</v>
      </c>
      <c r="E24" s="209">
        <f t="shared" si="3"/>
        <v>92</v>
      </c>
      <c r="F24" s="83">
        <f>VLOOKUP(D24,'FERC Interest Rate'!$A:$B,2,TRUE)</f>
        <v>3.5000000000000003E-2</v>
      </c>
      <c r="G24" s="84">
        <f>O23</f>
        <v>569239.97106767329</v>
      </c>
      <c r="H24" s="84">
        <f t="shared" si="7"/>
        <v>5008.0675050216068</v>
      </c>
      <c r="I24" s="109">
        <v>0</v>
      </c>
      <c r="J24" s="69">
        <v>0</v>
      </c>
      <c r="K24" s="211">
        <f t="shared" si="4"/>
        <v>0</v>
      </c>
      <c r="L24" s="69">
        <v>0</v>
      </c>
      <c r="M24" s="212">
        <v>0</v>
      </c>
      <c r="N24" s="64">
        <f t="shared" si="5"/>
        <v>574248.03857269487</v>
      </c>
      <c r="O24" s="84">
        <f t="shared" si="8"/>
        <v>574248.03857269487</v>
      </c>
    </row>
    <row r="25" spans="1:18" x14ac:dyDescent="0.2">
      <c r="A25" s="195" t="s">
        <v>22</v>
      </c>
      <c r="B25" s="209" t="str">
        <f t="shared" si="1"/>
        <v>Q4/2016</v>
      </c>
      <c r="C25" s="210">
        <f t="shared" si="6"/>
        <v>42644</v>
      </c>
      <c r="D25" s="210">
        <f t="shared" si="2"/>
        <v>42735</v>
      </c>
      <c r="E25" s="209">
        <f t="shared" si="3"/>
        <v>92</v>
      </c>
      <c r="F25" s="83">
        <f>VLOOKUP(D25,'FERC Interest Rate'!$A:$B,2,TRUE)</f>
        <v>3.5000000000000003E-2</v>
      </c>
      <c r="G25" s="84">
        <f>O24</f>
        <v>574248.03857269487</v>
      </c>
      <c r="H25" s="84">
        <f t="shared" si="7"/>
        <v>5052.1275524701578</v>
      </c>
      <c r="I25" s="109">
        <v>0</v>
      </c>
      <c r="J25" s="69">
        <v>0</v>
      </c>
      <c r="K25" s="211">
        <f t="shared" si="4"/>
        <v>0</v>
      </c>
      <c r="L25" s="69">
        <v>0</v>
      </c>
      <c r="M25" s="212">
        <f t="shared" ref="M25:M26" si="9">+SUM(K25:L25)</f>
        <v>0</v>
      </c>
      <c r="N25" s="64">
        <f t="shared" si="5"/>
        <v>579300.16612516507</v>
      </c>
      <c r="O25" s="84">
        <f t="shared" si="8"/>
        <v>579300.16612516507</v>
      </c>
    </row>
    <row r="26" spans="1:18" x14ac:dyDescent="0.2">
      <c r="A26" s="195" t="s">
        <v>22</v>
      </c>
      <c r="B26" s="209" t="str">
        <f t="shared" si="1"/>
        <v>Q1/2017</v>
      </c>
      <c r="C26" s="210">
        <f t="shared" si="6"/>
        <v>42736</v>
      </c>
      <c r="D26" s="210">
        <f t="shared" si="2"/>
        <v>42825</v>
      </c>
      <c r="E26" s="209">
        <f t="shared" si="3"/>
        <v>90</v>
      </c>
      <c r="F26" s="83">
        <f>VLOOKUP(D26,'FERC Interest Rate'!$A:$B,2,TRUE)</f>
        <v>3.5000000000000003E-2</v>
      </c>
      <c r="G26" s="84">
        <f>O25</f>
        <v>579300.16612516507</v>
      </c>
      <c r="H26" s="84">
        <f t="shared" si="7"/>
        <v>4999.4397898473153</v>
      </c>
      <c r="I26" s="109">
        <v>0</v>
      </c>
      <c r="J26" s="69">
        <v>0</v>
      </c>
      <c r="K26" s="211">
        <f t="shared" si="4"/>
        <v>0</v>
      </c>
      <c r="L26" s="69">
        <v>0</v>
      </c>
      <c r="M26" s="212">
        <f t="shared" si="9"/>
        <v>0</v>
      </c>
      <c r="N26" s="64">
        <f t="shared" si="5"/>
        <v>584299.60591501242</v>
      </c>
      <c r="O26" s="84">
        <f t="shared" si="8"/>
        <v>584299.60591501242</v>
      </c>
    </row>
    <row r="27" spans="1:18" x14ac:dyDescent="0.2">
      <c r="A27" s="195" t="s">
        <v>54</v>
      </c>
      <c r="B27" s="209" t="str">
        <f t="shared" si="1"/>
        <v>Q2/2017</v>
      </c>
      <c r="C27" s="210">
        <f t="shared" si="6"/>
        <v>42826</v>
      </c>
      <c r="D27" s="210">
        <f t="shared" si="2"/>
        <v>42916</v>
      </c>
      <c r="E27" s="209">
        <f t="shared" si="3"/>
        <v>91</v>
      </c>
      <c r="F27" s="83">
        <f>VLOOKUP(D27,'FERC Interest Rate'!$A:$B,2,TRUE)</f>
        <v>3.7100000000000001E-2</v>
      </c>
      <c r="G27" s="84">
        <f t="shared" ref="G27" si="10">O26</f>
        <v>584299.60591501242</v>
      </c>
      <c r="H27" s="84">
        <f t="shared" si="7"/>
        <v>5404.5312315881465</v>
      </c>
      <c r="I27" s="109">
        <f>(SUM($H$22:$H$28))</f>
        <v>26120.137146600551</v>
      </c>
      <c r="J27" s="69">
        <v>0</v>
      </c>
      <c r="K27" s="211">
        <f t="shared" ref="K27" si="11">+SUM(I27:J27)</f>
        <v>26120.137146600551</v>
      </c>
      <c r="L27" s="69">
        <f>+$G$22</f>
        <v>563584</v>
      </c>
      <c r="M27" s="212">
        <f t="shared" ref="M27" si="12">+SUM(K27:L27)</f>
        <v>589704.13714660052</v>
      </c>
      <c r="N27" s="64">
        <f t="shared" si="5"/>
        <v>589704.13714660052</v>
      </c>
      <c r="O27" s="84">
        <f t="shared" si="8"/>
        <v>0</v>
      </c>
    </row>
    <row r="28" spans="1:18" x14ac:dyDescent="0.2">
      <c r="B28" s="66"/>
      <c r="C28" s="67"/>
      <c r="D28" s="67"/>
      <c r="E28" s="68"/>
      <c r="F28" s="66"/>
      <c r="G28" s="69"/>
      <c r="H28" s="71"/>
      <c r="I28" s="213"/>
      <c r="J28" s="69"/>
      <c r="K28" s="214"/>
      <c r="L28" s="70"/>
      <c r="M28" s="215"/>
      <c r="O28" s="69"/>
    </row>
    <row r="29" spans="1:18" ht="13.5" thickBot="1" x14ac:dyDescent="0.25">
      <c r="A29" s="197"/>
      <c r="B29" s="216"/>
      <c r="C29" s="217"/>
      <c r="D29" s="217"/>
      <c r="E29" s="218"/>
      <c r="F29" s="216"/>
      <c r="G29" s="219">
        <f t="shared" ref="G29:O29" si="13">+SUM(G22:G28)</f>
        <v>3435056.5021177041</v>
      </c>
      <c r="H29" s="219">
        <f t="shared" si="13"/>
        <v>26120.137146600551</v>
      </c>
      <c r="I29" s="220">
        <f t="shared" si="13"/>
        <v>26120.137146600551</v>
      </c>
      <c r="J29" s="219">
        <f t="shared" si="13"/>
        <v>0</v>
      </c>
      <c r="K29" s="219">
        <f t="shared" si="13"/>
        <v>26120.137146600551</v>
      </c>
      <c r="L29" s="219">
        <f t="shared" si="13"/>
        <v>563584</v>
      </c>
      <c r="M29" s="221">
        <f t="shared" si="13"/>
        <v>589704.13714660052</v>
      </c>
      <c r="N29" s="219">
        <f t="shared" si="13"/>
        <v>3461176.6392643047</v>
      </c>
      <c r="O29" s="219">
        <f t="shared" si="13"/>
        <v>2871472.5021177041</v>
      </c>
    </row>
    <row r="30" spans="1:18" ht="14.25" thickTop="1" thickBot="1" x14ac:dyDescent="0.25">
      <c r="H30" s="211"/>
      <c r="I30" s="222"/>
      <c r="J30" s="223"/>
      <c r="K30" s="223"/>
      <c r="L30" s="223"/>
      <c r="M30" s="224"/>
    </row>
  </sheetData>
  <mergeCells count="1">
    <mergeCell ref="J20:K20"/>
  </mergeCells>
  <pageMargins left="0.7" right="0.7" top="0.75" bottom="0.75" header="0.3" footer="0.3"/>
  <pageSetup scale="53" fitToHeight="0" orientation="landscape" r:id="rId1"/>
  <headerFooter alignWithMargins="0">
    <oddHeader>&amp;RTO2019 Annual Update
Attachment 4
WP Schedule 22
Page &amp;P of &amp;N</oddHeader>
    <oddFooter>&amp;R&amp;A</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4"/>
  <sheetViews>
    <sheetView topLeftCell="E1" zoomScale="80" zoomScaleNormal="80" workbookViewId="0">
      <selection activeCell="G1" sqref="G1"/>
    </sheetView>
  </sheetViews>
  <sheetFormatPr defaultColWidth="9.140625" defaultRowHeight="12.75" x14ac:dyDescent="0.2"/>
  <cols>
    <col min="1" max="1" width="10.28515625" style="59" customWidth="1"/>
    <col min="2" max="2" width="13.5703125" style="59" customWidth="1"/>
    <col min="3" max="3" width="15.42578125" style="59" bestFit="1" customWidth="1"/>
    <col min="4" max="4" width="13.5703125" style="59" customWidth="1"/>
    <col min="5" max="5" width="12.42578125" style="59" customWidth="1"/>
    <col min="6" max="6" width="15.42578125" style="59" bestFit="1" customWidth="1"/>
    <col min="7" max="7" width="17.28515625" style="59" customWidth="1"/>
    <col min="8" max="9" width="16.140625" style="59" customWidth="1"/>
    <col min="10" max="10" width="17.28515625" style="59" bestFit="1" customWidth="1"/>
    <col min="11" max="11" width="16.140625" style="59" customWidth="1"/>
    <col min="12" max="12" width="17.85546875" style="59" customWidth="1"/>
    <col min="13" max="13" width="16.140625" style="59" customWidth="1"/>
    <col min="14" max="14" width="17" style="59" customWidth="1"/>
    <col min="15" max="15" width="17.28515625" style="59" customWidth="1"/>
    <col min="16" max="18" width="16.140625" style="59" customWidth="1"/>
    <col min="19" max="19" width="16" style="59" customWidth="1"/>
    <col min="20" max="16384" width="9.140625" style="59"/>
  </cols>
  <sheetData>
    <row r="1" spans="1:18" ht="38.25" x14ac:dyDescent="0.2">
      <c r="A1" s="190" t="s">
        <v>8</v>
      </c>
      <c r="B1" s="191" t="s">
        <v>88</v>
      </c>
      <c r="C1" s="190" t="s">
        <v>2</v>
      </c>
      <c r="D1" s="190" t="s">
        <v>1</v>
      </c>
      <c r="E1" s="191" t="s">
        <v>74</v>
      </c>
      <c r="F1" s="191" t="s">
        <v>48</v>
      </c>
      <c r="G1"/>
      <c r="H1"/>
      <c r="I1"/>
      <c r="J1"/>
      <c r="K1"/>
      <c r="L1"/>
      <c r="M1"/>
    </row>
    <row r="2" spans="1:18" ht="12.75" customHeight="1" x14ac:dyDescent="0.2">
      <c r="A2" s="195" t="s">
        <v>54</v>
      </c>
      <c r="B2" s="76">
        <v>42501</v>
      </c>
      <c r="C2" s="55">
        <v>1695</v>
      </c>
      <c r="D2" s="55">
        <v>0</v>
      </c>
      <c r="E2" s="55">
        <v>29637.435823799155</v>
      </c>
      <c r="F2" s="7">
        <f>SUM(C2:E2)</f>
        <v>31332.435823799155</v>
      </c>
      <c r="G2"/>
      <c r="H2"/>
      <c r="I2"/>
      <c r="J2"/>
      <c r="K2"/>
      <c r="L2"/>
      <c r="M2"/>
    </row>
    <row r="3" spans="1:18" ht="12.75" customHeight="1" x14ac:dyDescent="0.2">
      <c r="A3" s="195" t="s">
        <v>55</v>
      </c>
      <c r="B3" s="76">
        <v>42578</v>
      </c>
      <c r="C3" s="55">
        <v>406</v>
      </c>
      <c r="D3" s="55">
        <v>0</v>
      </c>
      <c r="E3" s="55">
        <v>7105.5641762008436</v>
      </c>
      <c r="F3" s="7">
        <f t="shared" ref="F3" si="0">SUM(C3:E3)</f>
        <v>7511.5641762008436</v>
      </c>
      <c r="G3"/>
      <c r="H3"/>
      <c r="I3"/>
      <c r="J3"/>
      <c r="K3"/>
      <c r="L3"/>
      <c r="M3"/>
    </row>
    <row r="4" spans="1:18" ht="13.5" thickBot="1" x14ac:dyDescent="0.25">
      <c r="B4" s="58" t="s">
        <v>0</v>
      </c>
      <c r="C4" s="196">
        <f>SUM(C2:C3)</f>
        <v>2101</v>
      </c>
      <c r="D4" s="196">
        <f>SUM(D2:D3)</f>
        <v>0</v>
      </c>
      <c r="E4" s="196">
        <f>SUM(E2:E3)</f>
        <v>36743</v>
      </c>
      <c r="F4" s="196">
        <f>SUM(F2:F3)</f>
        <v>38844</v>
      </c>
      <c r="G4"/>
      <c r="H4"/>
      <c r="I4"/>
      <c r="J4"/>
      <c r="K4"/>
      <c r="L4"/>
      <c r="M4"/>
    </row>
    <row r="5" spans="1:18" ht="13.5" thickTop="1" x14ac:dyDescent="0.2">
      <c r="A5" s="60" t="s">
        <v>19</v>
      </c>
      <c r="B5" s="62" t="s">
        <v>22</v>
      </c>
      <c r="C5" s="64">
        <v>0</v>
      </c>
      <c r="D5" s="64">
        <v>0</v>
      </c>
      <c r="E5" s="64">
        <v>0</v>
      </c>
      <c r="F5" s="64">
        <f>SUM(C5:E5)</f>
        <v>0</v>
      </c>
      <c r="J5" s="198"/>
      <c r="K5" s="199" t="s">
        <v>14</v>
      </c>
      <c r="L5" s="259" t="s">
        <v>13</v>
      </c>
      <c r="M5"/>
      <c r="Q5" s="200"/>
    </row>
    <row r="6" spans="1:18" x14ac:dyDescent="0.2">
      <c r="A6" s="60" t="s">
        <v>20</v>
      </c>
      <c r="B6" s="62" t="s">
        <v>22</v>
      </c>
      <c r="C6" s="64">
        <v>0</v>
      </c>
      <c r="D6" s="64">
        <v>0</v>
      </c>
      <c r="E6" s="64">
        <v>0</v>
      </c>
      <c r="F6" s="64">
        <f>SUM(C6:E6)</f>
        <v>0</v>
      </c>
      <c r="J6" s="201" t="s">
        <v>11</v>
      </c>
      <c r="K6" s="202">
        <v>42689</v>
      </c>
      <c r="L6" s="260">
        <v>42696</v>
      </c>
      <c r="M6"/>
    </row>
    <row r="7" spans="1:18" ht="13.5" thickBot="1" x14ac:dyDescent="0.25">
      <c r="B7" s="58" t="s">
        <v>52</v>
      </c>
      <c r="C7" s="196">
        <f>+SUM(C4:C6)</f>
        <v>2101</v>
      </c>
      <c r="D7" s="196">
        <f>+SUM(D4:D6)</f>
        <v>0</v>
      </c>
      <c r="E7" s="196">
        <f>+SUM(E4:E6)</f>
        <v>36743</v>
      </c>
      <c r="F7" s="196">
        <f>+SUM(F4:F6)</f>
        <v>38844</v>
      </c>
      <c r="J7" s="203" t="s">
        <v>120</v>
      </c>
      <c r="K7" s="204">
        <v>42720</v>
      </c>
      <c r="L7" s="261">
        <v>42866</v>
      </c>
      <c r="M7"/>
    </row>
    <row r="8" spans="1:18" ht="14.25" thickTop="1" thickBot="1" x14ac:dyDescent="0.25">
      <c r="B8" s="58"/>
      <c r="C8" s="63"/>
      <c r="D8" s="63"/>
      <c r="E8" s="63"/>
      <c r="F8" s="63"/>
      <c r="I8" s="64"/>
      <c r="J8" s="64"/>
      <c r="K8" s="64"/>
      <c r="L8" s="64"/>
      <c r="M8" s="64"/>
      <c r="N8" s="64"/>
      <c r="O8" s="64"/>
      <c r="P8" s="64"/>
      <c r="Q8" s="64"/>
      <c r="R8" s="64"/>
    </row>
    <row r="9" spans="1:18" x14ac:dyDescent="0.2">
      <c r="B9" s="227"/>
      <c r="C9" s="65"/>
      <c r="D9" s="60"/>
      <c r="I9" s="205"/>
      <c r="J9" s="313" t="s">
        <v>2</v>
      </c>
      <c r="K9" s="313"/>
      <c r="L9" s="206" t="s">
        <v>54</v>
      </c>
      <c r="M9" s="207"/>
    </row>
    <row r="10" spans="1:18" ht="36.75" x14ac:dyDescent="0.2">
      <c r="A10" s="208" t="s">
        <v>53</v>
      </c>
      <c r="B10" s="208" t="s">
        <v>3</v>
      </c>
      <c r="C10" s="208" t="s">
        <v>4</v>
      </c>
      <c r="D10" s="208" t="s">
        <v>5</v>
      </c>
      <c r="E10" s="208" t="s">
        <v>6</v>
      </c>
      <c r="F10" s="208" t="s">
        <v>7</v>
      </c>
      <c r="G10" s="208" t="s">
        <v>80</v>
      </c>
      <c r="H10" s="208" t="s">
        <v>81</v>
      </c>
      <c r="I10" s="192" t="s">
        <v>82</v>
      </c>
      <c r="J10" s="193" t="s">
        <v>83</v>
      </c>
      <c r="K10" s="193" t="s">
        <v>84</v>
      </c>
      <c r="L10" s="193" t="s">
        <v>85</v>
      </c>
      <c r="M10" s="194" t="s">
        <v>75</v>
      </c>
      <c r="N10" s="208" t="s">
        <v>86</v>
      </c>
      <c r="O10" s="208" t="s">
        <v>87</v>
      </c>
    </row>
    <row r="11" spans="1:18" x14ac:dyDescent="0.2">
      <c r="A11" s="195" t="s">
        <v>22</v>
      </c>
      <c r="B11" s="209" t="str">
        <f t="shared" ref="B11:B12" si="1">+IF(MONTH(C11)&lt;4,"Q1",IF(MONTH(C11)&lt;7,"Q2",IF(MONTH(C11)&lt;10,"Q3","Q4")))&amp;"/"&amp;YEAR(C11)</f>
        <v>Q4/2016</v>
      </c>
      <c r="C11" s="210">
        <f>+L6</f>
        <v>42696</v>
      </c>
      <c r="D11" s="210">
        <f t="shared" ref="D11:D12" si="2">DATE(YEAR(C11),IF(MONTH(C11)&lt;=3,3,IF(MONTH(C11)&lt;=6,6,IF(MONTH(C11)&lt;=9,9,12))),IF(OR(MONTH(C11)&lt;=3,MONTH(C11)&gt;=10),31,30))</f>
        <v>42735</v>
      </c>
      <c r="E11" s="209">
        <f t="shared" ref="E11:E12" si="3">D11-C11+1</f>
        <v>40</v>
      </c>
      <c r="F11" s="83">
        <f>VLOOKUP(D11,'FERC Interest Rate'!$A:$B,2,TRUE)</f>
        <v>3.5000000000000003E-2</v>
      </c>
      <c r="G11" s="84">
        <f>+$C$7</f>
        <v>2101</v>
      </c>
      <c r="H11" s="84">
        <f>G11*F11*(E11/(DATE(YEAR(D11),12,31)-DATE(YEAR(D11),1,1)+1))</f>
        <v>8.0366120218579251</v>
      </c>
      <c r="I11" s="109">
        <v>0</v>
      </c>
      <c r="J11" s="69">
        <v>0</v>
      </c>
      <c r="K11" s="211">
        <f t="shared" ref="K11:K12" si="4">+SUM(I11:J11)</f>
        <v>0</v>
      </c>
      <c r="L11" s="69">
        <v>0</v>
      </c>
      <c r="M11" s="212">
        <v>0</v>
      </c>
      <c r="N11" s="64">
        <f t="shared" ref="N11:N12" si="5">+G11+H11+J11</f>
        <v>2109.0366120218578</v>
      </c>
      <c r="O11" s="84">
        <f>+N11-M11</f>
        <v>2109.0366120218578</v>
      </c>
    </row>
    <row r="12" spans="1:18" x14ac:dyDescent="0.2">
      <c r="A12" s="195" t="s">
        <v>22</v>
      </c>
      <c r="B12" s="209" t="str">
        <f t="shared" si="1"/>
        <v>Q1/2017</v>
      </c>
      <c r="C12" s="210">
        <f t="shared" ref="C12" si="6">D11+1</f>
        <v>42736</v>
      </c>
      <c r="D12" s="210">
        <f t="shared" si="2"/>
        <v>42825</v>
      </c>
      <c r="E12" s="209">
        <f t="shared" si="3"/>
        <v>90</v>
      </c>
      <c r="F12" s="83">
        <f>VLOOKUP(D12,'FERC Interest Rate'!$A:$B,2,TRUE)</f>
        <v>3.5000000000000003E-2</v>
      </c>
      <c r="G12" s="84">
        <f>O11</f>
        <v>2109.0366120218578</v>
      </c>
      <c r="H12" s="84">
        <f t="shared" ref="H12" si="7">G12*F12*(E12/(DATE(YEAR(D12),12,31)-DATE(YEAR(D12),1,1)+1))</f>
        <v>18.201274870873565</v>
      </c>
      <c r="I12" s="109">
        <v>0</v>
      </c>
      <c r="J12" s="69">
        <v>0</v>
      </c>
      <c r="K12" s="211">
        <f t="shared" si="4"/>
        <v>0</v>
      </c>
      <c r="L12" s="69">
        <v>0</v>
      </c>
      <c r="M12" s="212">
        <v>0</v>
      </c>
      <c r="N12" s="64">
        <f t="shared" si="5"/>
        <v>2127.2378868927312</v>
      </c>
      <c r="O12" s="84">
        <f t="shared" ref="O12" si="8">+N12-M12</f>
        <v>2127.2378868927312</v>
      </c>
    </row>
    <row r="13" spans="1:18" x14ac:dyDescent="0.2">
      <c r="A13" s="195" t="s">
        <v>54</v>
      </c>
      <c r="B13" s="209" t="str">
        <f t="shared" ref="B13" si="9">+IF(MONTH(C13)&lt;4,"Q1",IF(MONTH(C13)&lt;7,"Q2",IF(MONTH(C13)&lt;10,"Q3","Q4")))&amp;"/"&amp;YEAR(C13)</f>
        <v>Q2/2017</v>
      </c>
      <c r="C13" s="210">
        <f t="shared" ref="C13" si="10">D12+1</f>
        <v>42826</v>
      </c>
      <c r="D13" s="210">
        <f t="shared" ref="D13" si="11">DATE(YEAR(C13),IF(MONTH(C13)&lt;=3,3,IF(MONTH(C13)&lt;=6,6,IF(MONTH(C13)&lt;=9,9,12))),IF(OR(MONTH(C13)&lt;=3,MONTH(C13)&gt;=10),31,30))</f>
        <v>42916</v>
      </c>
      <c r="E13" s="209">
        <f t="shared" ref="E13" si="12">D13-C13+1</f>
        <v>91</v>
      </c>
      <c r="F13" s="83">
        <f>VLOOKUP(D13,'FERC Interest Rate'!$A:$B,2,TRUE)</f>
        <v>3.7100000000000001E-2</v>
      </c>
      <c r="G13" s="84">
        <f t="shared" ref="G13" si="13">O12</f>
        <v>2127.2378868927312</v>
      </c>
      <c r="H13" s="84">
        <f t="shared" ref="H13" si="14">G13*F13*(E13/(DATE(YEAR(D13),12,31)-DATE(YEAR(D13),1,1)+1))</f>
        <v>19.676076246406989</v>
      </c>
      <c r="I13" s="109">
        <f>(SUM($H$11:$H$14))</f>
        <v>45.913963139138474</v>
      </c>
      <c r="J13" s="69">
        <v>0</v>
      </c>
      <c r="K13" s="211">
        <f t="shared" ref="K13" si="15">+SUM(I13:J13)</f>
        <v>45.913963139138474</v>
      </c>
      <c r="L13" s="69">
        <f>+$G$11</f>
        <v>2101</v>
      </c>
      <c r="M13" s="212">
        <f t="shared" ref="M13" si="16">+SUM(K13:L13)</f>
        <v>2146.9139631391386</v>
      </c>
      <c r="N13" s="64">
        <f t="shared" ref="N13" si="17">+G13+H13+J13</f>
        <v>2146.9139631391381</v>
      </c>
      <c r="O13" s="84">
        <f t="shared" ref="O13" si="18">+N13-M13</f>
        <v>0</v>
      </c>
    </row>
    <row r="14" spans="1:18" x14ac:dyDescent="0.2">
      <c r="B14" s="66"/>
      <c r="C14" s="67"/>
      <c r="D14" s="67"/>
      <c r="E14" s="68"/>
      <c r="F14" s="66"/>
      <c r="G14" s="69"/>
      <c r="H14" s="71"/>
      <c r="I14" s="213"/>
      <c r="J14" s="69"/>
      <c r="K14" s="214"/>
      <c r="L14" s="70"/>
      <c r="M14" s="215"/>
      <c r="O14" s="69"/>
    </row>
    <row r="15" spans="1:18" ht="13.5" thickBot="1" x14ac:dyDescent="0.25">
      <c r="A15" s="197"/>
      <c r="B15" s="216"/>
      <c r="C15" s="217"/>
      <c r="D15" s="217"/>
      <c r="E15" s="218"/>
      <c r="F15" s="216"/>
      <c r="G15" s="219">
        <f t="shared" ref="G15:O15" si="19">+SUM(G11:G14)</f>
        <v>6337.2744989145885</v>
      </c>
      <c r="H15" s="219">
        <f t="shared" si="19"/>
        <v>45.913963139138474</v>
      </c>
      <c r="I15" s="220">
        <f t="shared" si="19"/>
        <v>45.913963139138474</v>
      </c>
      <c r="J15" s="219">
        <f t="shared" si="19"/>
        <v>0</v>
      </c>
      <c r="K15" s="219">
        <f t="shared" si="19"/>
        <v>45.913963139138474</v>
      </c>
      <c r="L15" s="219">
        <f t="shared" si="19"/>
        <v>2101</v>
      </c>
      <c r="M15" s="221">
        <f t="shared" si="19"/>
        <v>2146.9139631391386</v>
      </c>
      <c r="N15" s="219">
        <f t="shared" si="19"/>
        <v>6383.1884620537267</v>
      </c>
      <c r="O15" s="219">
        <f t="shared" si="19"/>
        <v>4236.2744989145885</v>
      </c>
    </row>
    <row r="16" spans="1:18" ht="13.5" thickTop="1" x14ac:dyDescent="0.2">
      <c r="H16" s="211"/>
      <c r="I16" s="234"/>
      <c r="J16" s="235"/>
      <c r="K16" s="235"/>
      <c r="L16" s="235"/>
      <c r="M16" s="236"/>
    </row>
    <row r="17" spans="1:15" s="6" customFormat="1" x14ac:dyDescent="0.2">
      <c r="B17" s="43"/>
      <c r="C17" s="5"/>
      <c r="D17" s="17"/>
      <c r="I17" s="180"/>
      <c r="J17" s="317" t="s">
        <v>9</v>
      </c>
      <c r="K17" s="317"/>
      <c r="L17" s="150" t="s">
        <v>54</v>
      </c>
      <c r="M17" s="181"/>
    </row>
    <row r="18" spans="1:15" s="6" customFormat="1" ht="36.75" x14ac:dyDescent="0.2">
      <c r="A18" s="90" t="s">
        <v>53</v>
      </c>
      <c r="B18" s="90" t="s">
        <v>3</v>
      </c>
      <c r="C18" s="90" t="s">
        <v>4</v>
      </c>
      <c r="D18" s="90" t="s">
        <v>5</v>
      </c>
      <c r="E18" s="90" t="s">
        <v>6</v>
      </c>
      <c r="F18" s="90" t="s">
        <v>7</v>
      </c>
      <c r="G18" s="90" t="s">
        <v>80</v>
      </c>
      <c r="H18" s="90" t="s">
        <v>81</v>
      </c>
      <c r="I18" s="105" t="s">
        <v>82</v>
      </c>
      <c r="J18" s="106" t="s">
        <v>83</v>
      </c>
      <c r="K18" s="106" t="s">
        <v>84</v>
      </c>
      <c r="L18" s="106" t="s">
        <v>85</v>
      </c>
      <c r="M18" s="107" t="s">
        <v>75</v>
      </c>
      <c r="N18" s="90" t="s">
        <v>86</v>
      </c>
      <c r="O18" s="90" t="s">
        <v>87</v>
      </c>
    </row>
    <row r="19" spans="1:15" s="6" customFormat="1" x14ac:dyDescent="0.2">
      <c r="A19" s="96" t="s">
        <v>22</v>
      </c>
      <c r="B19" s="81" t="str">
        <f t="shared" ref="B19:B23" si="20">+IF(MONTH(C19)&lt;4,"Q1",IF(MONTH(C19)&lt;7,"Q2",IF(MONTH(C19)&lt;10,"Q3","Q4")))&amp;"/"&amp;YEAR(C19)</f>
        <v>Q2/2016</v>
      </c>
      <c r="C19" s="82">
        <f>+VLOOKUP(L17,$A$1:$F$3,2,FALSE)</f>
        <v>42501</v>
      </c>
      <c r="D19" s="82">
        <f t="shared" ref="D19:D23" si="21">DATE(YEAR(C19),IF(MONTH(C19)&lt;=3,3,IF(MONTH(C19)&lt;=6,6,IF(MONTH(C19)&lt;=9,9,12))),IF(OR(MONTH(C19)&lt;=3,MONTH(C19)&gt;=10),31,30))</f>
        <v>42551</v>
      </c>
      <c r="E19" s="81">
        <f t="shared" ref="E19:E23" si="22">D19-C19+1</f>
        <v>51</v>
      </c>
      <c r="F19" s="83">
        <v>3.4599999999999999E-2</v>
      </c>
      <c r="G19" s="84">
        <f>+VLOOKUP(L17,$A$1:$F$3,5,FALSE)</f>
        <v>29637.435823799155</v>
      </c>
      <c r="H19" s="84">
        <f>G19*F19*(E19/(DATE(YEAR(D19),12,31)-DATE(YEAR(D19),1,1)+1))</f>
        <v>142.89130943900543</v>
      </c>
      <c r="I19" s="109">
        <v>0</v>
      </c>
      <c r="J19" s="85">
        <v>0</v>
      </c>
      <c r="K19" s="129">
        <f t="shared" ref="K19:K22" si="23">+SUM(I19:J19)</f>
        <v>0</v>
      </c>
      <c r="L19" s="85">
        <v>0</v>
      </c>
      <c r="M19" s="130">
        <v>0</v>
      </c>
      <c r="N19" s="8">
        <f t="shared" ref="N19:N23" si="24">+G19+H19+J19</f>
        <v>29780.327133238159</v>
      </c>
      <c r="O19" s="84">
        <f>+N19-M19</f>
        <v>29780.327133238159</v>
      </c>
    </row>
    <row r="20" spans="1:15" s="6" customFormat="1" x14ac:dyDescent="0.2">
      <c r="A20" s="96" t="s">
        <v>22</v>
      </c>
      <c r="B20" s="81" t="str">
        <f t="shared" si="20"/>
        <v>Q3/2016</v>
      </c>
      <c r="C20" s="82">
        <f t="shared" ref="C20:C23" si="25">D19+1</f>
        <v>42552</v>
      </c>
      <c r="D20" s="82">
        <f t="shared" si="21"/>
        <v>42643</v>
      </c>
      <c r="E20" s="81">
        <f t="shared" si="22"/>
        <v>92</v>
      </c>
      <c r="F20" s="83">
        <v>3.5000000000000003E-2</v>
      </c>
      <c r="G20" s="84">
        <f>O19</f>
        <v>29780.327133238159</v>
      </c>
      <c r="H20" s="84">
        <f t="shared" ref="H20:H23" si="26">G20*F20*(E20/(DATE(YEAR(D20),12,31)-DATE(YEAR(D20),1,1)+1))</f>
        <v>262.00178516127562</v>
      </c>
      <c r="I20" s="109">
        <v>0</v>
      </c>
      <c r="J20" s="85">
        <v>0</v>
      </c>
      <c r="K20" s="129">
        <f t="shared" si="23"/>
        <v>0</v>
      </c>
      <c r="L20" s="85">
        <v>0</v>
      </c>
      <c r="M20" s="130">
        <v>0</v>
      </c>
      <c r="N20" s="8">
        <f t="shared" si="24"/>
        <v>30042.328918399435</v>
      </c>
      <c r="O20" s="84">
        <f t="shared" ref="O20:O23" si="27">+N20-M20</f>
        <v>30042.328918399435</v>
      </c>
    </row>
    <row r="21" spans="1:15" s="6" customFormat="1" x14ac:dyDescent="0.2">
      <c r="A21" s="96" t="s">
        <v>22</v>
      </c>
      <c r="B21" s="81" t="str">
        <f t="shared" si="20"/>
        <v>Q4/2016</v>
      </c>
      <c r="C21" s="82">
        <f t="shared" si="25"/>
        <v>42644</v>
      </c>
      <c r="D21" s="82">
        <f t="shared" si="21"/>
        <v>42735</v>
      </c>
      <c r="E21" s="81">
        <f t="shared" si="22"/>
        <v>92</v>
      </c>
      <c r="F21" s="83">
        <v>3.5000000000000003E-2</v>
      </c>
      <c r="G21" s="84">
        <f>O20</f>
        <v>30042.328918399435</v>
      </c>
      <c r="H21" s="84">
        <f t="shared" si="26"/>
        <v>264.30682818919723</v>
      </c>
      <c r="I21" s="109">
        <v>0</v>
      </c>
      <c r="J21" s="85">
        <v>0</v>
      </c>
      <c r="K21" s="129">
        <f t="shared" si="23"/>
        <v>0</v>
      </c>
      <c r="L21" s="85">
        <v>0</v>
      </c>
      <c r="M21" s="130">
        <v>0</v>
      </c>
      <c r="N21" s="8">
        <f t="shared" si="24"/>
        <v>30306.635746588632</v>
      </c>
      <c r="O21" s="84">
        <f t="shared" si="27"/>
        <v>30306.635746588632</v>
      </c>
    </row>
    <row r="22" spans="1:15" s="6" customFormat="1" x14ac:dyDescent="0.2">
      <c r="A22" s="96" t="s">
        <v>22</v>
      </c>
      <c r="B22" s="81" t="str">
        <f t="shared" si="20"/>
        <v>Q1/2017</v>
      </c>
      <c r="C22" s="82">
        <f t="shared" si="25"/>
        <v>42736</v>
      </c>
      <c r="D22" s="82">
        <f t="shared" si="21"/>
        <v>42825</v>
      </c>
      <c r="E22" s="81">
        <f t="shared" si="22"/>
        <v>90</v>
      </c>
      <c r="F22" s="83">
        <v>3.5000000000000003E-2</v>
      </c>
      <c r="G22" s="84">
        <f>O21</f>
        <v>30306.635746588632</v>
      </c>
      <c r="H22" s="84">
        <f t="shared" si="26"/>
        <v>261.55041808699781</v>
      </c>
      <c r="I22" s="109">
        <v>0</v>
      </c>
      <c r="J22" s="85">
        <v>0</v>
      </c>
      <c r="K22" s="129">
        <f t="shared" si="23"/>
        <v>0</v>
      </c>
      <c r="L22" s="85">
        <v>0</v>
      </c>
      <c r="M22" s="130">
        <v>0</v>
      </c>
      <c r="N22" s="8">
        <f t="shared" si="24"/>
        <v>30568.18616467563</v>
      </c>
      <c r="O22" s="84">
        <f t="shared" si="27"/>
        <v>30568.18616467563</v>
      </c>
    </row>
    <row r="23" spans="1:15" s="6" customFormat="1" x14ac:dyDescent="0.2">
      <c r="A23" s="96" t="s">
        <v>54</v>
      </c>
      <c r="B23" s="81" t="str">
        <f t="shared" si="20"/>
        <v>Q2/2017</v>
      </c>
      <c r="C23" s="82">
        <f t="shared" si="25"/>
        <v>42826</v>
      </c>
      <c r="D23" s="82">
        <f t="shared" si="21"/>
        <v>42916</v>
      </c>
      <c r="E23" s="81">
        <f t="shared" si="22"/>
        <v>91</v>
      </c>
      <c r="F23" s="83">
        <v>3.7100000000000001E-2</v>
      </c>
      <c r="G23" s="84">
        <f t="shared" ref="G23" si="28">O22</f>
        <v>30568.18616467563</v>
      </c>
      <c r="H23" s="84">
        <f t="shared" si="26"/>
        <v>282.74315975496273</v>
      </c>
      <c r="I23" s="109">
        <f>(SUM($H$32:$H$41)/20)</f>
        <v>11.865127344195013</v>
      </c>
      <c r="J23" s="85">
        <v>0</v>
      </c>
      <c r="K23" s="129">
        <f t="shared" ref="K23" si="29">+SUM(I23:J23)</f>
        <v>11.865127344195013</v>
      </c>
      <c r="L23" s="84">
        <f>+VLOOKUP($L$17,$A$1:$F$3,5,FALSE)</f>
        <v>29637.435823799155</v>
      </c>
      <c r="M23" s="130">
        <f t="shared" ref="M23" si="30">+SUM(K23:L23)</f>
        <v>29649.300951143348</v>
      </c>
      <c r="N23" s="8">
        <f t="shared" si="24"/>
        <v>30850.929324430592</v>
      </c>
      <c r="O23" s="84">
        <f t="shared" si="27"/>
        <v>1201.6283732872434</v>
      </c>
    </row>
    <row r="24" spans="1:15" s="6" customFormat="1" x14ac:dyDescent="0.2">
      <c r="B24" s="11"/>
      <c r="C24" s="125"/>
      <c r="D24" s="125"/>
      <c r="E24" s="10"/>
      <c r="F24" s="11"/>
      <c r="G24" s="85"/>
      <c r="H24" s="12"/>
      <c r="I24" s="115"/>
      <c r="J24" s="85"/>
      <c r="K24" s="117"/>
      <c r="L24" s="70"/>
      <c r="M24" s="131"/>
      <c r="O24" s="85"/>
    </row>
    <row r="25" spans="1:15" s="6" customFormat="1" ht="13.5" thickBot="1" x14ac:dyDescent="0.25">
      <c r="A25" s="151"/>
      <c r="B25" s="152"/>
      <c r="C25" s="155"/>
      <c r="D25" s="155"/>
      <c r="E25" s="154"/>
      <c r="F25" s="152"/>
      <c r="G25" s="140">
        <f t="shared" ref="G25:O25" si="31">+SUM(G19:G24)</f>
        <v>150334.91378670101</v>
      </c>
      <c r="H25" s="140">
        <f t="shared" si="31"/>
        <v>1213.4935006314388</v>
      </c>
      <c r="I25" s="141">
        <f t="shared" si="31"/>
        <v>11.865127344195013</v>
      </c>
      <c r="J25" s="140">
        <f t="shared" si="31"/>
        <v>0</v>
      </c>
      <c r="K25" s="140">
        <f t="shared" si="31"/>
        <v>11.865127344195013</v>
      </c>
      <c r="L25" s="140">
        <f t="shared" si="31"/>
        <v>29637.435823799155</v>
      </c>
      <c r="M25" s="142">
        <f t="shared" si="31"/>
        <v>29649.300951143348</v>
      </c>
      <c r="N25" s="140">
        <f t="shared" si="31"/>
        <v>151548.40728733243</v>
      </c>
      <c r="O25" s="140">
        <f t="shared" si="31"/>
        <v>121899.10633618908</v>
      </c>
    </row>
    <row r="26" spans="1:15" s="6" customFormat="1" ht="13.5" thickTop="1" x14ac:dyDescent="0.2">
      <c r="B26" s="117"/>
      <c r="C26" s="117"/>
      <c r="D26" s="117"/>
      <c r="E26" s="117"/>
      <c r="F26" s="117"/>
      <c r="G26" s="117"/>
      <c r="H26" s="117"/>
      <c r="I26" s="180"/>
      <c r="J26" s="316" t="s">
        <v>9</v>
      </c>
      <c r="K26" s="316"/>
      <c r="L26" s="178" t="s">
        <v>55</v>
      </c>
      <c r="M26" s="181"/>
      <c r="O26" s="117"/>
    </row>
    <row r="27" spans="1:15" s="6" customFormat="1" ht="36.75" x14ac:dyDescent="0.2">
      <c r="A27" s="90" t="s">
        <v>53</v>
      </c>
      <c r="B27" s="90" t="s">
        <v>3</v>
      </c>
      <c r="C27" s="90" t="s">
        <v>4</v>
      </c>
      <c r="D27" s="90" t="s">
        <v>5</v>
      </c>
      <c r="E27" s="90" t="s">
        <v>6</v>
      </c>
      <c r="F27" s="90" t="s">
        <v>7</v>
      </c>
      <c r="G27" s="90" t="s">
        <v>80</v>
      </c>
      <c r="H27" s="90" t="s">
        <v>81</v>
      </c>
      <c r="I27" s="105" t="s">
        <v>82</v>
      </c>
      <c r="J27" s="106" t="s">
        <v>83</v>
      </c>
      <c r="K27" s="106" t="s">
        <v>84</v>
      </c>
      <c r="L27" s="106" t="s">
        <v>85</v>
      </c>
      <c r="M27" s="107" t="s">
        <v>75</v>
      </c>
      <c r="N27" s="90" t="s">
        <v>86</v>
      </c>
      <c r="O27" s="90" t="s">
        <v>87</v>
      </c>
    </row>
    <row r="28" spans="1:15" s="6" customFormat="1" x14ac:dyDescent="0.2">
      <c r="A28" s="96" t="s">
        <v>22</v>
      </c>
      <c r="B28" s="81" t="str">
        <f t="shared" ref="B28:B31" si="32">+IF(MONTH(C28)&lt;4,"Q1",IF(MONTH(C28)&lt;7,"Q2",IF(MONTH(C28)&lt;10,"Q3","Q4")))&amp;"/"&amp;YEAR(C28)</f>
        <v>Q3/2016</v>
      </c>
      <c r="C28" s="82">
        <f>+VLOOKUP(L26,$A$1:$F$3,2,FALSE)</f>
        <v>42578</v>
      </c>
      <c r="D28" s="82">
        <f t="shared" ref="D28:D31" si="33">DATE(YEAR(C28),IF(MONTH(C28)&lt;=3,3,IF(MONTH(C28)&lt;=6,6,IF(MONTH(C28)&lt;=9,9,12))),IF(OR(MONTH(C28)&lt;=3,MONTH(C28)&gt;=10),31,30))</f>
        <v>42643</v>
      </c>
      <c r="E28" s="81">
        <f t="shared" ref="E28:E31" si="34">D28-C28+1</f>
        <v>66</v>
      </c>
      <c r="F28" s="83">
        <v>3.5000000000000003E-2</v>
      </c>
      <c r="G28" s="84">
        <f>+VLOOKUP(L26,$A$1:$F$3,5,FALSE)</f>
        <v>7105.5641762008436</v>
      </c>
      <c r="H28" s="84">
        <f>G28*F28*(E28/(DATE(YEAR(D28),12,31)-DATE(YEAR(D28),1,1)+1))</f>
        <v>44.846593571103689</v>
      </c>
      <c r="I28" s="109">
        <v>0</v>
      </c>
      <c r="J28" s="85">
        <v>0</v>
      </c>
      <c r="K28" s="129">
        <f t="shared" ref="K28:K30" si="35">+SUM(I28:J28)</f>
        <v>0</v>
      </c>
      <c r="L28" s="85">
        <v>0</v>
      </c>
      <c r="M28" s="130">
        <v>0</v>
      </c>
      <c r="N28" s="8">
        <f t="shared" ref="N28:N31" si="36">+G28+H28+J28</f>
        <v>7150.4107697719473</v>
      </c>
      <c r="O28" s="84">
        <f>+N28-M28</f>
        <v>7150.4107697719473</v>
      </c>
    </row>
    <row r="29" spans="1:15" s="6" customFormat="1" x14ac:dyDescent="0.2">
      <c r="A29" s="96" t="s">
        <v>22</v>
      </c>
      <c r="B29" s="81" t="str">
        <f t="shared" si="32"/>
        <v>Q4/2016</v>
      </c>
      <c r="C29" s="82">
        <f t="shared" ref="C29:C31" si="37">D28+1</f>
        <v>42644</v>
      </c>
      <c r="D29" s="82">
        <f t="shared" si="33"/>
        <v>42735</v>
      </c>
      <c r="E29" s="81">
        <f t="shared" si="34"/>
        <v>92</v>
      </c>
      <c r="F29" s="83">
        <v>3.5000000000000003E-2</v>
      </c>
      <c r="G29" s="84">
        <f>O28</f>
        <v>7150.4107697719473</v>
      </c>
      <c r="H29" s="84">
        <f t="shared" ref="H29:H31" si="38">G29*F29*(E29/(DATE(YEAR(D29),12,31)-DATE(YEAR(D29),1,1)+1))</f>
        <v>62.907985460835171</v>
      </c>
      <c r="I29" s="109">
        <v>0</v>
      </c>
      <c r="J29" s="85">
        <v>0</v>
      </c>
      <c r="K29" s="129">
        <f t="shared" si="35"/>
        <v>0</v>
      </c>
      <c r="L29" s="85">
        <v>0</v>
      </c>
      <c r="M29" s="130">
        <v>0</v>
      </c>
      <c r="N29" s="8">
        <f t="shared" si="36"/>
        <v>7213.3187552327827</v>
      </c>
      <c r="O29" s="84">
        <f t="shared" ref="O29:O31" si="39">+N29-M29</f>
        <v>7213.3187552327827</v>
      </c>
    </row>
    <row r="30" spans="1:15" s="6" customFormat="1" x14ac:dyDescent="0.2">
      <c r="A30" s="96" t="s">
        <v>22</v>
      </c>
      <c r="B30" s="81" t="str">
        <f t="shared" si="32"/>
        <v>Q1/2017</v>
      </c>
      <c r="C30" s="82">
        <f t="shared" si="37"/>
        <v>42736</v>
      </c>
      <c r="D30" s="82">
        <f t="shared" si="33"/>
        <v>42825</v>
      </c>
      <c r="E30" s="81">
        <f t="shared" si="34"/>
        <v>90</v>
      </c>
      <c r="F30" s="83">
        <v>3.5000000000000003E-2</v>
      </c>
      <c r="G30" s="84">
        <f>O29</f>
        <v>7213.3187552327827</v>
      </c>
      <c r="H30" s="84">
        <f t="shared" si="38"/>
        <v>62.251928983515796</v>
      </c>
      <c r="I30" s="109">
        <v>0</v>
      </c>
      <c r="J30" s="85">
        <v>0</v>
      </c>
      <c r="K30" s="129">
        <f t="shared" si="35"/>
        <v>0</v>
      </c>
      <c r="L30" s="85">
        <v>0</v>
      </c>
      <c r="M30" s="130">
        <v>0</v>
      </c>
      <c r="N30" s="8">
        <f t="shared" si="36"/>
        <v>7275.5706842162981</v>
      </c>
      <c r="O30" s="84">
        <f t="shared" si="39"/>
        <v>7275.5706842162981</v>
      </c>
    </row>
    <row r="31" spans="1:15" s="6" customFormat="1" x14ac:dyDescent="0.2">
      <c r="A31" s="96" t="s">
        <v>54</v>
      </c>
      <c r="B31" s="81" t="str">
        <f t="shared" si="32"/>
        <v>Q2/2017</v>
      </c>
      <c r="C31" s="82">
        <f t="shared" si="37"/>
        <v>42826</v>
      </c>
      <c r="D31" s="82">
        <f t="shared" si="33"/>
        <v>42916</v>
      </c>
      <c r="E31" s="81">
        <f t="shared" si="34"/>
        <v>91</v>
      </c>
      <c r="F31" s="83">
        <v>3.7100000000000001E-2</v>
      </c>
      <c r="G31" s="84">
        <f t="shared" ref="G31" si="40">O30</f>
        <v>7275.5706842162981</v>
      </c>
      <c r="H31" s="84">
        <f t="shared" si="38"/>
        <v>67.296038868445606</v>
      </c>
      <c r="I31" s="109">
        <f>(SUM($H$28:$H$32))</f>
        <v>237.30254688390025</v>
      </c>
      <c r="J31" s="85">
        <v>0</v>
      </c>
      <c r="K31" s="129">
        <f t="shared" ref="K31" si="41">+SUM(I31:J31)</f>
        <v>237.30254688390025</v>
      </c>
      <c r="L31" s="85">
        <f>+VLOOKUP($L$26,$A$1:$F$3,5,FALSE)</f>
        <v>7105.5641762008436</v>
      </c>
      <c r="M31" s="130">
        <f t="shared" ref="M31" si="42">+SUM(K31:L31)</f>
        <v>7342.8667230847441</v>
      </c>
      <c r="N31" s="8">
        <f t="shared" si="36"/>
        <v>7342.8667230847441</v>
      </c>
      <c r="O31" s="84">
        <f t="shared" si="39"/>
        <v>0</v>
      </c>
    </row>
    <row r="32" spans="1:15" s="6" customFormat="1" x14ac:dyDescent="0.2">
      <c r="A32" s="17"/>
      <c r="B32" s="81"/>
      <c r="C32" s="82"/>
      <c r="D32" s="82"/>
      <c r="E32" s="81"/>
      <c r="F32" s="83"/>
      <c r="G32" s="84"/>
      <c r="H32" s="84"/>
      <c r="I32" s="109"/>
      <c r="J32" s="85"/>
      <c r="K32" s="129"/>
      <c r="L32" s="85"/>
      <c r="M32" s="130"/>
      <c r="N32" s="8"/>
      <c r="O32" s="84"/>
    </row>
    <row r="33" spans="1:15" s="6" customFormat="1" ht="13.5" thickBot="1" x14ac:dyDescent="0.25">
      <c r="A33" s="151"/>
      <c r="B33" s="152"/>
      <c r="C33" s="155"/>
      <c r="D33" s="155"/>
      <c r="E33" s="154"/>
      <c r="F33" s="152"/>
      <c r="G33" s="140">
        <f t="shared" ref="G33:O33" si="43">+SUM(G28:G32)</f>
        <v>28744.864385421872</v>
      </c>
      <c r="H33" s="140">
        <f t="shared" si="43"/>
        <v>237.30254688390025</v>
      </c>
      <c r="I33" s="141">
        <f t="shared" si="43"/>
        <v>237.30254688390025</v>
      </c>
      <c r="J33" s="140">
        <f t="shared" si="43"/>
        <v>0</v>
      </c>
      <c r="K33" s="140">
        <f t="shared" si="43"/>
        <v>237.30254688390025</v>
      </c>
      <c r="L33" s="140">
        <f t="shared" si="43"/>
        <v>7105.5641762008436</v>
      </c>
      <c r="M33" s="142">
        <f t="shared" si="43"/>
        <v>7342.8667230847441</v>
      </c>
      <c r="N33" s="140">
        <f t="shared" si="43"/>
        <v>28982.166932305772</v>
      </c>
      <c r="O33" s="140">
        <f t="shared" si="43"/>
        <v>21639.30020922103</v>
      </c>
    </row>
    <row r="34" spans="1:15" s="6" customFormat="1" ht="14.25" thickTop="1" thickBot="1" x14ac:dyDescent="0.25">
      <c r="I34" s="231"/>
      <c r="J34" s="232"/>
      <c r="K34" s="232"/>
      <c r="L34" s="232"/>
      <c r="M34" s="233"/>
    </row>
  </sheetData>
  <mergeCells count="3">
    <mergeCell ref="J9:K9"/>
    <mergeCell ref="J17:K17"/>
    <mergeCell ref="J26:K26"/>
  </mergeCells>
  <pageMargins left="0.7" right="0.7" top="0.75" bottom="0.75" header="0.3" footer="0.3"/>
  <pageSetup scale="53" fitToHeight="0" orientation="landscape" r:id="rId1"/>
  <headerFooter alignWithMargins="0">
    <oddHeader>&amp;RTO2019 Annual Update
Attachment 4
WP Schedule 22
Page &amp;P of &amp;N</oddHeader>
    <oddFooter>&amp;R&amp;A</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9"/>
  <sheetViews>
    <sheetView zoomScale="85" zoomScaleNormal="85" workbookViewId="0">
      <selection activeCell="G1" sqref="G1"/>
    </sheetView>
  </sheetViews>
  <sheetFormatPr defaultColWidth="9.140625" defaultRowHeight="12.75" x14ac:dyDescent="0.2"/>
  <cols>
    <col min="1" max="1" width="10.28515625" style="6" customWidth="1"/>
    <col min="2" max="2" width="13.5703125" style="6" customWidth="1"/>
    <col min="3" max="3" width="15.42578125" style="6" bestFit="1" customWidth="1"/>
    <col min="4" max="4" width="13.5703125" style="6" customWidth="1"/>
    <col min="5" max="5" width="12.42578125" style="6" customWidth="1"/>
    <col min="6" max="6" width="15.42578125" style="6" bestFit="1" customWidth="1"/>
    <col min="7" max="9" width="16.140625" style="6" customWidth="1"/>
    <col min="10" max="10" width="17.28515625" style="6" bestFit="1" customWidth="1"/>
    <col min="11" max="11" width="16.140625" style="6" customWidth="1"/>
    <col min="12" max="12" width="17.85546875" style="6" customWidth="1"/>
    <col min="13" max="14" width="16.140625" style="6" customWidth="1"/>
    <col min="15" max="15" width="17.28515625" style="6" customWidth="1"/>
    <col min="16" max="18" width="16.140625" style="6" customWidth="1"/>
    <col min="19" max="19" width="16" style="6" customWidth="1"/>
    <col min="20" max="16384" width="9.140625" style="6"/>
  </cols>
  <sheetData>
    <row r="1" spans="1:18" ht="38.25" x14ac:dyDescent="0.2">
      <c r="A1" s="101" t="s">
        <v>8</v>
      </c>
      <c r="B1" s="102" t="s">
        <v>88</v>
      </c>
      <c r="C1" s="101" t="s">
        <v>2</v>
      </c>
      <c r="D1" s="101" t="s">
        <v>1</v>
      </c>
      <c r="E1" s="102" t="s">
        <v>74</v>
      </c>
      <c r="F1" s="102" t="s">
        <v>48</v>
      </c>
    </row>
    <row r="2" spans="1:18" ht="12.75" customHeight="1" x14ac:dyDescent="0.2">
      <c r="A2" s="96" t="s">
        <v>54</v>
      </c>
      <c r="B2" s="76">
        <v>41232</v>
      </c>
      <c r="C2" s="55">
        <v>15000</v>
      </c>
      <c r="D2" s="55">
        <v>0</v>
      </c>
      <c r="E2" s="55">
        <v>0</v>
      </c>
      <c r="F2" s="7">
        <f>SUM(C2:E2)</f>
        <v>15000</v>
      </c>
    </row>
    <row r="3" spans="1:18" ht="13.5" thickBot="1" x14ac:dyDescent="0.25">
      <c r="B3" s="44" t="s">
        <v>0</v>
      </c>
      <c r="C3" s="79">
        <f>SUM(C2:C2)</f>
        <v>15000</v>
      </c>
      <c r="D3" s="79">
        <f>SUM(D2:D2)</f>
        <v>0</v>
      </c>
      <c r="E3" s="79">
        <f>SUM(E2:E2)</f>
        <v>0</v>
      </c>
      <c r="F3" s="79">
        <f>SUM(F2:F2)</f>
        <v>15000</v>
      </c>
    </row>
    <row r="4" spans="1:18" ht="14.25" thickTop="1" thickBot="1" x14ac:dyDescent="0.25">
      <c r="B4" s="44"/>
      <c r="C4" s="172"/>
      <c r="D4" s="172"/>
      <c r="E4" s="172"/>
      <c r="F4" s="172"/>
    </row>
    <row r="5" spans="1:18" s="59" customFormat="1" x14ac:dyDescent="0.2">
      <c r="A5" s="60" t="s">
        <v>19</v>
      </c>
      <c r="B5" s="62" t="s">
        <v>22</v>
      </c>
      <c r="C5" s="64">
        <v>0</v>
      </c>
      <c r="D5" s="64">
        <v>0</v>
      </c>
      <c r="E5" s="64">
        <v>0</v>
      </c>
      <c r="F5" s="64">
        <f>SUM(C5:E5)</f>
        <v>0</v>
      </c>
      <c r="J5" s="198"/>
      <c r="K5" s="199" t="s">
        <v>14</v>
      </c>
      <c r="L5" s="259" t="s">
        <v>13</v>
      </c>
      <c r="Q5" s="200"/>
    </row>
    <row r="6" spans="1:18" s="59" customFormat="1" x14ac:dyDescent="0.2">
      <c r="A6" s="60" t="s">
        <v>20</v>
      </c>
      <c r="B6" s="62" t="s">
        <v>22</v>
      </c>
      <c r="C6" s="64">
        <v>0</v>
      </c>
      <c r="D6" s="64">
        <v>0</v>
      </c>
      <c r="E6" s="64">
        <v>0</v>
      </c>
      <c r="F6" s="64">
        <f>SUM(C6:E6)</f>
        <v>0</v>
      </c>
      <c r="J6" s="201" t="s">
        <v>11</v>
      </c>
      <c r="K6" s="202">
        <v>42522</v>
      </c>
      <c r="L6" s="260">
        <v>42464</v>
      </c>
    </row>
    <row r="7" spans="1:18" s="59" customFormat="1" ht="13.5" thickBot="1" x14ac:dyDescent="0.25">
      <c r="B7" s="58" t="s">
        <v>52</v>
      </c>
      <c r="C7" s="196">
        <f>+SUM(C3:C6)</f>
        <v>15000</v>
      </c>
      <c r="D7" s="196">
        <f>+SUM(D3:D6)</f>
        <v>0</v>
      </c>
      <c r="E7" s="196">
        <f>+SUM(E3:E6)</f>
        <v>0</v>
      </c>
      <c r="F7" s="196">
        <f>+SUM(F3:F6)</f>
        <v>15000</v>
      </c>
      <c r="J7" s="203" t="s">
        <v>17</v>
      </c>
      <c r="K7" s="204">
        <v>43466</v>
      </c>
      <c r="L7" s="261">
        <f>K7</f>
        <v>43466</v>
      </c>
    </row>
    <row r="8" spans="1:18" ht="14.25" thickTop="1" thickBot="1" x14ac:dyDescent="0.25">
      <c r="B8" s="44"/>
      <c r="C8" s="13"/>
      <c r="D8" s="13"/>
      <c r="E8" s="13"/>
      <c r="F8" s="13"/>
      <c r="I8" s="8"/>
      <c r="J8" s="8"/>
      <c r="K8" s="8"/>
      <c r="L8" s="8"/>
      <c r="M8" s="8"/>
      <c r="N8" s="8"/>
      <c r="O8" s="8"/>
      <c r="P8" s="8"/>
      <c r="Q8" s="8"/>
      <c r="R8" s="8"/>
    </row>
    <row r="9" spans="1:18" x14ac:dyDescent="0.2">
      <c r="B9" s="43"/>
      <c r="C9" s="5"/>
      <c r="D9" s="17"/>
      <c r="I9" s="177"/>
      <c r="J9" s="316" t="s">
        <v>2</v>
      </c>
      <c r="K9" s="316"/>
      <c r="L9" s="178" t="s">
        <v>54</v>
      </c>
      <c r="M9" s="179"/>
    </row>
    <row r="10" spans="1:18" ht="36.75" x14ac:dyDescent="0.2">
      <c r="A10" s="90" t="s">
        <v>53</v>
      </c>
      <c r="B10" s="90" t="s">
        <v>3</v>
      </c>
      <c r="C10" s="90" t="s">
        <v>4</v>
      </c>
      <c r="D10" s="90" t="s">
        <v>5</v>
      </c>
      <c r="E10" s="90" t="s">
        <v>6</v>
      </c>
      <c r="F10" s="90" t="s">
        <v>7</v>
      </c>
      <c r="G10" s="90" t="s">
        <v>80</v>
      </c>
      <c r="H10" s="90" t="s">
        <v>81</v>
      </c>
      <c r="I10" s="105" t="s">
        <v>82</v>
      </c>
      <c r="J10" s="106" t="s">
        <v>83</v>
      </c>
      <c r="K10" s="106" t="s">
        <v>84</v>
      </c>
      <c r="L10" s="106" t="s">
        <v>85</v>
      </c>
      <c r="M10" s="107" t="s">
        <v>75</v>
      </c>
      <c r="N10" s="90" t="s">
        <v>86</v>
      </c>
      <c r="O10" s="90" t="s">
        <v>87</v>
      </c>
    </row>
    <row r="11" spans="1:18" x14ac:dyDescent="0.2">
      <c r="A11" s="96" t="s">
        <v>22</v>
      </c>
      <c r="B11" s="81" t="str">
        <f t="shared" ref="B11:B16" si="0">+IF(MONTH(C11)&lt;4,"Q1",IF(MONTH(C11)&lt;7,"Q2",IF(MONTH(C11)&lt;10,"Q3","Q4")))&amp;"/"&amp;YEAR(C11)</f>
        <v>Q2/2016</v>
      </c>
      <c r="C11" s="82">
        <f>+L6</f>
        <v>42464</v>
      </c>
      <c r="D11" s="82">
        <f t="shared" ref="D11:D15" si="1">DATE(YEAR(C11),IF(MONTH(C11)&lt;=3,3,IF(MONTH(C11)&lt;=6,6,IF(MONTH(C11)&lt;=9,9,12))),IF(OR(MONTH(C11)&lt;=3,MONTH(C11)&gt;=10),31,30))</f>
        <v>42551</v>
      </c>
      <c r="E11" s="81">
        <f t="shared" ref="E11:E16" si="2">D11-C11+1</f>
        <v>88</v>
      </c>
      <c r="F11" s="83">
        <v>3.4599999999999999E-2</v>
      </c>
      <c r="G11" s="84">
        <f>+VLOOKUP(L9,$A$1:$F$2,3,FALSE)</f>
        <v>15000</v>
      </c>
      <c r="H11" s="84">
        <f t="shared" ref="H11:H16" si="3">G11*F11*(E11/(DATE(YEAR(D11),12,31)-DATE(YEAR(D11),1,1)+1))</f>
        <v>124.78688524590163</v>
      </c>
      <c r="I11" s="109">
        <v>0</v>
      </c>
      <c r="J11" s="85">
        <v>0</v>
      </c>
      <c r="K11" s="129">
        <f t="shared" ref="K11:K16" si="4">+SUM(I11:J11)</f>
        <v>0</v>
      </c>
      <c r="L11" s="85">
        <v>0</v>
      </c>
      <c r="M11" s="130">
        <f t="shared" ref="M11:M14" si="5">+SUM(K11:L11)</f>
        <v>0</v>
      </c>
      <c r="N11" s="8">
        <f t="shared" ref="N11:N16" si="6">+G11+H11+J11</f>
        <v>15124.786885245901</v>
      </c>
      <c r="O11" s="84">
        <f t="shared" ref="O11:O16" si="7">+N11-M11</f>
        <v>15124.786885245901</v>
      </c>
    </row>
    <row r="12" spans="1:18" x14ac:dyDescent="0.2">
      <c r="A12" s="96" t="s">
        <v>22</v>
      </c>
      <c r="B12" s="81" t="str">
        <f t="shared" si="0"/>
        <v>Q3/2016</v>
      </c>
      <c r="C12" s="82">
        <f t="shared" ref="C12:C16" si="8">D11+1</f>
        <v>42552</v>
      </c>
      <c r="D12" s="82">
        <f t="shared" si="1"/>
        <v>42643</v>
      </c>
      <c r="E12" s="81">
        <f t="shared" si="2"/>
        <v>92</v>
      </c>
      <c r="F12" s="83">
        <v>3.5000000000000003E-2</v>
      </c>
      <c r="G12" s="84">
        <f t="shared" ref="G12:G16" si="9">O11</f>
        <v>15124.786885245901</v>
      </c>
      <c r="H12" s="84">
        <f t="shared" si="3"/>
        <v>133.06506494669893</v>
      </c>
      <c r="I12" s="109">
        <v>0</v>
      </c>
      <c r="J12" s="85">
        <v>0</v>
      </c>
      <c r="K12" s="129">
        <f t="shared" si="4"/>
        <v>0</v>
      </c>
      <c r="L12" s="85">
        <v>0</v>
      </c>
      <c r="M12" s="130">
        <f t="shared" si="5"/>
        <v>0</v>
      </c>
      <c r="N12" s="8">
        <f t="shared" si="6"/>
        <v>15257.8519501926</v>
      </c>
      <c r="O12" s="84">
        <f t="shared" si="7"/>
        <v>15257.8519501926</v>
      </c>
    </row>
    <row r="13" spans="1:18" x14ac:dyDescent="0.2">
      <c r="A13" s="96" t="s">
        <v>22</v>
      </c>
      <c r="B13" s="81" t="str">
        <f t="shared" si="0"/>
        <v>Q4/2016</v>
      </c>
      <c r="C13" s="82">
        <f t="shared" si="8"/>
        <v>42644</v>
      </c>
      <c r="D13" s="82">
        <f t="shared" si="1"/>
        <v>42735</v>
      </c>
      <c r="E13" s="81">
        <f t="shared" si="2"/>
        <v>92</v>
      </c>
      <c r="F13" s="83">
        <v>3.5000000000000003E-2</v>
      </c>
      <c r="G13" s="84">
        <f t="shared" si="9"/>
        <v>15257.8519501926</v>
      </c>
      <c r="H13" s="84">
        <f t="shared" si="3"/>
        <v>134.23574666562888</v>
      </c>
      <c r="I13" s="109">
        <v>0</v>
      </c>
      <c r="J13" s="85">
        <v>0</v>
      </c>
      <c r="K13" s="129">
        <f t="shared" si="4"/>
        <v>0</v>
      </c>
      <c r="L13" s="85">
        <v>0</v>
      </c>
      <c r="M13" s="130">
        <f t="shared" si="5"/>
        <v>0</v>
      </c>
      <c r="N13" s="8">
        <f t="shared" si="6"/>
        <v>15392.087696858229</v>
      </c>
      <c r="O13" s="84">
        <f t="shared" si="7"/>
        <v>15392.087696858229</v>
      </c>
    </row>
    <row r="14" spans="1:18" x14ac:dyDescent="0.2">
      <c r="A14" s="96" t="s">
        <v>22</v>
      </c>
      <c r="B14" s="81" t="str">
        <f t="shared" si="0"/>
        <v>Q1/2017</v>
      </c>
      <c r="C14" s="82">
        <f t="shared" si="8"/>
        <v>42736</v>
      </c>
      <c r="D14" s="82">
        <f t="shared" si="1"/>
        <v>42825</v>
      </c>
      <c r="E14" s="81">
        <f t="shared" si="2"/>
        <v>90</v>
      </c>
      <c r="F14" s="83">
        <v>3.5000000000000003E-2</v>
      </c>
      <c r="G14" s="84">
        <f t="shared" si="9"/>
        <v>15392.087696858229</v>
      </c>
      <c r="H14" s="84">
        <f t="shared" si="3"/>
        <v>132.83582532905046</v>
      </c>
      <c r="I14" s="109">
        <v>0</v>
      </c>
      <c r="J14" s="85">
        <v>0</v>
      </c>
      <c r="K14" s="129">
        <f t="shared" si="4"/>
        <v>0</v>
      </c>
      <c r="L14" s="85">
        <v>0</v>
      </c>
      <c r="M14" s="130">
        <f t="shared" si="5"/>
        <v>0</v>
      </c>
      <c r="N14" s="8">
        <f t="shared" si="6"/>
        <v>15524.923522187279</v>
      </c>
      <c r="O14" s="84">
        <f t="shared" si="7"/>
        <v>15524.923522187279</v>
      </c>
    </row>
    <row r="15" spans="1:18" x14ac:dyDescent="0.2">
      <c r="A15" s="96" t="s">
        <v>22</v>
      </c>
      <c r="B15" s="81" t="str">
        <f t="shared" si="0"/>
        <v>Q2/2017</v>
      </c>
      <c r="C15" s="82">
        <f t="shared" si="8"/>
        <v>42826</v>
      </c>
      <c r="D15" s="82">
        <f t="shared" si="1"/>
        <v>42916</v>
      </c>
      <c r="E15" s="81">
        <f t="shared" si="2"/>
        <v>91</v>
      </c>
      <c r="F15" s="83">
        <v>3.7100000000000001E-2</v>
      </c>
      <c r="G15" s="84">
        <f t="shared" si="9"/>
        <v>15524.923522187279</v>
      </c>
      <c r="H15" s="84">
        <f t="shared" si="3"/>
        <v>143.59916247467527</v>
      </c>
      <c r="I15" s="109">
        <v>0</v>
      </c>
      <c r="J15" s="85">
        <v>0</v>
      </c>
      <c r="K15" s="129">
        <f t="shared" si="4"/>
        <v>0</v>
      </c>
      <c r="L15" s="85">
        <v>0</v>
      </c>
      <c r="M15" s="130">
        <f t="shared" ref="M15:M16" si="10">+SUM(K15:L15)</f>
        <v>0</v>
      </c>
      <c r="N15" s="8">
        <f t="shared" si="6"/>
        <v>15668.522684661953</v>
      </c>
      <c r="O15" s="84">
        <f t="shared" si="7"/>
        <v>15668.522684661953</v>
      </c>
    </row>
    <row r="16" spans="1:18" x14ac:dyDescent="0.2">
      <c r="A16" s="17" t="s">
        <v>54</v>
      </c>
      <c r="B16" s="81" t="str">
        <f t="shared" si="0"/>
        <v>Q3/2017</v>
      </c>
      <c r="C16" s="82">
        <f t="shared" si="8"/>
        <v>42917</v>
      </c>
      <c r="D16" s="82">
        <v>42930</v>
      </c>
      <c r="E16" s="81">
        <f t="shared" si="2"/>
        <v>14</v>
      </c>
      <c r="F16" s="83">
        <v>3.9600000000000003E-2</v>
      </c>
      <c r="G16" s="84">
        <f t="shared" si="9"/>
        <v>15668.522684661953</v>
      </c>
      <c r="H16" s="84">
        <f t="shared" si="3"/>
        <v>23.798983496922158</v>
      </c>
      <c r="I16" s="109">
        <f>(SUM($H$11:$H$17))</f>
        <v>692.32166815887729</v>
      </c>
      <c r="J16" s="85">
        <v>0</v>
      </c>
      <c r="K16" s="129">
        <f t="shared" si="4"/>
        <v>692.32166815887729</v>
      </c>
      <c r="L16" s="85">
        <f t="shared" ref="L16" si="11">+VLOOKUP($L$9,$A$1:$F$2,3,FALSE)</f>
        <v>15000</v>
      </c>
      <c r="M16" s="130">
        <f t="shared" si="10"/>
        <v>15692.321668158876</v>
      </c>
      <c r="N16" s="8">
        <f t="shared" si="6"/>
        <v>15692.321668158876</v>
      </c>
      <c r="O16" s="84">
        <f t="shared" si="7"/>
        <v>0</v>
      </c>
    </row>
    <row r="17" spans="1:15" x14ac:dyDescent="0.2">
      <c r="B17" s="11"/>
      <c r="C17" s="125"/>
      <c r="D17" s="125"/>
      <c r="E17" s="10"/>
      <c r="F17" s="11"/>
      <c r="G17" s="85"/>
      <c r="H17" s="12"/>
      <c r="I17" s="115"/>
      <c r="J17" s="85"/>
      <c r="K17" s="117"/>
      <c r="L17" s="70"/>
      <c r="M17" s="131"/>
      <c r="O17" s="85"/>
    </row>
    <row r="18" spans="1:15" ht="13.5" thickBot="1" x14ac:dyDescent="0.25">
      <c r="A18" s="151"/>
      <c r="B18" s="152"/>
      <c r="C18" s="155"/>
      <c r="D18" s="155"/>
      <c r="E18" s="154"/>
      <c r="F18" s="152"/>
      <c r="G18" s="140">
        <f t="shared" ref="G18:O18" si="12">+SUM(G11:G17)</f>
        <v>91968.172739145957</v>
      </c>
      <c r="H18" s="140">
        <f t="shared" si="12"/>
        <v>692.32166815887729</v>
      </c>
      <c r="I18" s="141">
        <f t="shared" si="12"/>
        <v>692.32166815887729</v>
      </c>
      <c r="J18" s="140">
        <f t="shared" si="12"/>
        <v>0</v>
      </c>
      <c r="K18" s="140">
        <f t="shared" si="12"/>
        <v>692.32166815887729</v>
      </c>
      <c r="L18" s="140">
        <f t="shared" si="12"/>
        <v>15000</v>
      </c>
      <c r="M18" s="142">
        <f t="shared" si="12"/>
        <v>15692.321668158876</v>
      </c>
      <c r="N18" s="140">
        <f t="shared" si="12"/>
        <v>92660.494407304839</v>
      </c>
      <c r="O18" s="140">
        <f t="shared" si="12"/>
        <v>76968.172739145957</v>
      </c>
    </row>
    <row r="19" spans="1:15" ht="14.25" thickTop="1" thickBot="1" x14ac:dyDescent="0.25">
      <c r="I19" s="121"/>
      <c r="J19" s="122"/>
      <c r="K19" s="122"/>
      <c r="L19" s="122"/>
      <c r="M19" s="123"/>
    </row>
  </sheetData>
  <mergeCells count="1">
    <mergeCell ref="J9:K9"/>
  </mergeCells>
  <pageMargins left="0.7" right="0.7" top="0.75" bottom="0.75" header="0.3" footer="0.3"/>
  <pageSetup scale="54" fitToHeight="0" orientation="landscape" r:id="rId1"/>
  <headerFooter alignWithMargins="0">
    <oddHeader>&amp;RTO2019 Annual Update
Attachment 4
WP Schedule 22
Page &amp;P of &amp;N</oddHeader>
    <oddFooter>&amp;R&amp;A</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5"/>
  <sheetViews>
    <sheetView zoomScaleNormal="100" workbookViewId="0"/>
  </sheetViews>
  <sheetFormatPr defaultColWidth="9.140625" defaultRowHeight="12.75" x14ac:dyDescent="0.2"/>
  <cols>
    <col min="1" max="1" width="13.42578125" style="33" bestFit="1" customWidth="1"/>
    <col min="2" max="2" width="12.28515625" style="33" customWidth="1"/>
    <col min="3" max="3" width="9.140625" style="33"/>
    <col min="4" max="16384" width="9.140625" style="31"/>
  </cols>
  <sheetData>
    <row r="1" spans="1:3" s="30" customFormat="1" x14ac:dyDescent="0.2">
      <c r="A1" s="32" t="s">
        <v>24</v>
      </c>
      <c r="B1" s="32" t="s">
        <v>23</v>
      </c>
      <c r="C1" s="36" t="s">
        <v>25</v>
      </c>
    </row>
    <row r="2" spans="1:3" s="30" customFormat="1" x14ac:dyDescent="0.2">
      <c r="A2" s="34">
        <v>38442</v>
      </c>
      <c r="B2" s="35">
        <v>4.7500000000000001E-2</v>
      </c>
      <c r="C2" s="33" t="s">
        <v>13</v>
      </c>
    </row>
    <row r="3" spans="1:3" s="30" customFormat="1" x14ac:dyDescent="0.2">
      <c r="A3" s="34">
        <v>38533</v>
      </c>
      <c r="B3" s="35">
        <v>5.2999999999999999E-2</v>
      </c>
      <c r="C3" s="33" t="s">
        <v>13</v>
      </c>
    </row>
    <row r="4" spans="1:3" s="30" customFormat="1" x14ac:dyDescent="0.2">
      <c r="A4" s="34">
        <v>38625</v>
      </c>
      <c r="B4" s="35">
        <v>5.7700000000000001E-2</v>
      </c>
      <c r="C4" s="33" t="s">
        <v>13</v>
      </c>
    </row>
    <row r="5" spans="1:3" s="30" customFormat="1" x14ac:dyDescent="0.2">
      <c r="A5" s="34">
        <v>38717</v>
      </c>
      <c r="B5" s="35">
        <v>6.2300000000000001E-2</v>
      </c>
      <c r="C5" s="33" t="s">
        <v>13</v>
      </c>
    </row>
    <row r="6" spans="1:3" s="30" customFormat="1" x14ac:dyDescent="0.2">
      <c r="A6" s="34">
        <v>38807</v>
      </c>
      <c r="B6" s="35">
        <v>6.7799999999999999E-2</v>
      </c>
      <c r="C6" s="33" t="s">
        <v>13</v>
      </c>
    </row>
    <row r="7" spans="1:3" s="30" customFormat="1" x14ac:dyDescent="0.2">
      <c r="A7" s="34">
        <v>38898</v>
      </c>
      <c r="B7" s="35">
        <v>7.2999999999999995E-2</v>
      </c>
      <c r="C7" s="33" t="s">
        <v>13</v>
      </c>
    </row>
    <row r="8" spans="1:3" s="30" customFormat="1" x14ac:dyDescent="0.2">
      <c r="A8" s="34">
        <v>38990</v>
      </c>
      <c r="B8" s="35">
        <v>7.7399999999999997E-2</v>
      </c>
      <c r="C8" s="33" t="s">
        <v>13</v>
      </c>
    </row>
    <row r="9" spans="1:3" s="30" customFormat="1" x14ac:dyDescent="0.2">
      <c r="A9" s="34">
        <v>39082</v>
      </c>
      <c r="B9" s="35">
        <v>8.1699999999999995E-2</v>
      </c>
      <c r="C9" s="33" t="s">
        <v>13</v>
      </c>
    </row>
    <row r="10" spans="1:3" s="30" customFormat="1" x14ac:dyDescent="0.2">
      <c r="A10" s="34">
        <v>39172</v>
      </c>
      <c r="B10" s="35">
        <v>8.2500000000000004E-2</v>
      </c>
      <c r="C10" s="33" t="s">
        <v>13</v>
      </c>
    </row>
    <row r="11" spans="1:3" s="30" customFormat="1" x14ac:dyDescent="0.2">
      <c r="A11" s="34">
        <v>39263</v>
      </c>
      <c r="B11" s="35">
        <v>8.2500000000000004E-2</v>
      </c>
      <c r="C11" s="33" t="s">
        <v>13</v>
      </c>
    </row>
    <row r="12" spans="1:3" s="30" customFormat="1" x14ac:dyDescent="0.2">
      <c r="A12" s="34">
        <v>39355</v>
      </c>
      <c r="B12" s="35">
        <v>8.2500000000000004E-2</v>
      </c>
      <c r="C12" s="33" t="s">
        <v>13</v>
      </c>
    </row>
    <row r="13" spans="1:3" s="30" customFormat="1" x14ac:dyDescent="0.2">
      <c r="A13" s="34">
        <v>39447</v>
      </c>
      <c r="B13" s="35">
        <v>8.2500000000000004E-2</v>
      </c>
      <c r="C13" s="33" t="s">
        <v>13</v>
      </c>
    </row>
    <row r="14" spans="1:3" x14ac:dyDescent="0.2">
      <c r="A14" s="34">
        <v>39538</v>
      </c>
      <c r="B14" s="35">
        <v>7.7600000000000002E-2</v>
      </c>
      <c r="C14" s="33" t="s">
        <v>13</v>
      </c>
    </row>
    <row r="15" spans="1:3" x14ac:dyDescent="0.2">
      <c r="A15" s="34">
        <v>39629</v>
      </c>
      <c r="B15" s="35">
        <v>6.7699999999999996E-2</v>
      </c>
      <c r="C15" s="33" t="s">
        <v>13</v>
      </c>
    </row>
    <row r="16" spans="1:3" x14ac:dyDescent="0.2">
      <c r="A16" s="34">
        <v>39721</v>
      </c>
      <c r="B16" s="35">
        <v>5.2999999999999999E-2</v>
      </c>
      <c r="C16" s="33" t="s">
        <v>13</v>
      </c>
    </row>
    <row r="17" spans="1:3" x14ac:dyDescent="0.2">
      <c r="A17" s="34">
        <v>39813</v>
      </c>
      <c r="B17" s="35">
        <v>0.05</v>
      </c>
      <c r="C17" s="33" t="s">
        <v>13</v>
      </c>
    </row>
    <row r="18" spans="1:3" x14ac:dyDescent="0.2">
      <c r="A18" s="34">
        <v>39903</v>
      </c>
      <c r="B18" s="35">
        <v>4.5199999999999997E-2</v>
      </c>
      <c r="C18" s="33" t="s">
        <v>13</v>
      </c>
    </row>
    <row r="19" spans="1:3" x14ac:dyDescent="0.2">
      <c r="A19" s="34">
        <v>39994</v>
      </c>
      <c r="B19" s="35">
        <v>3.3700000000000001E-2</v>
      </c>
      <c r="C19" s="33" t="s">
        <v>13</v>
      </c>
    </row>
    <row r="20" spans="1:3" x14ac:dyDescent="0.2">
      <c r="A20" s="34">
        <v>40086</v>
      </c>
      <c r="B20" s="35">
        <v>3.2500000000000001E-2</v>
      </c>
      <c r="C20" s="33" t="s">
        <v>13</v>
      </c>
    </row>
    <row r="21" spans="1:3" x14ac:dyDescent="0.2">
      <c r="A21" s="34">
        <v>40178</v>
      </c>
      <c r="B21" s="35">
        <v>3.2500000000000001E-2</v>
      </c>
      <c r="C21" s="33" t="s">
        <v>13</v>
      </c>
    </row>
    <row r="22" spans="1:3" x14ac:dyDescent="0.2">
      <c r="A22" s="34">
        <v>40268</v>
      </c>
      <c r="B22" s="35">
        <v>3.2500000000000001E-2</v>
      </c>
      <c r="C22" s="33" t="s">
        <v>13</v>
      </c>
    </row>
    <row r="23" spans="1:3" x14ac:dyDescent="0.2">
      <c r="A23" s="34">
        <v>40359</v>
      </c>
      <c r="B23" s="35">
        <v>3.2500000000000001E-2</v>
      </c>
      <c r="C23" s="33" t="s">
        <v>13</v>
      </c>
    </row>
    <row r="24" spans="1:3" x14ac:dyDescent="0.2">
      <c r="A24" s="34">
        <v>40451</v>
      </c>
      <c r="B24" s="35">
        <v>3.2500000000000001E-2</v>
      </c>
      <c r="C24" s="33" t="s">
        <v>13</v>
      </c>
    </row>
    <row r="25" spans="1:3" x14ac:dyDescent="0.2">
      <c r="A25" s="34">
        <v>40543</v>
      </c>
      <c r="B25" s="35">
        <v>3.2500000000000001E-2</v>
      </c>
      <c r="C25" s="33" t="s">
        <v>13</v>
      </c>
    </row>
    <row r="26" spans="1:3" x14ac:dyDescent="0.2">
      <c r="A26" s="34">
        <v>40633</v>
      </c>
      <c r="B26" s="35">
        <v>3.2500000000000001E-2</v>
      </c>
      <c r="C26" s="33" t="s">
        <v>13</v>
      </c>
    </row>
    <row r="27" spans="1:3" x14ac:dyDescent="0.2">
      <c r="A27" s="34">
        <v>40724</v>
      </c>
      <c r="B27" s="35">
        <v>3.2500000000000001E-2</v>
      </c>
      <c r="C27" s="33" t="s">
        <v>13</v>
      </c>
    </row>
    <row r="28" spans="1:3" x14ac:dyDescent="0.2">
      <c r="A28" s="34">
        <v>40816</v>
      </c>
      <c r="B28" s="35">
        <v>3.2500000000000001E-2</v>
      </c>
      <c r="C28" s="33" t="s">
        <v>13</v>
      </c>
    </row>
    <row r="29" spans="1:3" x14ac:dyDescent="0.2">
      <c r="A29" s="34">
        <v>40908</v>
      </c>
      <c r="B29" s="35">
        <v>3.2500000000000001E-2</v>
      </c>
      <c r="C29" s="33" t="s">
        <v>13</v>
      </c>
    </row>
    <row r="30" spans="1:3" x14ac:dyDescent="0.2">
      <c r="A30" s="34">
        <v>40999</v>
      </c>
      <c r="B30" s="35">
        <v>3.2500000000000001E-2</v>
      </c>
      <c r="C30" s="33" t="s">
        <v>13</v>
      </c>
    </row>
    <row r="31" spans="1:3" x14ac:dyDescent="0.2">
      <c r="A31" s="34">
        <v>41090</v>
      </c>
      <c r="B31" s="35">
        <v>3.2500000000000001E-2</v>
      </c>
      <c r="C31" s="33" t="s">
        <v>13</v>
      </c>
    </row>
    <row r="32" spans="1:3" x14ac:dyDescent="0.2">
      <c r="A32" s="34">
        <v>41182</v>
      </c>
      <c r="B32" s="35">
        <v>3.2500000000000001E-2</v>
      </c>
      <c r="C32" s="33" t="s">
        <v>13</v>
      </c>
    </row>
    <row r="33" spans="1:3" x14ac:dyDescent="0.2">
      <c r="A33" s="34">
        <v>41274</v>
      </c>
      <c r="B33" s="35">
        <v>3.2500000000000001E-2</v>
      </c>
      <c r="C33" s="33" t="s">
        <v>13</v>
      </c>
    </row>
    <row r="34" spans="1:3" x14ac:dyDescent="0.2">
      <c r="A34" s="34">
        <v>41364</v>
      </c>
      <c r="B34" s="35">
        <v>3.2500000000000001E-2</v>
      </c>
      <c r="C34" s="33" t="s">
        <v>13</v>
      </c>
    </row>
    <row r="35" spans="1:3" x14ac:dyDescent="0.2">
      <c r="A35" s="34">
        <v>41455</v>
      </c>
      <c r="B35" s="35">
        <v>3.2500000000000001E-2</v>
      </c>
      <c r="C35" s="33" t="s">
        <v>13</v>
      </c>
    </row>
    <row r="36" spans="1:3" x14ac:dyDescent="0.2">
      <c r="A36" s="34">
        <v>41547</v>
      </c>
      <c r="B36" s="35">
        <v>3.2500000000000001E-2</v>
      </c>
      <c r="C36" s="33" t="s">
        <v>13</v>
      </c>
    </row>
    <row r="37" spans="1:3" x14ac:dyDescent="0.2">
      <c r="A37" s="34">
        <v>41639</v>
      </c>
      <c r="B37" s="35">
        <v>3.2500000000000001E-2</v>
      </c>
      <c r="C37" s="33" t="s">
        <v>13</v>
      </c>
    </row>
    <row r="38" spans="1:3" x14ac:dyDescent="0.2">
      <c r="A38" s="34">
        <v>41729</v>
      </c>
      <c r="B38" s="35">
        <v>3.2500000000000001E-2</v>
      </c>
      <c r="C38" s="33" t="s">
        <v>13</v>
      </c>
    </row>
    <row r="39" spans="1:3" x14ac:dyDescent="0.2">
      <c r="A39" s="34">
        <v>41820</v>
      </c>
      <c r="B39" s="35">
        <v>3.2500000000000001E-2</v>
      </c>
      <c r="C39" s="33" t="s">
        <v>13</v>
      </c>
    </row>
    <row r="40" spans="1:3" x14ac:dyDescent="0.2">
      <c r="A40" s="34">
        <v>41912</v>
      </c>
      <c r="B40" s="35">
        <v>3.2500000000000001E-2</v>
      </c>
      <c r="C40" s="33" t="s">
        <v>13</v>
      </c>
    </row>
    <row r="41" spans="1:3" x14ac:dyDescent="0.2">
      <c r="A41" s="34">
        <v>42004</v>
      </c>
      <c r="B41" s="35">
        <v>3.2500000000000001E-2</v>
      </c>
      <c r="C41" s="33" t="s">
        <v>13</v>
      </c>
    </row>
    <row r="42" spans="1:3" x14ac:dyDescent="0.2">
      <c r="A42" s="34">
        <v>42094</v>
      </c>
      <c r="B42" s="35">
        <v>3.2500000000000001E-2</v>
      </c>
      <c r="C42" s="33" t="s">
        <v>13</v>
      </c>
    </row>
    <row r="43" spans="1:3" x14ac:dyDescent="0.2">
      <c r="A43" s="34">
        <v>42185</v>
      </c>
      <c r="B43" s="35">
        <v>3.2500000000000001E-2</v>
      </c>
      <c r="C43" s="33" t="s">
        <v>13</v>
      </c>
    </row>
    <row r="44" spans="1:3" x14ac:dyDescent="0.2">
      <c r="A44" s="34">
        <v>42277</v>
      </c>
      <c r="B44" s="35">
        <v>3.2500000000000001E-2</v>
      </c>
      <c r="C44" s="33" t="s">
        <v>13</v>
      </c>
    </row>
    <row r="45" spans="1:3" x14ac:dyDescent="0.2">
      <c r="A45" s="34">
        <v>42369</v>
      </c>
      <c r="B45" s="35">
        <v>3.2500000000000001E-2</v>
      </c>
      <c r="C45" s="33" t="s">
        <v>13</v>
      </c>
    </row>
    <row r="46" spans="1:3" x14ac:dyDescent="0.2">
      <c r="A46" s="34">
        <v>42460</v>
      </c>
      <c r="B46" s="35">
        <v>3.2500000000000001E-2</v>
      </c>
      <c r="C46" s="33" t="s">
        <v>13</v>
      </c>
    </row>
    <row r="47" spans="1:3" x14ac:dyDescent="0.2">
      <c r="A47" s="34">
        <v>42551</v>
      </c>
      <c r="B47" s="35">
        <v>3.4599999999999999E-2</v>
      </c>
      <c r="C47" s="33" t="s">
        <v>13</v>
      </c>
    </row>
    <row r="48" spans="1:3" x14ac:dyDescent="0.2">
      <c r="A48" s="34">
        <v>42643</v>
      </c>
      <c r="B48" s="35">
        <v>3.5000000000000003E-2</v>
      </c>
      <c r="C48" s="33" t="s">
        <v>13</v>
      </c>
    </row>
    <row r="49" spans="1:3" x14ac:dyDescent="0.2">
      <c r="A49" s="34">
        <v>42735</v>
      </c>
      <c r="B49" s="35">
        <v>3.5000000000000003E-2</v>
      </c>
      <c r="C49" s="33" t="s">
        <v>13</v>
      </c>
    </row>
    <row r="50" spans="1:3" x14ac:dyDescent="0.2">
      <c r="A50" s="34">
        <v>42825</v>
      </c>
      <c r="B50" s="35">
        <v>3.5000000000000003E-2</v>
      </c>
      <c r="C50" s="33" t="s">
        <v>13</v>
      </c>
    </row>
    <row r="51" spans="1:3" x14ac:dyDescent="0.2">
      <c r="A51" s="34">
        <v>42916</v>
      </c>
      <c r="B51" s="35">
        <v>3.7100000000000001E-2</v>
      </c>
      <c r="C51" s="33" t="s">
        <v>13</v>
      </c>
    </row>
    <row r="52" spans="1:3" x14ac:dyDescent="0.2">
      <c r="A52" s="34">
        <v>43008</v>
      </c>
      <c r="B52" s="35">
        <v>3.9600000000000003E-2</v>
      </c>
      <c r="C52" s="33" t="s">
        <v>13</v>
      </c>
    </row>
    <row r="53" spans="1:3" x14ac:dyDescent="0.2">
      <c r="A53" s="34">
        <v>43100</v>
      </c>
      <c r="B53" s="35">
        <v>4.2099999999999999E-2</v>
      </c>
      <c r="C53" s="33" t="s">
        <v>13</v>
      </c>
    </row>
    <row r="54" spans="1:3" x14ac:dyDescent="0.2">
      <c r="A54" s="34">
        <v>43190</v>
      </c>
      <c r="B54" s="35">
        <v>4.2500000000000003E-2</v>
      </c>
      <c r="C54" s="33" t="s">
        <v>13</v>
      </c>
    </row>
    <row r="55" spans="1:3" x14ac:dyDescent="0.2">
      <c r="A55" s="34">
        <v>43281</v>
      </c>
      <c r="B55" s="35">
        <v>4.4699999999999997E-2</v>
      </c>
      <c r="C55" s="33" t="s">
        <v>13</v>
      </c>
    </row>
    <row r="56" spans="1:3" x14ac:dyDescent="0.2">
      <c r="A56" s="34">
        <v>43373</v>
      </c>
      <c r="B56" s="35">
        <v>5.011111E-2</v>
      </c>
      <c r="C56" s="33" t="s">
        <v>14</v>
      </c>
    </row>
    <row r="57" spans="1:3" x14ac:dyDescent="0.2">
      <c r="A57" s="34">
        <v>43465</v>
      </c>
      <c r="B57" s="35">
        <v>5.2822580000000001E-2</v>
      </c>
      <c r="C57" s="33" t="s">
        <v>14</v>
      </c>
    </row>
    <row r="58" spans="1:3" x14ac:dyDescent="0.2">
      <c r="A58" s="34">
        <v>43555</v>
      </c>
      <c r="B58" s="35">
        <v>5.5296770000000002E-2</v>
      </c>
      <c r="C58" s="33" t="s">
        <v>14</v>
      </c>
    </row>
    <row r="59" spans="1:3" x14ac:dyDescent="0.2">
      <c r="A59" s="34">
        <v>43646</v>
      </c>
      <c r="B59" s="35">
        <v>5.7999999999999996E-2</v>
      </c>
      <c r="C59" s="33" t="s">
        <v>14</v>
      </c>
    </row>
    <row r="60" spans="1:3" x14ac:dyDescent="0.2">
      <c r="A60" s="34">
        <v>43738</v>
      </c>
      <c r="B60" s="35">
        <v>0.06</v>
      </c>
      <c r="C60" s="33" t="s">
        <v>14</v>
      </c>
    </row>
    <row r="61" spans="1:3" x14ac:dyDescent="0.2">
      <c r="A61" s="34">
        <v>43830</v>
      </c>
      <c r="B61" s="35">
        <v>6.0349460000000001E-2</v>
      </c>
      <c r="C61" s="33" t="s">
        <v>14</v>
      </c>
    </row>
    <row r="62" spans="1:3" x14ac:dyDescent="0.2">
      <c r="A62" s="34">
        <v>43921</v>
      </c>
      <c r="B62" s="35">
        <v>6.2501040000000008E-2</v>
      </c>
      <c r="C62" s="33" t="s">
        <v>14</v>
      </c>
    </row>
    <row r="63" spans="1:3" x14ac:dyDescent="0.2">
      <c r="A63" s="34">
        <v>44012</v>
      </c>
      <c r="B63" s="35">
        <v>6.3055559999999997E-2</v>
      </c>
      <c r="C63" s="33" t="s">
        <v>14</v>
      </c>
    </row>
    <row r="64" spans="1:3" x14ac:dyDescent="0.2">
      <c r="A64" s="34">
        <v>44104</v>
      </c>
      <c r="B64" s="35">
        <v>6.5000000000000002E-2</v>
      </c>
      <c r="C64" s="33" t="s">
        <v>14</v>
      </c>
    </row>
    <row r="65" spans="1:3" x14ac:dyDescent="0.2">
      <c r="A65" s="34">
        <v>44196</v>
      </c>
      <c r="B65" s="35">
        <v>6.5000000000000002E-2</v>
      </c>
      <c r="C65" s="33" t="s">
        <v>14</v>
      </c>
    </row>
  </sheetData>
  <pageMargins left="0.7" right="0.7" top="0.75" bottom="0.75" header="0.3" footer="0.3"/>
  <pageSetup fitToHeight="0" orientation="landscape" r:id="rId1"/>
  <headerFooter alignWithMargins="0">
    <oddHeader>&amp;RTO2019 Annual Update
Attachment 4
WP Schedule 22
Page &amp;P of &amp;N</oddHeader>
    <oddFooter>&amp;R&amp;A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6"/>
  <sheetViews>
    <sheetView zoomScale="80" zoomScaleNormal="80" workbookViewId="0"/>
  </sheetViews>
  <sheetFormatPr defaultColWidth="9.140625" defaultRowHeight="12.75" x14ac:dyDescent="0.2"/>
  <cols>
    <col min="1" max="1" width="10.28515625" style="6" bestFit="1" customWidth="1"/>
    <col min="2" max="2" width="13.5703125" style="6" customWidth="1"/>
    <col min="3" max="3" width="16.28515625" style="6" bestFit="1" customWidth="1"/>
    <col min="4" max="4" width="15.5703125" style="6" customWidth="1"/>
    <col min="5" max="5" width="9.7109375" style="6" bestFit="1" customWidth="1"/>
    <col min="6" max="6" width="18.7109375" style="6" bestFit="1" customWidth="1"/>
    <col min="7" max="7" width="18.28515625" style="6" customWidth="1"/>
    <col min="8" max="8" width="16.7109375" style="6" customWidth="1"/>
    <col min="9" max="9" width="16.5703125" style="6" customWidth="1"/>
    <col min="10" max="10" width="17.28515625" style="6" customWidth="1"/>
    <col min="11" max="13" width="16.5703125" style="6" customWidth="1"/>
    <col min="14" max="15" width="18.28515625" style="6" customWidth="1"/>
    <col min="16" max="16" width="15.42578125" style="6" bestFit="1" customWidth="1"/>
    <col min="17" max="17" width="15.28515625" style="6" bestFit="1" customWidth="1"/>
    <col min="18" max="16384" width="9.140625" style="6"/>
  </cols>
  <sheetData>
    <row r="1" spans="1:17" ht="38.25" x14ac:dyDescent="0.2">
      <c r="A1" s="101" t="s">
        <v>8</v>
      </c>
      <c r="B1" s="102" t="s">
        <v>88</v>
      </c>
      <c r="C1" s="101" t="s">
        <v>2</v>
      </c>
      <c r="D1" s="101" t="s">
        <v>1</v>
      </c>
      <c r="E1" s="102" t="s">
        <v>74</v>
      </c>
      <c r="F1" s="102" t="s">
        <v>48</v>
      </c>
      <c r="N1" s="43"/>
    </row>
    <row r="2" spans="1:17" ht="12.75" customHeight="1" thickBot="1" x14ac:dyDescent="0.25">
      <c r="A2" s="96" t="s">
        <v>54</v>
      </c>
      <c r="B2" s="76">
        <v>40689</v>
      </c>
      <c r="C2" s="55">
        <v>13433683</v>
      </c>
      <c r="D2" s="55">
        <v>0</v>
      </c>
      <c r="E2" s="55">
        <v>0</v>
      </c>
      <c r="F2" s="7">
        <f>SUM(C2:E2)</f>
        <v>13433683</v>
      </c>
      <c r="N2" s="43"/>
    </row>
    <row r="3" spans="1:17" x14ac:dyDescent="0.2">
      <c r="B3" s="44" t="s">
        <v>0</v>
      </c>
      <c r="C3" s="100">
        <f>SUM(C2:C2)</f>
        <v>13433683</v>
      </c>
      <c r="D3" s="100">
        <f>SUM(D2:D2)</f>
        <v>0</v>
      </c>
      <c r="E3" s="100">
        <f>SUM(E2:E2)</f>
        <v>0</v>
      </c>
      <c r="F3" s="100">
        <f>SUM(F2:F2)</f>
        <v>13433683</v>
      </c>
      <c r="J3" s="159"/>
      <c r="K3" s="158" t="s">
        <v>14</v>
      </c>
      <c r="L3" s="250" t="s">
        <v>13</v>
      </c>
    </row>
    <row r="4" spans="1:17" x14ac:dyDescent="0.2">
      <c r="A4" s="17" t="s">
        <v>19</v>
      </c>
      <c r="B4" s="18" t="s">
        <v>22</v>
      </c>
      <c r="C4" s="8">
        <v>0</v>
      </c>
      <c r="D4" s="8">
        <v>0</v>
      </c>
      <c r="E4" s="8">
        <v>0</v>
      </c>
      <c r="F4" s="8">
        <f>SUM(C4:E4)</f>
        <v>0</v>
      </c>
      <c r="J4" s="156" t="s">
        <v>11</v>
      </c>
      <c r="K4" s="103">
        <v>41214</v>
      </c>
      <c r="L4" s="251">
        <v>41199</v>
      </c>
      <c r="N4" s="43"/>
    </row>
    <row r="5" spans="1:17" ht="13.5" thickBot="1" x14ac:dyDescent="0.25">
      <c r="A5" s="17" t="s">
        <v>20</v>
      </c>
      <c r="B5" s="18" t="s">
        <v>22</v>
      </c>
      <c r="C5" s="8">
        <v>0</v>
      </c>
      <c r="D5" s="8">
        <v>0</v>
      </c>
      <c r="E5" s="8">
        <v>0</v>
      </c>
      <c r="F5" s="8">
        <f>SUM(C5:E5)</f>
        <v>0</v>
      </c>
      <c r="J5" s="157" t="s">
        <v>17</v>
      </c>
      <c r="K5" s="104">
        <v>41958</v>
      </c>
      <c r="L5" s="252">
        <v>41395</v>
      </c>
      <c r="N5" s="43"/>
    </row>
    <row r="6" spans="1:17" ht="13.5" thickBot="1" x14ac:dyDescent="0.25">
      <c r="A6" s="44"/>
      <c r="B6" s="80" t="s">
        <v>52</v>
      </c>
      <c r="C6" s="79">
        <f>+SUM(C3:C5)</f>
        <v>13433683</v>
      </c>
      <c r="D6" s="79">
        <f>+SUM(D3:D5)</f>
        <v>0</v>
      </c>
      <c r="E6" s="79">
        <f>+SUM(E3:E5)</f>
        <v>0</v>
      </c>
      <c r="F6" s="79">
        <f>+SUM(F3:F5)</f>
        <v>13433683</v>
      </c>
    </row>
    <row r="7" spans="1:17" ht="14.25" thickTop="1" thickBot="1" x14ac:dyDescent="0.25">
      <c r="C7" s="44"/>
      <c r="D7" s="13"/>
      <c r="E7" s="13"/>
      <c r="F7" s="13"/>
      <c r="G7" s="13"/>
      <c r="H7" s="161"/>
      <c r="I7" s="161"/>
      <c r="J7" s="161"/>
      <c r="K7" s="161"/>
      <c r="L7" s="161"/>
    </row>
    <row r="8" spans="1:17" x14ac:dyDescent="0.2">
      <c r="C8" s="43"/>
      <c r="D8" s="5"/>
      <c r="E8" s="17"/>
      <c r="H8" s="161"/>
      <c r="I8" s="162"/>
      <c r="J8" s="163"/>
      <c r="K8" s="163"/>
      <c r="L8" s="163"/>
      <c r="M8" s="108"/>
    </row>
    <row r="9" spans="1:17" ht="38.25" x14ac:dyDescent="0.2">
      <c r="A9" s="90" t="s">
        <v>53</v>
      </c>
      <c r="B9" s="90" t="s">
        <v>3</v>
      </c>
      <c r="C9" s="90" t="s">
        <v>4</v>
      </c>
      <c r="D9" s="90" t="s">
        <v>5</v>
      </c>
      <c r="E9" s="90" t="s">
        <v>6</v>
      </c>
      <c r="F9" s="90" t="s">
        <v>7</v>
      </c>
      <c r="G9" s="90" t="s">
        <v>93</v>
      </c>
      <c r="H9" s="90" t="s">
        <v>94</v>
      </c>
      <c r="I9" s="105" t="s">
        <v>95</v>
      </c>
      <c r="J9" s="106" t="s">
        <v>96</v>
      </c>
      <c r="K9" s="106" t="s">
        <v>97</v>
      </c>
      <c r="L9" s="106" t="s">
        <v>98</v>
      </c>
      <c r="M9" s="107" t="s">
        <v>99</v>
      </c>
      <c r="N9" s="90" t="s">
        <v>100</v>
      </c>
      <c r="O9" s="90" t="s">
        <v>101</v>
      </c>
    </row>
    <row r="10" spans="1:17" ht="13.15" customHeight="1" x14ac:dyDescent="0.2">
      <c r="A10" s="307" t="s">
        <v>10</v>
      </c>
      <c r="B10" s="307"/>
      <c r="C10" s="282">
        <f>$L$4</f>
        <v>41199</v>
      </c>
      <c r="D10" s="282">
        <f>DATE(YEAR(C10),IF(MONTH(C10)&lt;=3,3,IF(MONTH(C10)&lt;=6,6,IF(MONTH(C10)&lt;=9,9,12))),IF(OR(MONTH(C10)&lt;=3,MONTH(C10)&gt;=10),31,30))</f>
        <v>41274</v>
      </c>
      <c r="E10" s="283">
        <f>D10-C10+1</f>
        <v>76</v>
      </c>
      <c r="F10" s="284">
        <f>VLOOKUP(D10,'FERC Interest Rate'!$A:$B,2,TRUE)</f>
        <v>3.2500000000000001E-2</v>
      </c>
      <c r="G10" s="167">
        <f>$C$3</f>
        <v>13433683</v>
      </c>
      <c r="H10" s="167">
        <f>G10*F10*(E10/(DATE(YEAR(D10),12,31)-DATE(YEAR(D10),1,1)+1))</f>
        <v>90659.008224043719</v>
      </c>
      <c r="I10" s="285">
        <v>0</v>
      </c>
      <c r="J10" s="286">
        <v>0</v>
      </c>
      <c r="K10" s="286">
        <f>+SUM(I10:J10)</f>
        <v>0</v>
      </c>
      <c r="L10" s="286">
        <v>0</v>
      </c>
      <c r="M10" s="287">
        <f>+SUM(K10:L10)</f>
        <v>0</v>
      </c>
      <c r="N10" s="286">
        <f>+G10+H10+J10</f>
        <v>13524342.008224044</v>
      </c>
      <c r="O10" s="167">
        <f t="shared" ref="O10:O31" si="0">G10+H10-L10-I10</f>
        <v>13524342.008224044</v>
      </c>
      <c r="P10" s="8"/>
    </row>
    <row r="11" spans="1:17" x14ac:dyDescent="0.2">
      <c r="A11" s="308"/>
      <c r="B11" s="308"/>
      <c r="C11" s="282">
        <f>D10+1</f>
        <v>41275</v>
      </c>
      <c r="D11" s="282">
        <f>EOMONTH(D10,3)</f>
        <v>41364</v>
      </c>
      <c r="E11" s="283">
        <f t="shared" ref="E11:E31" si="1">D11-C11+1</f>
        <v>90</v>
      </c>
      <c r="F11" s="284">
        <f>VLOOKUP(D11,'FERC Interest Rate'!$A:$B,2,TRUE)</f>
        <v>3.2500000000000001E-2</v>
      </c>
      <c r="G11" s="167">
        <f t="shared" ref="G11:G19" si="2">O10</f>
        <v>13524342.008224044</v>
      </c>
      <c r="H11" s="167">
        <f>G11*F11*(E11/(DATE(YEAR(D11),12,31)-DATE(YEAR(D11),1,1)+1))</f>
        <v>108380.00102480911</v>
      </c>
      <c r="I11" s="285">
        <v>0</v>
      </c>
      <c r="J11" s="286">
        <v>0</v>
      </c>
      <c r="K11" s="286">
        <f t="shared" ref="K11:K31" si="3">+SUM(I11:J11)</f>
        <v>0</v>
      </c>
      <c r="L11" s="286">
        <v>0</v>
      </c>
      <c r="M11" s="287">
        <f t="shared" ref="M11:M31" si="4">+SUM(K11:L11)</f>
        <v>0</v>
      </c>
      <c r="N11" s="286">
        <f t="shared" ref="N11:N31" si="5">+G11+H11+J11</f>
        <v>13632722.009248853</v>
      </c>
      <c r="O11" s="167">
        <f t="shared" si="0"/>
        <v>13632722.009248853</v>
      </c>
      <c r="P11" s="8"/>
      <c r="Q11" s="8"/>
    </row>
    <row r="12" spans="1:17" x14ac:dyDescent="0.2">
      <c r="A12" s="96" t="s">
        <v>54</v>
      </c>
      <c r="B12" s="81" t="str">
        <f>+IF(MONTH(C12)&lt;4,"Q1",IF(MONTH(C12)&lt;7,"Q2",IF(MONTH(C12)&lt;10,"Q3","Q4")))&amp;"/"&amp;YEAR(C12)</f>
        <v>Q2/2013</v>
      </c>
      <c r="C12" s="82">
        <f t="shared" ref="C12:C19" si="6">D11+1</f>
        <v>41365</v>
      </c>
      <c r="D12" s="82">
        <f t="shared" ref="D12:D19" si="7">EOMONTH(D11,3)</f>
        <v>41455</v>
      </c>
      <c r="E12" s="81">
        <f t="shared" ref="E12:E19" si="8">D12-C12+1</f>
        <v>91</v>
      </c>
      <c r="F12" s="83">
        <f>VLOOKUP(D12,'FERC Interest Rate'!$A:$B,2,TRUE)</f>
        <v>3.2500000000000001E-2</v>
      </c>
      <c r="G12" s="84">
        <f t="shared" si="2"/>
        <v>13632722.009248853</v>
      </c>
      <c r="H12" s="167">
        <f>G12*F12*(E12/(DATE(YEAR(D12),12,31)-DATE(YEAR(D12),1,1)+1))</f>
        <v>110462.39819822872</v>
      </c>
      <c r="I12" s="109">
        <f t="shared" ref="I12:I31" si="9">SUM($H$10:$H$32)/20</f>
        <v>15475.070372354079</v>
      </c>
      <c r="J12" s="286">
        <v>0</v>
      </c>
      <c r="K12" s="85">
        <f t="shared" si="3"/>
        <v>15475.070372354079</v>
      </c>
      <c r="L12" s="85">
        <f t="shared" ref="L12:L31" si="10">$C$3/20</f>
        <v>671684.15</v>
      </c>
      <c r="M12" s="110">
        <f t="shared" si="4"/>
        <v>687159.22037235415</v>
      </c>
      <c r="N12" s="85">
        <f t="shared" si="5"/>
        <v>13743184.407447081</v>
      </c>
      <c r="O12" s="84">
        <f t="shared" si="0"/>
        <v>13056025.187074726</v>
      </c>
      <c r="P12" s="8"/>
      <c r="Q12" s="8"/>
    </row>
    <row r="13" spans="1:17" x14ac:dyDescent="0.2">
      <c r="A13" s="96" t="s">
        <v>55</v>
      </c>
      <c r="B13" s="81" t="str">
        <f t="shared" ref="B13:B31" si="11">+IF(MONTH(C13)&lt;4,"Q1",IF(MONTH(C13)&lt;7,"Q2",IF(MONTH(C13)&lt;10,"Q3","Q4")))&amp;"/"&amp;YEAR(C13)</f>
        <v>Q3/2013</v>
      </c>
      <c r="C13" s="82">
        <f t="shared" si="6"/>
        <v>41456</v>
      </c>
      <c r="D13" s="82">
        <f t="shared" si="7"/>
        <v>41547</v>
      </c>
      <c r="E13" s="81">
        <f t="shared" si="8"/>
        <v>92</v>
      </c>
      <c r="F13" s="83">
        <f>VLOOKUP(D13,'FERC Interest Rate'!$A:$B,2,TRUE)</f>
        <v>3.2500000000000001E-2</v>
      </c>
      <c r="G13" s="84">
        <f t="shared" si="2"/>
        <v>13056025.187074726</v>
      </c>
      <c r="H13" s="84">
        <v>0</v>
      </c>
      <c r="I13" s="109">
        <f t="shared" si="9"/>
        <v>15475.070372354079</v>
      </c>
      <c r="J13" s="85">
        <f t="shared" ref="J13:J31" si="12">G13*F13*(E13/(DATE(YEAR(D13),12,31)-DATE(YEAR(D13),1,1)+1))</f>
        <v>106952.09673795462</v>
      </c>
      <c r="K13" s="85">
        <f t="shared" si="3"/>
        <v>122427.1671103087</v>
      </c>
      <c r="L13" s="85">
        <f t="shared" si="10"/>
        <v>671684.15</v>
      </c>
      <c r="M13" s="110">
        <f t="shared" si="4"/>
        <v>794111.31711030868</v>
      </c>
      <c r="N13" s="85">
        <f t="shared" si="5"/>
        <v>13162977.283812681</v>
      </c>
      <c r="O13" s="84">
        <f t="shared" si="0"/>
        <v>12368865.966702372</v>
      </c>
      <c r="P13" s="8"/>
      <c r="Q13" s="8"/>
    </row>
    <row r="14" spans="1:17" x14ac:dyDescent="0.2">
      <c r="A14" s="96" t="s">
        <v>56</v>
      </c>
      <c r="B14" s="81" t="str">
        <f t="shared" si="11"/>
        <v>Q4/2013</v>
      </c>
      <c r="C14" s="82">
        <f t="shared" si="6"/>
        <v>41548</v>
      </c>
      <c r="D14" s="82">
        <f t="shared" si="7"/>
        <v>41639</v>
      </c>
      <c r="E14" s="81">
        <f t="shared" si="8"/>
        <v>92</v>
      </c>
      <c r="F14" s="83">
        <f>VLOOKUP(D14,'FERC Interest Rate'!$A:$B,2,TRUE)</f>
        <v>3.2500000000000001E-2</v>
      </c>
      <c r="G14" s="84">
        <f t="shared" si="2"/>
        <v>12368865.966702372</v>
      </c>
      <c r="H14" s="84">
        <v>0</v>
      </c>
      <c r="I14" s="109">
        <f t="shared" si="9"/>
        <v>15475.070372354079</v>
      </c>
      <c r="J14" s="85">
        <f t="shared" si="12"/>
        <v>101323.03901490438</v>
      </c>
      <c r="K14" s="85">
        <f t="shared" si="3"/>
        <v>116798.10938725846</v>
      </c>
      <c r="L14" s="85">
        <f t="shared" si="10"/>
        <v>671684.15</v>
      </c>
      <c r="M14" s="110">
        <f t="shared" si="4"/>
        <v>788482.25938725844</v>
      </c>
      <c r="N14" s="85">
        <f t="shared" si="5"/>
        <v>12470189.005717276</v>
      </c>
      <c r="O14" s="84">
        <f t="shared" si="0"/>
        <v>11681706.746330017</v>
      </c>
      <c r="P14" s="8"/>
      <c r="Q14" s="8"/>
    </row>
    <row r="15" spans="1:17" x14ac:dyDescent="0.2">
      <c r="A15" s="96" t="s">
        <v>57</v>
      </c>
      <c r="B15" s="81" t="str">
        <f t="shared" si="11"/>
        <v>Q1/2014</v>
      </c>
      <c r="C15" s="82">
        <f t="shared" si="6"/>
        <v>41640</v>
      </c>
      <c r="D15" s="82">
        <f t="shared" si="7"/>
        <v>41729</v>
      </c>
      <c r="E15" s="81">
        <f t="shared" si="8"/>
        <v>90</v>
      </c>
      <c r="F15" s="83">
        <f>VLOOKUP(D15,'FERC Interest Rate'!$A:$B,2,TRUE)</f>
        <v>3.2500000000000001E-2</v>
      </c>
      <c r="G15" s="84">
        <f t="shared" si="2"/>
        <v>11681706.746330017</v>
      </c>
      <c r="H15" s="84">
        <v>0</v>
      </c>
      <c r="I15" s="109">
        <f t="shared" si="9"/>
        <v>15475.070372354079</v>
      </c>
      <c r="J15" s="85">
        <f t="shared" si="12"/>
        <v>93613.677350726852</v>
      </c>
      <c r="K15" s="85">
        <f t="shared" si="3"/>
        <v>109088.74772308093</v>
      </c>
      <c r="L15" s="85">
        <f t="shared" si="10"/>
        <v>671684.15</v>
      </c>
      <c r="M15" s="110">
        <f t="shared" si="4"/>
        <v>780772.89772308094</v>
      </c>
      <c r="N15" s="85">
        <f t="shared" si="5"/>
        <v>11775320.423680743</v>
      </c>
      <c r="O15" s="84">
        <f t="shared" si="0"/>
        <v>10994547.525957663</v>
      </c>
      <c r="P15" s="8"/>
      <c r="Q15" s="8"/>
    </row>
    <row r="16" spans="1:17" x14ac:dyDescent="0.2">
      <c r="A16" s="96" t="s">
        <v>58</v>
      </c>
      <c r="B16" s="81" t="str">
        <f t="shared" si="11"/>
        <v>Q2/2014</v>
      </c>
      <c r="C16" s="82">
        <f t="shared" si="6"/>
        <v>41730</v>
      </c>
      <c r="D16" s="82">
        <f t="shared" si="7"/>
        <v>41820</v>
      </c>
      <c r="E16" s="81">
        <f t="shared" si="8"/>
        <v>91</v>
      </c>
      <c r="F16" s="83">
        <f>VLOOKUP(D16,'FERC Interest Rate'!$A:$B,2,TRUE)</f>
        <v>3.2500000000000001E-2</v>
      </c>
      <c r="G16" s="84">
        <f t="shared" si="2"/>
        <v>10994547.525957663</v>
      </c>
      <c r="H16" s="84">
        <v>0</v>
      </c>
      <c r="I16" s="109">
        <f t="shared" si="9"/>
        <v>15475.070372354079</v>
      </c>
      <c r="J16" s="85">
        <f t="shared" si="12"/>
        <v>89085.957008273399</v>
      </c>
      <c r="K16" s="85">
        <f t="shared" si="3"/>
        <v>104561.02738062748</v>
      </c>
      <c r="L16" s="85">
        <f t="shared" si="10"/>
        <v>671684.15</v>
      </c>
      <c r="M16" s="110">
        <f t="shared" si="4"/>
        <v>776245.17738062749</v>
      </c>
      <c r="N16" s="85">
        <f t="shared" si="5"/>
        <v>11083633.482965937</v>
      </c>
      <c r="O16" s="84">
        <f t="shared" si="0"/>
        <v>10307388.305585308</v>
      </c>
      <c r="P16" s="8"/>
      <c r="Q16" s="8"/>
    </row>
    <row r="17" spans="1:17" x14ac:dyDescent="0.2">
      <c r="A17" s="96" t="s">
        <v>59</v>
      </c>
      <c r="B17" s="81" t="str">
        <f t="shared" si="11"/>
        <v>Q3/2014</v>
      </c>
      <c r="C17" s="82">
        <f t="shared" si="6"/>
        <v>41821</v>
      </c>
      <c r="D17" s="82">
        <f t="shared" si="7"/>
        <v>41912</v>
      </c>
      <c r="E17" s="81">
        <f t="shared" si="8"/>
        <v>92</v>
      </c>
      <c r="F17" s="83">
        <f>VLOOKUP(D17,'FERC Interest Rate'!$A:$B,2,TRUE)</f>
        <v>3.2500000000000001E-2</v>
      </c>
      <c r="G17" s="84">
        <f t="shared" si="2"/>
        <v>10307388.305585308</v>
      </c>
      <c r="H17" s="84">
        <v>0</v>
      </c>
      <c r="I17" s="109">
        <f t="shared" si="9"/>
        <v>15475.070372354079</v>
      </c>
      <c r="J17" s="85">
        <f t="shared" si="12"/>
        <v>84435.865845753622</v>
      </c>
      <c r="K17" s="85">
        <f t="shared" si="3"/>
        <v>99910.936218107701</v>
      </c>
      <c r="L17" s="85">
        <f t="shared" si="10"/>
        <v>671684.15</v>
      </c>
      <c r="M17" s="110">
        <f t="shared" si="4"/>
        <v>771595.08621810772</v>
      </c>
      <c r="N17" s="85">
        <f t="shared" si="5"/>
        <v>10391824.171431061</v>
      </c>
      <c r="O17" s="84">
        <f t="shared" si="0"/>
        <v>9620229.0852129534</v>
      </c>
      <c r="P17" s="8"/>
      <c r="Q17" s="8"/>
    </row>
    <row r="18" spans="1:17" x14ac:dyDescent="0.2">
      <c r="A18" s="96" t="s">
        <v>60</v>
      </c>
      <c r="B18" s="81" t="str">
        <f t="shared" si="11"/>
        <v>Q4/2014</v>
      </c>
      <c r="C18" s="82">
        <f t="shared" si="6"/>
        <v>41913</v>
      </c>
      <c r="D18" s="82">
        <f t="shared" si="7"/>
        <v>42004</v>
      </c>
      <c r="E18" s="81">
        <f t="shared" si="8"/>
        <v>92</v>
      </c>
      <c r="F18" s="83">
        <f>VLOOKUP(D18,'FERC Interest Rate'!$A:$B,2,TRUE)</f>
        <v>3.2500000000000001E-2</v>
      </c>
      <c r="G18" s="84">
        <f t="shared" si="2"/>
        <v>9620229.0852129534</v>
      </c>
      <c r="H18" s="84">
        <v>0</v>
      </c>
      <c r="I18" s="109">
        <f t="shared" si="9"/>
        <v>15475.070372354079</v>
      </c>
      <c r="J18" s="85">
        <f t="shared" si="12"/>
        <v>78806.808122703369</v>
      </c>
      <c r="K18" s="85">
        <f t="shared" si="3"/>
        <v>94281.878495057448</v>
      </c>
      <c r="L18" s="85">
        <f t="shared" si="10"/>
        <v>671684.15</v>
      </c>
      <c r="M18" s="110">
        <f t="shared" si="4"/>
        <v>765966.02849505749</v>
      </c>
      <c r="N18" s="85">
        <f t="shared" si="5"/>
        <v>9699035.8933356572</v>
      </c>
      <c r="O18" s="84">
        <f t="shared" si="0"/>
        <v>8933069.8648405988</v>
      </c>
      <c r="P18" s="8"/>
      <c r="Q18" s="8"/>
    </row>
    <row r="19" spans="1:17" x14ac:dyDescent="0.2">
      <c r="A19" s="96" t="s">
        <v>61</v>
      </c>
      <c r="B19" s="81" t="str">
        <f t="shared" si="11"/>
        <v>Q1/2015</v>
      </c>
      <c r="C19" s="82">
        <f t="shared" si="6"/>
        <v>42005</v>
      </c>
      <c r="D19" s="82">
        <f t="shared" si="7"/>
        <v>42094</v>
      </c>
      <c r="E19" s="81">
        <f t="shared" si="8"/>
        <v>90</v>
      </c>
      <c r="F19" s="83">
        <f>VLOOKUP(D19,'FERC Interest Rate'!$A:$B,2,TRUE)</f>
        <v>3.2500000000000001E-2</v>
      </c>
      <c r="G19" s="84">
        <f t="shared" si="2"/>
        <v>8933069.8648405988</v>
      </c>
      <c r="H19" s="84">
        <v>0</v>
      </c>
      <c r="I19" s="109">
        <f t="shared" si="9"/>
        <v>15475.070372354079</v>
      </c>
      <c r="J19" s="85">
        <f t="shared" si="12"/>
        <v>71586.929738791107</v>
      </c>
      <c r="K19" s="85">
        <f t="shared" si="3"/>
        <v>87062.000111145186</v>
      </c>
      <c r="L19" s="85">
        <f t="shared" si="10"/>
        <v>671684.15</v>
      </c>
      <c r="M19" s="110">
        <f t="shared" si="4"/>
        <v>758746.15011114522</v>
      </c>
      <c r="N19" s="85">
        <f t="shared" si="5"/>
        <v>9004656.7945793904</v>
      </c>
      <c r="O19" s="84">
        <f t="shared" si="0"/>
        <v>8245910.6444682442</v>
      </c>
      <c r="P19" s="8"/>
      <c r="Q19" s="8"/>
    </row>
    <row r="20" spans="1:17" x14ac:dyDescent="0.2">
      <c r="A20" s="96" t="s">
        <v>62</v>
      </c>
      <c r="B20" s="81" t="str">
        <f t="shared" si="11"/>
        <v>Q2/2015</v>
      </c>
      <c r="C20" s="82">
        <f t="shared" ref="C20:C31" si="13">D19+1</f>
        <v>42095</v>
      </c>
      <c r="D20" s="82">
        <f t="shared" ref="D20:D31" si="14">EOMONTH(D19,3)</f>
        <v>42185</v>
      </c>
      <c r="E20" s="81">
        <f t="shared" si="1"/>
        <v>91</v>
      </c>
      <c r="F20" s="83">
        <f>VLOOKUP(D20,'FERC Interest Rate'!$A:$B,2,TRUE)</f>
        <v>3.2500000000000001E-2</v>
      </c>
      <c r="G20" s="84">
        <f t="shared" ref="G20:G31" si="15">O19</f>
        <v>8245910.6444682442</v>
      </c>
      <c r="H20" s="84">
        <v>0</v>
      </c>
      <c r="I20" s="109">
        <f t="shared" si="9"/>
        <v>15475.070372354079</v>
      </c>
      <c r="J20" s="85">
        <f t="shared" si="12"/>
        <v>66814.46775620502</v>
      </c>
      <c r="K20" s="85">
        <f t="shared" si="3"/>
        <v>82289.538128559099</v>
      </c>
      <c r="L20" s="85">
        <f t="shared" si="10"/>
        <v>671684.15</v>
      </c>
      <c r="M20" s="110">
        <f t="shared" si="4"/>
        <v>753973.68812855915</v>
      </c>
      <c r="N20" s="85">
        <f t="shared" si="5"/>
        <v>8312725.1122244494</v>
      </c>
      <c r="O20" s="84">
        <f t="shared" si="0"/>
        <v>7558751.4240958896</v>
      </c>
      <c r="P20" s="8"/>
      <c r="Q20" s="8"/>
    </row>
    <row r="21" spans="1:17" x14ac:dyDescent="0.2">
      <c r="A21" s="96" t="s">
        <v>63</v>
      </c>
      <c r="B21" s="81" t="str">
        <f t="shared" si="11"/>
        <v>Q3/2015</v>
      </c>
      <c r="C21" s="82">
        <f t="shared" si="13"/>
        <v>42186</v>
      </c>
      <c r="D21" s="82">
        <f t="shared" si="14"/>
        <v>42277</v>
      </c>
      <c r="E21" s="81">
        <f t="shared" si="1"/>
        <v>92</v>
      </c>
      <c r="F21" s="83">
        <f>VLOOKUP(D21,'FERC Interest Rate'!$A:$B,2,TRUE)</f>
        <v>3.2500000000000001E-2</v>
      </c>
      <c r="G21" s="84">
        <f t="shared" si="15"/>
        <v>7558751.4240958896</v>
      </c>
      <c r="H21" s="84">
        <v>0</v>
      </c>
      <c r="I21" s="109">
        <f t="shared" si="9"/>
        <v>15475.070372354079</v>
      </c>
      <c r="J21" s="85">
        <f t="shared" si="12"/>
        <v>61919.634953552639</v>
      </c>
      <c r="K21" s="85">
        <f t="shared" si="3"/>
        <v>77394.705325906718</v>
      </c>
      <c r="L21" s="85">
        <f t="shared" si="10"/>
        <v>671684.15</v>
      </c>
      <c r="M21" s="110">
        <f t="shared" si="4"/>
        <v>749078.85532590677</v>
      </c>
      <c r="N21" s="85">
        <f t="shared" si="5"/>
        <v>7620671.0590494424</v>
      </c>
      <c r="O21" s="84">
        <f t="shared" si="0"/>
        <v>6871592.2037235349</v>
      </c>
      <c r="P21" s="8"/>
      <c r="Q21" s="8"/>
    </row>
    <row r="22" spans="1:17" x14ac:dyDescent="0.2">
      <c r="A22" s="96" t="s">
        <v>64</v>
      </c>
      <c r="B22" s="81" t="str">
        <f t="shared" si="11"/>
        <v>Q4/2015</v>
      </c>
      <c r="C22" s="82">
        <f t="shared" si="13"/>
        <v>42278</v>
      </c>
      <c r="D22" s="82">
        <f t="shared" si="14"/>
        <v>42369</v>
      </c>
      <c r="E22" s="81">
        <f t="shared" si="1"/>
        <v>92</v>
      </c>
      <c r="F22" s="83">
        <f>VLOOKUP(D22,'FERC Interest Rate'!$A:$B,2,TRUE)</f>
        <v>3.2500000000000001E-2</v>
      </c>
      <c r="G22" s="84">
        <f t="shared" si="15"/>
        <v>6871592.2037235349</v>
      </c>
      <c r="H22" s="84">
        <v>0</v>
      </c>
      <c r="I22" s="109">
        <f t="shared" si="9"/>
        <v>15475.070372354079</v>
      </c>
      <c r="J22" s="85">
        <f t="shared" si="12"/>
        <v>56290.577230502393</v>
      </c>
      <c r="K22" s="85">
        <f t="shared" si="3"/>
        <v>71765.647602856479</v>
      </c>
      <c r="L22" s="85">
        <f t="shared" si="10"/>
        <v>671684.15</v>
      </c>
      <c r="M22" s="110">
        <f t="shared" si="4"/>
        <v>743449.79760285653</v>
      </c>
      <c r="N22" s="85">
        <f t="shared" si="5"/>
        <v>6927882.7809540378</v>
      </c>
      <c r="O22" s="84">
        <f t="shared" si="0"/>
        <v>6184432.9833511803</v>
      </c>
      <c r="P22" s="8"/>
      <c r="Q22" s="8"/>
    </row>
    <row r="23" spans="1:17" x14ac:dyDescent="0.2">
      <c r="A23" s="96" t="s">
        <v>65</v>
      </c>
      <c r="B23" s="81" t="str">
        <f t="shared" si="11"/>
        <v>Q1/2016</v>
      </c>
      <c r="C23" s="82">
        <f t="shared" si="13"/>
        <v>42370</v>
      </c>
      <c r="D23" s="82">
        <f t="shared" si="14"/>
        <v>42460</v>
      </c>
      <c r="E23" s="81">
        <f t="shared" si="1"/>
        <v>91</v>
      </c>
      <c r="F23" s="83">
        <f>VLOOKUP(D23,'FERC Interest Rate'!$A:$B,2,TRUE)</f>
        <v>3.2500000000000001E-2</v>
      </c>
      <c r="G23" s="84">
        <f t="shared" si="15"/>
        <v>6184432.9833511803</v>
      </c>
      <c r="H23" s="84">
        <v>0</v>
      </c>
      <c r="I23" s="109">
        <f t="shared" si="9"/>
        <v>15475.070372354079</v>
      </c>
      <c r="J23" s="85">
        <f t="shared" si="12"/>
        <v>49973.935924210702</v>
      </c>
      <c r="K23" s="85">
        <f t="shared" si="3"/>
        <v>65449.006296564781</v>
      </c>
      <c r="L23" s="85">
        <f t="shared" si="10"/>
        <v>671684.15</v>
      </c>
      <c r="M23" s="110">
        <f t="shared" si="4"/>
        <v>737133.15629656485</v>
      </c>
      <c r="N23" s="85">
        <f t="shared" si="5"/>
        <v>6234406.9192753909</v>
      </c>
      <c r="O23" s="84">
        <f t="shared" si="0"/>
        <v>5497273.7629788257</v>
      </c>
      <c r="P23" s="8"/>
      <c r="Q23" s="8"/>
    </row>
    <row r="24" spans="1:17" x14ac:dyDescent="0.2">
      <c r="A24" s="96" t="s">
        <v>66</v>
      </c>
      <c r="B24" s="81" t="str">
        <f t="shared" si="11"/>
        <v>Q2/2016</v>
      </c>
      <c r="C24" s="82">
        <f t="shared" si="13"/>
        <v>42461</v>
      </c>
      <c r="D24" s="82">
        <f t="shared" si="14"/>
        <v>42551</v>
      </c>
      <c r="E24" s="81">
        <f t="shared" si="1"/>
        <v>91</v>
      </c>
      <c r="F24" s="83">
        <f>VLOOKUP(D24,'FERC Interest Rate'!$A:$B,2,TRUE)</f>
        <v>3.4599999999999999E-2</v>
      </c>
      <c r="G24" s="84">
        <f t="shared" si="15"/>
        <v>5497273.7629788257</v>
      </c>
      <c r="H24" s="84">
        <v>0</v>
      </c>
      <c r="I24" s="109">
        <f t="shared" si="9"/>
        <v>15475.070372354079</v>
      </c>
      <c r="J24" s="85">
        <f t="shared" si="12"/>
        <v>47291.57423528724</v>
      </c>
      <c r="K24" s="85">
        <f t="shared" si="3"/>
        <v>62766.644607641319</v>
      </c>
      <c r="L24" s="85">
        <f t="shared" si="10"/>
        <v>671684.15</v>
      </c>
      <c r="M24" s="110">
        <f t="shared" si="4"/>
        <v>734450.79460764129</v>
      </c>
      <c r="N24" s="85">
        <f t="shared" si="5"/>
        <v>5544565.3372141132</v>
      </c>
      <c r="O24" s="84">
        <f t="shared" si="0"/>
        <v>4810114.5426064711</v>
      </c>
      <c r="P24" s="8"/>
      <c r="Q24" s="8"/>
    </row>
    <row r="25" spans="1:17" x14ac:dyDescent="0.2">
      <c r="A25" s="96" t="s">
        <v>67</v>
      </c>
      <c r="B25" s="81" t="str">
        <f t="shared" si="11"/>
        <v>Q3/2016</v>
      </c>
      <c r="C25" s="82">
        <f t="shared" si="13"/>
        <v>42552</v>
      </c>
      <c r="D25" s="82">
        <f t="shared" si="14"/>
        <v>42643</v>
      </c>
      <c r="E25" s="81">
        <f t="shared" si="1"/>
        <v>92</v>
      </c>
      <c r="F25" s="83">
        <f>VLOOKUP(D25,'FERC Interest Rate'!$A:$B,2,TRUE)</f>
        <v>3.5000000000000003E-2</v>
      </c>
      <c r="G25" s="84">
        <f t="shared" si="15"/>
        <v>4810114.5426064711</v>
      </c>
      <c r="H25" s="84">
        <v>0</v>
      </c>
      <c r="I25" s="109">
        <f t="shared" si="9"/>
        <v>15475.070372354079</v>
      </c>
      <c r="J25" s="85">
        <f t="shared" si="12"/>
        <v>42318.494063368409</v>
      </c>
      <c r="K25" s="85">
        <f t="shared" si="3"/>
        <v>57793.564435722488</v>
      </c>
      <c r="L25" s="85">
        <f t="shared" si="10"/>
        <v>671684.15</v>
      </c>
      <c r="M25" s="110">
        <f t="shared" si="4"/>
        <v>729477.71443572256</v>
      </c>
      <c r="N25" s="85">
        <f t="shared" si="5"/>
        <v>4852433.0366698392</v>
      </c>
      <c r="O25" s="84">
        <f t="shared" si="0"/>
        <v>4122955.322234117</v>
      </c>
      <c r="P25" s="8"/>
      <c r="Q25" s="8"/>
    </row>
    <row r="26" spans="1:17" x14ac:dyDescent="0.2">
      <c r="A26" s="96" t="s">
        <v>68</v>
      </c>
      <c r="B26" s="81" t="str">
        <f t="shared" si="11"/>
        <v>Q4/2016</v>
      </c>
      <c r="C26" s="82">
        <f t="shared" si="13"/>
        <v>42644</v>
      </c>
      <c r="D26" s="82">
        <f t="shared" si="14"/>
        <v>42735</v>
      </c>
      <c r="E26" s="81">
        <f t="shared" si="1"/>
        <v>92</v>
      </c>
      <c r="F26" s="83">
        <f>VLOOKUP(D26,'FERC Interest Rate'!$A:$B,2,TRUE)</f>
        <v>3.5000000000000003E-2</v>
      </c>
      <c r="G26" s="84">
        <f t="shared" si="15"/>
        <v>4122955.322234117</v>
      </c>
      <c r="H26" s="84">
        <v>0</v>
      </c>
      <c r="I26" s="109">
        <f t="shared" si="9"/>
        <v>15475.070372354079</v>
      </c>
      <c r="J26" s="85">
        <f t="shared" si="12"/>
        <v>36272.994911458627</v>
      </c>
      <c r="K26" s="85">
        <f t="shared" si="3"/>
        <v>51748.065283812706</v>
      </c>
      <c r="L26" s="85">
        <f t="shared" si="10"/>
        <v>671684.15</v>
      </c>
      <c r="M26" s="110">
        <f t="shared" si="4"/>
        <v>723432.21528381272</v>
      </c>
      <c r="N26" s="85">
        <f t="shared" si="5"/>
        <v>4159228.3171455758</v>
      </c>
      <c r="O26" s="84">
        <f t="shared" si="0"/>
        <v>3435796.1018617628</v>
      </c>
      <c r="P26" s="8"/>
      <c r="Q26" s="8"/>
    </row>
    <row r="27" spans="1:17" x14ac:dyDescent="0.2">
      <c r="A27" s="96" t="s">
        <v>69</v>
      </c>
      <c r="B27" s="81" t="str">
        <f t="shared" si="11"/>
        <v>Q1/2017</v>
      </c>
      <c r="C27" s="82">
        <f t="shared" si="13"/>
        <v>42736</v>
      </c>
      <c r="D27" s="82">
        <f t="shared" si="14"/>
        <v>42825</v>
      </c>
      <c r="E27" s="81">
        <f t="shared" si="1"/>
        <v>90</v>
      </c>
      <c r="F27" s="83">
        <f>VLOOKUP(D27,'FERC Interest Rate'!$A:$B,2,TRUE)</f>
        <v>3.5000000000000003E-2</v>
      </c>
      <c r="G27" s="84">
        <f t="shared" si="15"/>
        <v>3435796.1018617628</v>
      </c>
      <c r="H27" s="84">
        <v>0</v>
      </c>
      <c r="I27" s="109">
        <f t="shared" si="9"/>
        <v>15475.070372354079</v>
      </c>
      <c r="J27" s="85">
        <f t="shared" si="12"/>
        <v>29651.391016067268</v>
      </c>
      <c r="K27" s="85">
        <f t="shared" si="3"/>
        <v>45126.461388421347</v>
      </c>
      <c r="L27" s="85">
        <f t="shared" si="10"/>
        <v>671684.15</v>
      </c>
      <c r="M27" s="110">
        <f t="shared" si="4"/>
        <v>716810.61138842138</v>
      </c>
      <c r="N27" s="85">
        <f t="shared" si="5"/>
        <v>3465447.4928778303</v>
      </c>
      <c r="O27" s="84">
        <f t="shared" si="0"/>
        <v>2748636.8814894087</v>
      </c>
      <c r="P27" s="8"/>
      <c r="Q27" s="8"/>
    </row>
    <row r="28" spans="1:17" x14ac:dyDescent="0.2">
      <c r="A28" s="96" t="s">
        <v>70</v>
      </c>
      <c r="B28" s="81" t="str">
        <f t="shared" si="11"/>
        <v>Q2/2017</v>
      </c>
      <c r="C28" s="82">
        <f t="shared" si="13"/>
        <v>42826</v>
      </c>
      <c r="D28" s="82">
        <f t="shared" si="14"/>
        <v>42916</v>
      </c>
      <c r="E28" s="81">
        <f t="shared" si="1"/>
        <v>91</v>
      </c>
      <c r="F28" s="83">
        <f>VLOOKUP(D28,'FERC Interest Rate'!$A:$B,2,TRUE)</f>
        <v>3.7100000000000001E-2</v>
      </c>
      <c r="G28" s="84">
        <f t="shared" si="15"/>
        <v>2748636.8814894087</v>
      </c>
      <c r="H28" s="84">
        <v>0</v>
      </c>
      <c r="I28" s="109">
        <f t="shared" si="9"/>
        <v>15475.070372354079</v>
      </c>
      <c r="J28" s="85">
        <f t="shared" si="12"/>
        <v>25423.76157697642</v>
      </c>
      <c r="K28" s="85">
        <f t="shared" si="3"/>
        <v>40898.831949330503</v>
      </c>
      <c r="L28" s="85">
        <f t="shared" si="10"/>
        <v>671684.15</v>
      </c>
      <c r="M28" s="110">
        <f t="shared" si="4"/>
        <v>712582.98194933054</v>
      </c>
      <c r="N28" s="85">
        <f t="shared" si="5"/>
        <v>2774060.6430663853</v>
      </c>
      <c r="O28" s="84">
        <f t="shared" si="0"/>
        <v>2061477.6611170548</v>
      </c>
      <c r="P28" s="8"/>
      <c r="Q28" s="8"/>
    </row>
    <row r="29" spans="1:17" x14ac:dyDescent="0.2">
      <c r="A29" s="96" t="s">
        <v>71</v>
      </c>
      <c r="B29" s="81" t="str">
        <f t="shared" si="11"/>
        <v>Q3/2017</v>
      </c>
      <c r="C29" s="82">
        <f t="shared" si="13"/>
        <v>42917</v>
      </c>
      <c r="D29" s="82">
        <f t="shared" si="14"/>
        <v>43008</v>
      </c>
      <c r="E29" s="81">
        <f t="shared" si="1"/>
        <v>92</v>
      </c>
      <c r="F29" s="83">
        <f>VLOOKUP(D29,'FERC Interest Rate'!$A:$B,2,TRUE)</f>
        <v>3.9600000000000003E-2</v>
      </c>
      <c r="G29" s="84">
        <f t="shared" si="15"/>
        <v>2061477.6611170548</v>
      </c>
      <c r="H29" s="84">
        <v>0</v>
      </c>
      <c r="I29" s="109">
        <f t="shared" si="9"/>
        <v>15475.070372354079</v>
      </c>
      <c r="J29" s="85">
        <f t="shared" si="12"/>
        <v>20576.370999949741</v>
      </c>
      <c r="K29" s="85">
        <f t="shared" si="3"/>
        <v>36051.441372303816</v>
      </c>
      <c r="L29" s="85">
        <f t="shared" si="10"/>
        <v>671684.15</v>
      </c>
      <c r="M29" s="110">
        <f t="shared" si="4"/>
        <v>707735.5913723039</v>
      </c>
      <c r="N29" s="85">
        <f t="shared" si="5"/>
        <v>2082054.0321170045</v>
      </c>
      <c r="O29" s="84">
        <f t="shared" si="0"/>
        <v>1374318.4407447006</v>
      </c>
      <c r="P29" s="8"/>
      <c r="Q29" s="8"/>
    </row>
    <row r="30" spans="1:17" x14ac:dyDescent="0.2">
      <c r="A30" s="96" t="s">
        <v>72</v>
      </c>
      <c r="B30" s="81" t="str">
        <f t="shared" si="11"/>
        <v>Q4/2017</v>
      </c>
      <c r="C30" s="82">
        <f t="shared" si="13"/>
        <v>43009</v>
      </c>
      <c r="D30" s="82">
        <f t="shared" si="14"/>
        <v>43100</v>
      </c>
      <c r="E30" s="81">
        <f t="shared" si="1"/>
        <v>92</v>
      </c>
      <c r="F30" s="83">
        <f>VLOOKUP(D30,'FERC Interest Rate'!$A:$B,2,TRUE)</f>
        <v>4.2099999999999999E-2</v>
      </c>
      <c r="G30" s="84">
        <f t="shared" si="15"/>
        <v>1374318.4407447006</v>
      </c>
      <c r="H30" s="84">
        <v>0</v>
      </c>
      <c r="I30" s="109">
        <f t="shared" si="9"/>
        <v>15475.070372354079</v>
      </c>
      <c r="J30" s="85">
        <f t="shared" si="12"/>
        <v>14583.589547102396</v>
      </c>
      <c r="K30" s="85">
        <f t="shared" si="3"/>
        <v>30058.659919456477</v>
      </c>
      <c r="L30" s="85">
        <f t="shared" si="10"/>
        <v>671684.15</v>
      </c>
      <c r="M30" s="110">
        <f t="shared" si="4"/>
        <v>701742.80991945649</v>
      </c>
      <c r="N30" s="85">
        <f t="shared" si="5"/>
        <v>1388902.0302918029</v>
      </c>
      <c r="O30" s="84">
        <f t="shared" si="0"/>
        <v>687159.22037234646</v>
      </c>
      <c r="P30" s="8"/>
      <c r="Q30" s="8"/>
    </row>
    <row r="31" spans="1:17" x14ac:dyDescent="0.2">
      <c r="A31" s="96" t="s">
        <v>73</v>
      </c>
      <c r="B31" s="81" t="str">
        <f t="shared" si="11"/>
        <v>Q1/2018</v>
      </c>
      <c r="C31" s="82">
        <f t="shared" si="13"/>
        <v>43101</v>
      </c>
      <c r="D31" s="82">
        <f t="shared" si="14"/>
        <v>43190</v>
      </c>
      <c r="E31" s="81">
        <f t="shared" si="1"/>
        <v>90</v>
      </c>
      <c r="F31" s="83">
        <f>VLOOKUP(D31,'FERC Interest Rate'!$A:$B,2,TRUE)</f>
        <v>4.2500000000000003E-2</v>
      </c>
      <c r="G31" s="84">
        <f t="shared" si="15"/>
        <v>687159.22037234646</v>
      </c>
      <c r="H31" s="84">
        <v>0</v>
      </c>
      <c r="I31" s="109">
        <f t="shared" si="9"/>
        <v>15475.070372354079</v>
      </c>
      <c r="J31" s="85">
        <f t="shared" si="12"/>
        <v>7201.0521039019868</v>
      </c>
      <c r="K31" s="85">
        <f t="shared" si="3"/>
        <v>22676.122476256067</v>
      </c>
      <c r="L31" s="85">
        <f t="shared" si="10"/>
        <v>671684.15</v>
      </c>
      <c r="M31" s="110">
        <f t="shared" si="4"/>
        <v>694360.27247625613</v>
      </c>
      <c r="N31" s="85">
        <f t="shared" si="5"/>
        <v>694360.27247624844</v>
      </c>
      <c r="O31" s="84">
        <f t="shared" si="0"/>
        <v>-7.6397554948925972E-9</v>
      </c>
      <c r="P31" s="8"/>
      <c r="Q31" s="8"/>
    </row>
    <row r="32" spans="1:17" x14ac:dyDescent="0.2">
      <c r="A32" s="97"/>
      <c r="B32" s="91"/>
      <c r="C32" s="92"/>
      <c r="D32" s="92"/>
      <c r="E32" s="91"/>
      <c r="F32" s="93"/>
      <c r="G32" s="94"/>
      <c r="H32" s="94"/>
      <c r="I32" s="111"/>
      <c r="J32" s="95"/>
      <c r="K32" s="95"/>
      <c r="L32" s="95"/>
      <c r="M32" s="112"/>
      <c r="N32" s="95"/>
      <c r="O32" s="94"/>
    </row>
    <row r="33" spans="1:15" ht="13.5" thickBot="1" x14ac:dyDescent="0.25">
      <c r="A33" s="86"/>
      <c r="B33" s="86"/>
      <c r="C33" s="87"/>
      <c r="D33" s="87"/>
      <c r="E33" s="86"/>
      <c r="F33" s="88"/>
      <c r="G33" s="89">
        <f t="shared" ref="G33:O33" si="16">+SUM(G10:G32)</f>
        <v>171150998.88822004</v>
      </c>
      <c r="H33" s="89">
        <f t="shared" si="16"/>
        <v>309501.40744708158</v>
      </c>
      <c r="I33" s="113">
        <f t="shared" si="16"/>
        <v>309501.40744708141</v>
      </c>
      <c r="J33" s="89">
        <f t="shared" si="16"/>
        <v>1084122.2181376899</v>
      </c>
      <c r="K33" s="89">
        <f t="shared" si="16"/>
        <v>1393623.6255847719</v>
      </c>
      <c r="L33" s="89">
        <f t="shared" si="16"/>
        <v>13433683.000000004</v>
      </c>
      <c r="M33" s="114">
        <f t="shared" si="16"/>
        <v>14827306.625584772</v>
      </c>
      <c r="N33" s="89">
        <f t="shared" si="16"/>
        <v>172544622.51380485</v>
      </c>
      <c r="O33" s="89">
        <f t="shared" si="16"/>
        <v>157717315.88822007</v>
      </c>
    </row>
    <row r="34" spans="1:15" ht="13.5" thickTop="1" x14ac:dyDescent="0.2">
      <c r="B34" s="11"/>
      <c r="C34" s="125"/>
      <c r="D34" s="125"/>
      <c r="E34" s="10"/>
      <c r="F34" s="11"/>
      <c r="G34" s="85"/>
      <c r="H34" s="70"/>
      <c r="I34" s="115"/>
      <c r="J34" s="85"/>
      <c r="K34" s="85"/>
      <c r="L34" s="70"/>
      <c r="M34" s="118"/>
      <c r="N34" s="70"/>
    </row>
    <row r="35" spans="1:15" ht="38.25" x14ac:dyDescent="0.2">
      <c r="A35" s="90" t="s">
        <v>53</v>
      </c>
      <c r="B35" s="90" t="s">
        <v>3</v>
      </c>
      <c r="C35" s="90" t="s">
        <v>4</v>
      </c>
      <c r="D35" s="90" t="s">
        <v>5</v>
      </c>
      <c r="E35" s="90" t="s">
        <v>6</v>
      </c>
      <c r="F35" s="90" t="s">
        <v>7</v>
      </c>
      <c r="G35" s="90" t="s">
        <v>93</v>
      </c>
      <c r="H35" s="90" t="s">
        <v>94</v>
      </c>
      <c r="I35" s="105" t="s">
        <v>95</v>
      </c>
      <c r="J35" s="106" t="s">
        <v>96</v>
      </c>
      <c r="K35" s="106" t="s">
        <v>97</v>
      </c>
      <c r="L35" s="106" t="s">
        <v>98</v>
      </c>
      <c r="M35" s="107" t="s">
        <v>99</v>
      </c>
      <c r="N35" s="90" t="s">
        <v>100</v>
      </c>
      <c r="O35" s="90" t="s">
        <v>101</v>
      </c>
    </row>
    <row r="36" spans="1:15" x14ac:dyDescent="0.2">
      <c r="A36" s="307" t="s">
        <v>9</v>
      </c>
      <c r="B36" s="307"/>
      <c r="C36" s="82">
        <f>$B$2</f>
        <v>40689</v>
      </c>
      <c r="D36" s="82">
        <f>DATE(YEAR(C36),IF(MONTH(C36)&lt;=3,3,IF(MONTH(C36)&lt;=6,6,IF(MONTH(C36)&lt;=9,9,12))),IF(OR(MONTH(C36)&lt;=3,MONTH(C36)&gt;=10),31,30))</f>
        <v>40724</v>
      </c>
      <c r="E36" s="81">
        <f>D36-C36+1</f>
        <v>36</v>
      </c>
      <c r="F36" s="83">
        <f>VLOOKUP(D36,'FERC Interest Rate'!$A:$B,2,TRUE)</f>
        <v>3.2500000000000001E-2</v>
      </c>
      <c r="G36" s="84">
        <f>$E$2</f>
        <v>0</v>
      </c>
      <c r="H36" s="84">
        <f t="shared" ref="H36:H43" si="17">G36*F36*(E36/(DATE(YEAR(D36),12,31)-DATE(YEAR(D36),1,1)+1))</f>
        <v>0</v>
      </c>
      <c r="I36" s="109">
        <v>0</v>
      </c>
      <c r="J36" s="85">
        <v>0</v>
      </c>
      <c r="K36" s="85"/>
      <c r="L36" s="85">
        <v>0</v>
      </c>
      <c r="M36" s="110">
        <f t="shared" ref="M36:M63" si="18">+SUM(K36:L36)</f>
        <v>0</v>
      </c>
      <c r="N36" s="85">
        <f t="shared" ref="N36:N63" si="19">+G36+H36+J36</f>
        <v>0</v>
      </c>
      <c r="O36" s="84">
        <f t="shared" ref="O36:O63" si="20">G36+H36-L36-I36</f>
        <v>0</v>
      </c>
    </row>
    <row r="37" spans="1:15" x14ac:dyDescent="0.2">
      <c r="A37" s="308"/>
      <c r="B37" s="308"/>
      <c r="C37" s="82">
        <f>D36+1</f>
        <v>40725</v>
      </c>
      <c r="D37" s="82">
        <f>EOMONTH(D36,3)</f>
        <v>40816</v>
      </c>
      <c r="E37" s="81">
        <f t="shared" ref="E37:E63" si="21">D37-C37+1</f>
        <v>92</v>
      </c>
      <c r="F37" s="83">
        <f>VLOOKUP(D37,'FERC Interest Rate'!$A:$B,2,TRUE)</f>
        <v>3.2500000000000001E-2</v>
      </c>
      <c r="G37" s="84">
        <f>O36</f>
        <v>0</v>
      </c>
      <c r="H37" s="84">
        <f t="shared" si="17"/>
        <v>0</v>
      </c>
      <c r="I37" s="109">
        <v>0</v>
      </c>
      <c r="J37" s="85">
        <v>0</v>
      </c>
      <c r="K37" s="85"/>
      <c r="L37" s="85">
        <v>0</v>
      </c>
      <c r="M37" s="110">
        <f t="shared" si="18"/>
        <v>0</v>
      </c>
      <c r="N37" s="85">
        <f t="shared" si="19"/>
        <v>0</v>
      </c>
      <c r="O37" s="84">
        <f t="shared" si="20"/>
        <v>0</v>
      </c>
    </row>
    <row r="38" spans="1:15" x14ac:dyDescent="0.2">
      <c r="B38" s="81"/>
      <c r="C38" s="82">
        <f t="shared" ref="C38:C63" si="22">D37+1</f>
        <v>40817</v>
      </c>
      <c r="D38" s="82">
        <f t="shared" ref="D38:D63" si="23">EOMONTH(D37,3)</f>
        <v>40908</v>
      </c>
      <c r="E38" s="81">
        <f t="shared" si="21"/>
        <v>92</v>
      </c>
      <c r="F38" s="83">
        <f>VLOOKUP(D38,'FERC Interest Rate'!$A:$B,2,TRUE)</f>
        <v>3.2500000000000001E-2</v>
      </c>
      <c r="G38" s="84">
        <f t="shared" ref="G38:G63" si="24">O37</f>
        <v>0</v>
      </c>
      <c r="H38" s="84">
        <f t="shared" si="17"/>
        <v>0</v>
      </c>
      <c r="I38" s="109">
        <v>0</v>
      </c>
      <c r="J38" s="85">
        <v>0</v>
      </c>
      <c r="K38" s="85"/>
      <c r="L38" s="85">
        <v>0</v>
      </c>
      <c r="M38" s="110">
        <f t="shared" si="18"/>
        <v>0</v>
      </c>
      <c r="N38" s="85">
        <f t="shared" si="19"/>
        <v>0</v>
      </c>
      <c r="O38" s="84">
        <f t="shared" si="20"/>
        <v>0</v>
      </c>
    </row>
    <row r="39" spans="1:15" x14ac:dyDescent="0.2">
      <c r="B39" s="81"/>
      <c r="C39" s="82">
        <f t="shared" si="22"/>
        <v>40909</v>
      </c>
      <c r="D39" s="82">
        <f t="shared" si="23"/>
        <v>40999</v>
      </c>
      <c r="E39" s="81">
        <f t="shared" si="21"/>
        <v>91</v>
      </c>
      <c r="F39" s="83">
        <f>VLOOKUP(D39,'FERC Interest Rate'!$A:$B,2,TRUE)</f>
        <v>3.2500000000000001E-2</v>
      </c>
      <c r="G39" s="84">
        <f t="shared" si="24"/>
        <v>0</v>
      </c>
      <c r="H39" s="84">
        <f t="shared" si="17"/>
        <v>0</v>
      </c>
      <c r="I39" s="109">
        <v>0</v>
      </c>
      <c r="J39" s="85">
        <v>0</v>
      </c>
      <c r="K39" s="85"/>
      <c r="L39" s="85">
        <v>0</v>
      </c>
      <c r="M39" s="110">
        <f t="shared" si="18"/>
        <v>0</v>
      </c>
      <c r="N39" s="85">
        <f t="shared" si="19"/>
        <v>0</v>
      </c>
      <c r="O39" s="84">
        <f t="shared" si="20"/>
        <v>0</v>
      </c>
    </row>
    <row r="40" spans="1:15" x14ac:dyDescent="0.2">
      <c r="B40" s="81"/>
      <c r="C40" s="82">
        <f t="shared" si="22"/>
        <v>41000</v>
      </c>
      <c r="D40" s="82">
        <f t="shared" si="23"/>
        <v>41090</v>
      </c>
      <c r="E40" s="81">
        <f t="shared" si="21"/>
        <v>91</v>
      </c>
      <c r="F40" s="83">
        <f>VLOOKUP(D40,'FERC Interest Rate'!$A:$B,2,TRUE)</f>
        <v>3.2500000000000001E-2</v>
      </c>
      <c r="G40" s="84">
        <f t="shared" si="24"/>
        <v>0</v>
      </c>
      <c r="H40" s="84">
        <f t="shared" si="17"/>
        <v>0</v>
      </c>
      <c r="I40" s="109">
        <v>0</v>
      </c>
      <c r="J40" s="85">
        <v>0</v>
      </c>
      <c r="K40" s="85"/>
      <c r="L40" s="85">
        <v>0</v>
      </c>
      <c r="M40" s="110">
        <f t="shared" si="18"/>
        <v>0</v>
      </c>
      <c r="N40" s="85">
        <f t="shared" si="19"/>
        <v>0</v>
      </c>
      <c r="O40" s="84">
        <f t="shared" si="20"/>
        <v>0</v>
      </c>
    </row>
    <row r="41" spans="1:15" x14ac:dyDescent="0.2">
      <c r="B41" s="81"/>
      <c r="C41" s="82">
        <f t="shared" si="22"/>
        <v>41091</v>
      </c>
      <c r="D41" s="82">
        <f t="shared" si="23"/>
        <v>41182</v>
      </c>
      <c r="E41" s="81">
        <f t="shared" si="21"/>
        <v>92</v>
      </c>
      <c r="F41" s="83">
        <f>VLOOKUP(D41,'FERC Interest Rate'!$A:$B,2,TRUE)</f>
        <v>3.2500000000000001E-2</v>
      </c>
      <c r="G41" s="84">
        <f t="shared" si="24"/>
        <v>0</v>
      </c>
      <c r="H41" s="84">
        <f t="shared" si="17"/>
        <v>0</v>
      </c>
      <c r="I41" s="109">
        <v>0</v>
      </c>
      <c r="J41" s="85">
        <v>0</v>
      </c>
      <c r="K41" s="85"/>
      <c r="L41" s="85">
        <v>0</v>
      </c>
      <c r="M41" s="110">
        <f t="shared" si="18"/>
        <v>0</v>
      </c>
      <c r="N41" s="85">
        <f t="shared" si="19"/>
        <v>0</v>
      </c>
      <c r="O41" s="84">
        <f t="shared" si="20"/>
        <v>0</v>
      </c>
    </row>
    <row r="42" spans="1:15" x14ac:dyDescent="0.2">
      <c r="B42" s="81"/>
      <c r="C42" s="82">
        <f t="shared" si="22"/>
        <v>41183</v>
      </c>
      <c r="D42" s="82">
        <f t="shared" si="23"/>
        <v>41274</v>
      </c>
      <c r="E42" s="81">
        <f t="shared" si="21"/>
        <v>92</v>
      </c>
      <c r="F42" s="83">
        <f>VLOOKUP(D42,'FERC Interest Rate'!$A:$B,2,TRUE)</f>
        <v>3.2500000000000001E-2</v>
      </c>
      <c r="G42" s="84">
        <f t="shared" si="24"/>
        <v>0</v>
      </c>
      <c r="H42" s="84">
        <f t="shared" si="17"/>
        <v>0</v>
      </c>
      <c r="I42" s="109">
        <v>0</v>
      </c>
      <c r="J42" s="85">
        <v>0</v>
      </c>
      <c r="K42" s="85"/>
      <c r="L42" s="85">
        <v>0</v>
      </c>
      <c r="M42" s="110">
        <f t="shared" si="18"/>
        <v>0</v>
      </c>
      <c r="N42" s="85">
        <f t="shared" si="19"/>
        <v>0</v>
      </c>
      <c r="O42" s="84">
        <f t="shared" si="20"/>
        <v>0</v>
      </c>
    </row>
    <row r="43" spans="1:15" x14ac:dyDescent="0.2">
      <c r="B43" s="81"/>
      <c r="C43" s="82">
        <f t="shared" si="22"/>
        <v>41275</v>
      </c>
      <c r="D43" s="82">
        <f t="shared" si="23"/>
        <v>41364</v>
      </c>
      <c r="E43" s="81">
        <f t="shared" si="21"/>
        <v>90</v>
      </c>
      <c r="F43" s="83">
        <f>VLOOKUP(D43,'FERC Interest Rate'!$A:$B,2,TRUE)</f>
        <v>3.2500000000000001E-2</v>
      </c>
      <c r="G43" s="84">
        <f t="shared" si="24"/>
        <v>0</v>
      </c>
      <c r="H43" s="84">
        <f t="shared" si="17"/>
        <v>0</v>
      </c>
      <c r="I43" s="109">
        <v>0</v>
      </c>
      <c r="J43" s="85">
        <v>0</v>
      </c>
      <c r="K43" s="85"/>
      <c r="L43" s="85">
        <v>0</v>
      </c>
      <c r="M43" s="110">
        <f t="shared" si="18"/>
        <v>0</v>
      </c>
      <c r="N43" s="85">
        <f t="shared" si="19"/>
        <v>0</v>
      </c>
      <c r="O43" s="84">
        <f t="shared" si="20"/>
        <v>0</v>
      </c>
    </row>
    <row r="44" spans="1:15" x14ac:dyDescent="0.2">
      <c r="B44" s="81"/>
      <c r="C44" s="82">
        <f t="shared" si="22"/>
        <v>41365</v>
      </c>
      <c r="D44" s="82">
        <f t="shared" si="23"/>
        <v>41455</v>
      </c>
      <c r="E44" s="81">
        <f t="shared" si="21"/>
        <v>91</v>
      </c>
      <c r="F44" s="83">
        <f>VLOOKUP(D44,'FERC Interest Rate'!$A:$B,2,TRUE)</f>
        <v>3.2500000000000001E-2</v>
      </c>
      <c r="G44" s="84">
        <f>O43</f>
        <v>0</v>
      </c>
      <c r="H44" s="84">
        <v>0</v>
      </c>
      <c r="I44" s="109">
        <f t="shared" ref="I44:I63" si="25">SUM($H$36:$H$64)/20</f>
        <v>0</v>
      </c>
      <c r="J44" s="85">
        <f t="shared" ref="J44:J63" si="26">G44*F44*(E44/(DATE(YEAR(D44),12,31)-DATE(YEAR(D44),1,1)+1))</f>
        <v>0</v>
      </c>
      <c r="K44" s="85"/>
      <c r="L44" s="85">
        <f>$G$36/20</f>
        <v>0</v>
      </c>
      <c r="M44" s="110">
        <f t="shared" si="18"/>
        <v>0</v>
      </c>
      <c r="N44" s="85">
        <f t="shared" si="19"/>
        <v>0</v>
      </c>
      <c r="O44" s="84">
        <f t="shared" si="20"/>
        <v>0</v>
      </c>
    </row>
    <row r="45" spans="1:15" x14ac:dyDescent="0.2">
      <c r="B45" s="81"/>
      <c r="C45" s="82">
        <f t="shared" si="22"/>
        <v>41456</v>
      </c>
      <c r="D45" s="82">
        <f t="shared" si="23"/>
        <v>41547</v>
      </c>
      <c r="E45" s="81">
        <f t="shared" si="21"/>
        <v>92</v>
      </c>
      <c r="F45" s="83">
        <f>VLOOKUP(D45,'FERC Interest Rate'!$A:$B,2,TRUE)</f>
        <v>3.2500000000000001E-2</v>
      </c>
      <c r="G45" s="84">
        <f>O44</f>
        <v>0</v>
      </c>
      <c r="H45" s="84">
        <v>0</v>
      </c>
      <c r="I45" s="109">
        <f t="shared" si="25"/>
        <v>0</v>
      </c>
      <c r="J45" s="85">
        <f t="shared" si="26"/>
        <v>0</v>
      </c>
      <c r="K45" s="85"/>
      <c r="L45" s="85">
        <f t="shared" ref="L45:L63" si="27">$G$36/20</f>
        <v>0</v>
      </c>
      <c r="M45" s="110">
        <f t="shared" si="18"/>
        <v>0</v>
      </c>
      <c r="N45" s="85">
        <f t="shared" si="19"/>
        <v>0</v>
      </c>
      <c r="O45" s="84">
        <f t="shared" si="20"/>
        <v>0</v>
      </c>
    </row>
    <row r="46" spans="1:15" x14ac:dyDescent="0.2">
      <c r="B46" s="81"/>
      <c r="C46" s="82">
        <f t="shared" si="22"/>
        <v>41548</v>
      </c>
      <c r="D46" s="82">
        <f t="shared" si="23"/>
        <v>41639</v>
      </c>
      <c r="E46" s="81">
        <f t="shared" si="21"/>
        <v>92</v>
      </c>
      <c r="F46" s="83">
        <f>VLOOKUP(D46,'FERC Interest Rate'!$A:$B,2,TRUE)</f>
        <v>3.2500000000000001E-2</v>
      </c>
      <c r="G46" s="84">
        <f t="shared" si="24"/>
        <v>0</v>
      </c>
      <c r="H46" s="84">
        <v>0</v>
      </c>
      <c r="I46" s="109">
        <f t="shared" si="25"/>
        <v>0</v>
      </c>
      <c r="J46" s="85">
        <f t="shared" si="26"/>
        <v>0</v>
      </c>
      <c r="K46" s="85"/>
      <c r="L46" s="85">
        <f t="shared" si="27"/>
        <v>0</v>
      </c>
      <c r="M46" s="110">
        <f t="shared" si="18"/>
        <v>0</v>
      </c>
      <c r="N46" s="85">
        <f t="shared" si="19"/>
        <v>0</v>
      </c>
      <c r="O46" s="84">
        <f t="shared" si="20"/>
        <v>0</v>
      </c>
    </row>
    <row r="47" spans="1:15" x14ac:dyDescent="0.2">
      <c r="B47" s="81"/>
      <c r="C47" s="82">
        <f t="shared" si="22"/>
        <v>41640</v>
      </c>
      <c r="D47" s="82">
        <f t="shared" si="23"/>
        <v>41729</v>
      </c>
      <c r="E47" s="81">
        <f t="shared" si="21"/>
        <v>90</v>
      </c>
      <c r="F47" s="83">
        <f>VLOOKUP(D47,'FERC Interest Rate'!$A:$B,2,TRUE)</f>
        <v>3.2500000000000001E-2</v>
      </c>
      <c r="G47" s="84">
        <f t="shared" si="24"/>
        <v>0</v>
      </c>
      <c r="H47" s="84">
        <v>0</v>
      </c>
      <c r="I47" s="109">
        <f t="shared" si="25"/>
        <v>0</v>
      </c>
      <c r="J47" s="85">
        <f t="shared" si="26"/>
        <v>0</v>
      </c>
      <c r="K47" s="85"/>
      <c r="L47" s="85">
        <f t="shared" si="27"/>
        <v>0</v>
      </c>
      <c r="M47" s="110">
        <f t="shared" si="18"/>
        <v>0</v>
      </c>
      <c r="N47" s="85">
        <f t="shared" si="19"/>
        <v>0</v>
      </c>
      <c r="O47" s="84">
        <f t="shared" si="20"/>
        <v>0</v>
      </c>
    </row>
    <row r="48" spans="1:15" x14ac:dyDescent="0.2">
      <c r="B48" s="81"/>
      <c r="C48" s="82">
        <f t="shared" si="22"/>
        <v>41730</v>
      </c>
      <c r="D48" s="82">
        <f t="shared" si="23"/>
        <v>41820</v>
      </c>
      <c r="E48" s="81">
        <f t="shared" si="21"/>
        <v>91</v>
      </c>
      <c r="F48" s="83">
        <f>VLOOKUP(D48,'FERC Interest Rate'!$A:$B,2,TRUE)</f>
        <v>3.2500000000000001E-2</v>
      </c>
      <c r="G48" s="84">
        <f t="shared" si="24"/>
        <v>0</v>
      </c>
      <c r="H48" s="84">
        <v>0</v>
      </c>
      <c r="I48" s="109">
        <f t="shared" si="25"/>
        <v>0</v>
      </c>
      <c r="J48" s="85">
        <f t="shared" si="26"/>
        <v>0</v>
      </c>
      <c r="K48" s="85"/>
      <c r="L48" s="85">
        <f t="shared" si="27"/>
        <v>0</v>
      </c>
      <c r="M48" s="110">
        <f t="shared" si="18"/>
        <v>0</v>
      </c>
      <c r="N48" s="85">
        <f t="shared" si="19"/>
        <v>0</v>
      </c>
      <c r="O48" s="84">
        <f t="shared" si="20"/>
        <v>0</v>
      </c>
    </row>
    <row r="49" spans="2:15" x14ac:dyDescent="0.2">
      <c r="B49" s="81"/>
      <c r="C49" s="82">
        <f t="shared" si="22"/>
        <v>41821</v>
      </c>
      <c r="D49" s="82">
        <f t="shared" si="23"/>
        <v>41912</v>
      </c>
      <c r="E49" s="81">
        <f t="shared" si="21"/>
        <v>92</v>
      </c>
      <c r="F49" s="83">
        <f>VLOOKUP(D49,'FERC Interest Rate'!$A:$B,2,TRUE)</f>
        <v>3.2500000000000001E-2</v>
      </c>
      <c r="G49" s="84">
        <f t="shared" si="24"/>
        <v>0</v>
      </c>
      <c r="H49" s="84">
        <v>0</v>
      </c>
      <c r="I49" s="109">
        <f t="shared" si="25"/>
        <v>0</v>
      </c>
      <c r="J49" s="85">
        <f t="shared" si="26"/>
        <v>0</v>
      </c>
      <c r="K49" s="85"/>
      <c r="L49" s="85">
        <f t="shared" si="27"/>
        <v>0</v>
      </c>
      <c r="M49" s="110">
        <f t="shared" si="18"/>
        <v>0</v>
      </c>
      <c r="N49" s="85">
        <f t="shared" si="19"/>
        <v>0</v>
      </c>
      <c r="O49" s="84">
        <f t="shared" si="20"/>
        <v>0</v>
      </c>
    </row>
    <row r="50" spans="2:15" x14ac:dyDescent="0.2">
      <c r="B50" s="81"/>
      <c r="C50" s="82">
        <f t="shared" si="22"/>
        <v>41913</v>
      </c>
      <c r="D50" s="82">
        <f t="shared" si="23"/>
        <v>42004</v>
      </c>
      <c r="E50" s="81">
        <f t="shared" si="21"/>
        <v>92</v>
      </c>
      <c r="F50" s="83">
        <f>VLOOKUP(D50,'FERC Interest Rate'!$A:$B,2,TRUE)</f>
        <v>3.2500000000000001E-2</v>
      </c>
      <c r="G50" s="84">
        <f t="shared" si="24"/>
        <v>0</v>
      </c>
      <c r="H50" s="84">
        <v>0</v>
      </c>
      <c r="I50" s="109">
        <f t="shared" si="25"/>
        <v>0</v>
      </c>
      <c r="J50" s="85">
        <f t="shared" si="26"/>
        <v>0</v>
      </c>
      <c r="K50" s="85"/>
      <c r="L50" s="85">
        <f t="shared" si="27"/>
        <v>0</v>
      </c>
      <c r="M50" s="110">
        <f t="shared" si="18"/>
        <v>0</v>
      </c>
      <c r="N50" s="85">
        <f t="shared" si="19"/>
        <v>0</v>
      </c>
      <c r="O50" s="84">
        <f t="shared" si="20"/>
        <v>0</v>
      </c>
    </row>
    <row r="51" spans="2:15" x14ac:dyDescent="0.2">
      <c r="B51" s="81"/>
      <c r="C51" s="82">
        <f t="shared" si="22"/>
        <v>42005</v>
      </c>
      <c r="D51" s="82">
        <f t="shared" si="23"/>
        <v>42094</v>
      </c>
      <c r="E51" s="81">
        <f t="shared" si="21"/>
        <v>90</v>
      </c>
      <c r="F51" s="83">
        <f>VLOOKUP(D51,'FERC Interest Rate'!$A:$B,2,TRUE)</f>
        <v>3.2500000000000001E-2</v>
      </c>
      <c r="G51" s="84">
        <f t="shared" si="24"/>
        <v>0</v>
      </c>
      <c r="H51" s="84">
        <v>0</v>
      </c>
      <c r="I51" s="109">
        <f t="shared" si="25"/>
        <v>0</v>
      </c>
      <c r="J51" s="85">
        <f t="shared" si="26"/>
        <v>0</v>
      </c>
      <c r="K51" s="85"/>
      <c r="L51" s="85">
        <f t="shared" si="27"/>
        <v>0</v>
      </c>
      <c r="M51" s="110">
        <f t="shared" si="18"/>
        <v>0</v>
      </c>
      <c r="N51" s="85">
        <f t="shared" si="19"/>
        <v>0</v>
      </c>
      <c r="O51" s="84">
        <f t="shared" si="20"/>
        <v>0</v>
      </c>
    </row>
    <row r="52" spans="2:15" x14ac:dyDescent="0.2">
      <c r="B52" s="81"/>
      <c r="C52" s="82">
        <f t="shared" si="22"/>
        <v>42095</v>
      </c>
      <c r="D52" s="82">
        <f t="shared" si="23"/>
        <v>42185</v>
      </c>
      <c r="E52" s="81">
        <f t="shared" si="21"/>
        <v>91</v>
      </c>
      <c r="F52" s="83">
        <f>VLOOKUP(D52,'FERC Interest Rate'!$A:$B,2,TRUE)</f>
        <v>3.2500000000000001E-2</v>
      </c>
      <c r="G52" s="84">
        <f t="shared" si="24"/>
        <v>0</v>
      </c>
      <c r="H52" s="84">
        <v>0</v>
      </c>
      <c r="I52" s="109">
        <f t="shared" si="25"/>
        <v>0</v>
      </c>
      <c r="J52" s="85">
        <f t="shared" si="26"/>
        <v>0</v>
      </c>
      <c r="K52" s="85"/>
      <c r="L52" s="85">
        <f t="shared" si="27"/>
        <v>0</v>
      </c>
      <c r="M52" s="110">
        <f t="shared" si="18"/>
        <v>0</v>
      </c>
      <c r="N52" s="85">
        <f t="shared" si="19"/>
        <v>0</v>
      </c>
      <c r="O52" s="84">
        <f t="shared" si="20"/>
        <v>0</v>
      </c>
    </row>
    <row r="53" spans="2:15" x14ac:dyDescent="0.2">
      <c r="B53" s="81"/>
      <c r="C53" s="82">
        <f t="shared" si="22"/>
        <v>42186</v>
      </c>
      <c r="D53" s="82">
        <f t="shared" si="23"/>
        <v>42277</v>
      </c>
      <c r="E53" s="81">
        <f t="shared" si="21"/>
        <v>92</v>
      </c>
      <c r="F53" s="83">
        <f>VLOOKUP(D53,'FERC Interest Rate'!$A:$B,2,TRUE)</f>
        <v>3.2500000000000001E-2</v>
      </c>
      <c r="G53" s="84">
        <f t="shared" si="24"/>
        <v>0</v>
      </c>
      <c r="H53" s="84">
        <v>0</v>
      </c>
      <c r="I53" s="109">
        <f t="shared" si="25"/>
        <v>0</v>
      </c>
      <c r="J53" s="85">
        <f t="shared" si="26"/>
        <v>0</v>
      </c>
      <c r="K53" s="85"/>
      <c r="L53" s="85">
        <f t="shared" si="27"/>
        <v>0</v>
      </c>
      <c r="M53" s="110">
        <f t="shared" si="18"/>
        <v>0</v>
      </c>
      <c r="N53" s="85">
        <f t="shared" si="19"/>
        <v>0</v>
      </c>
      <c r="O53" s="84">
        <f t="shared" si="20"/>
        <v>0</v>
      </c>
    </row>
    <row r="54" spans="2:15" x14ac:dyDescent="0.2">
      <c r="B54" s="81"/>
      <c r="C54" s="82">
        <f t="shared" si="22"/>
        <v>42278</v>
      </c>
      <c r="D54" s="82">
        <f t="shared" si="23"/>
        <v>42369</v>
      </c>
      <c r="E54" s="81">
        <f t="shared" si="21"/>
        <v>92</v>
      </c>
      <c r="F54" s="83">
        <f>VLOOKUP(D54,'FERC Interest Rate'!$A:$B,2,TRUE)</f>
        <v>3.2500000000000001E-2</v>
      </c>
      <c r="G54" s="84">
        <f t="shared" si="24"/>
        <v>0</v>
      </c>
      <c r="H54" s="84">
        <v>0</v>
      </c>
      <c r="I54" s="109">
        <f t="shared" si="25"/>
        <v>0</v>
      </c>
      <c r="J54" s="85">
        <f t="shared" si="26"/>
        <v>0</v>
      </c>
      <c r="K54" s="85"/>
      <c r="L54" s="85">
        <f t="shared" si="27"/>
        <v>0</v>
      </c>
      <c r="M54" s="110">
        <f t="shared" si="18"/>
        <v>0</v>
      </c>
      <c r="N54" s="85">
        <f t="shared" si="19"/>
        <v>0</v>
      </c>
      <c r="O54" s="84">
        <f t="shared" si="20"/>
        <v>0</v>
      </c>
    </row>
    <row r="55" spans="2:15" x14ac:dyDescent="0.2">
      <c r="B55" s="81"/>
      <c r="C55" s="82">
        <f t="shared" si="22"/>
        <v>42370</v>
      </c>
      <c r="D55" s="82">
        <f t="shared" si="23"/>
        <v>42460</v>
      </c>
      <c r="E55" s="81">
        <f t="shared" si="21"/>
        <v>91</v>
      </c>
      <c r="F55" s="83">
        <f>VLOOKUP(D55,'FERC Interest Rate'!$A:$B,2,TRUE)</f>
        <v>3.2500000000000001E-2</v>
      </c>
      <c r="G55" s="84">
        <f t="shared" si="24"/>
        <v>0</v>
      </c>
      <c r="H55" s="84">
        <v>0</v>
      </c>
      <c r="I55" s="109">
        <f t="shared" si="25"/>
        <v>0</v>
      </c>
      <c r="J55" s="85">
        <f t="shared" si="26"/>
        <v>0</v>
      </c>
      <c r="K55" s="85"/>
      <c r="L55" s="85">
        <f t="shared" si="27"/>
        <v>0</v>
      </c>
      <c r="M55" s="110">
        <f t="shared" si="18"/>
        <v>0</v>
      </c>
      <c r="N55" s="85">
        <f t="shared" si="19"/>
        <v>0</v>
      </c>
      <c r="O55" s="84">
        <f t="shared" si="20"/>
        <v>0</v>
      </c>
    </row>
    <row r="56" spans="2:15" x14ac:dyDescent="0.2">
      <c r="B56" s="81"/>
      <c r="C56" s="82">
        <f t="shared" si="22"/>
        <v>42461</v>
      </c>
      <c r="D56" s="82">
        <f t="shared" si="23"/>
        <v>42551</v>
      </c>
      <c r="E56" s="81">
        <f t="shared" si="21"/>
        <v>91</v>
      </c>
      <c r="F56" s="83">
        <f>VLOOKUP(D56,'FERC Interest Rate'!$A:$B,2,TRUE)</f>
        <v>3.4599999999999999E-2</v>
      </c>
      <c r="G56" s="84">
        <f t="shared" si="24"/>
        <v>0</v>
      </c>
      <c r="H56" s="84">
        <v>0</v>
      </c>
      <c r="I56" s="109">
        <f t="shared" si="25"/>
        <v>0</v>
      </c>
      <c r="J56" s="85">
        <f t="shared" si="26"/>
        <v>0</v>
      </c>
      <c r="K56" s="85"/>
      <c r="L56" s="85">
        <f t="shared" si="27"/>
        <v>0</v>
      </c>
      <c r="M56" s="110">
        <f t="shared" si="18"/>
        <v>0</v>
      </c>
      <c r="N56" s="85">
        <f t="shared" si="19"/>
        <v>0</v>
      </c>
      <c r="O56" s="84">
        <f t="shared" si="20"/>
        <v>0</v>
      </c>
    </row>
    <row r="57" spans="2:15" x14ac:dyDescent="0.2">
      <c r="B57" s="81"/>
      <c r="C57" s="82">
        <f t="shared" si="22"/>
        <v>42552</v>
      </c>
      <c r="D57" s="82">
        <f t="shared" si="23"/>
        <v>42643</v>
      </c>
      <c r="E57" s="81">
        <f t="shared" si="21"/>
        <v>92</v>
      </c>
      <c r="F57" s="83">
        <f>VLOOKUP(D57,'FERC Interest Rate'!$A:$B,2,TRUE)</f>
        <v>3.5000000000000003E-2</v>
      </c>
      <c r="G57" s="84">
        <f t="shared" si="24"/>
        <v>0</v>
      </c>
      <c r="H57" s="84">
        <v>0</v>
      </c>
      <c r="I57" s="109">
        <f t="shared" si="25"/>
        <v>0</v>
      </c>
      <c r="J57" s="85">
        <f t="shared" si="26"/>
        <v>0</v>
      </c>
      <c r="K57" s="85"/>
      <c r="L57" s="85">
        <f t="shared" si="27"/>
        <v>0</v>
      </c>
      <c r="M57" s="110">
        <f t="shared" si="18"/>
        <v>0</v>
      </c>
      <c r="N57" s="85">
        <f t="shared" si="19"/>
        <v>0</v>
      </c>
      <c r="O57" s="84">
        <f t="shared" si="20"/>
        <v>0</v>
      </c>
    </row>
    <row r="58" spans="2:15" x14ac:dyDescent="0.2">
      <c r="B58" s="81"/>
      <c r="C58" s="82">
        <f t="shared" si="22"/>
        <v>42644</v>
      </c>
      <c r="D58" s="82">
        <f t="shared" si="23"/>
        <v>42735</v>
      </c>
      <c r="E58" s="81">
        <f t="shared" si="21"/>
        <v>92</v>
      </c>
      <c r="F58" s="83">
        <f>VLOOKUP(D58,'FERC Interest Rate'!$A:$B,2,TRUE)</f>
        <v>3.5000000000000003E-2</v>
      </c>
      <c r="G58" s="84">
        <f t="shared" si="24"/>
        <v>0</v>
      </c>
      <c r="H58" s="84">
        <v>0</v>
      </c>
      <c r="I58" s="109">
        <f t="shared" si="25"/>
        <v>0</v>
      </c>
      <c r="J58" s="85">
        <f t="shared" si="26"/>
        <v>0</v>
      </c>
      <c r="K58" s="85"/>
      <c r="L58" s="85">
        <f t="shared" si="27"/>
        <v>0</v>
      </c>
      <c r="M58" s="110">
        <f t="shared" si="18"/>
        <v>0</v>
      </c>
      <c r="N58" s="85">
        <f t="shared" si="19"/>
        <v>0</v>
      </c>
      <c r="O58" s="84">
        <f t="shared" si="20"/>
        <v>0</v>
      </c>
    </row>
    <row r="59" spans="2:15" x14ac:dyDescent="0.2">
      <c r="B59" s="81"/>
      <c r="C59" s="82">
        <f t="shared" si="22"/>
        <v>42736</v>
      </c>
      <c r="D59" s="82">
        <f t="shared" si="23"/>
        <v>42825</v>
      </c>
      <c r="E59" s="81">
        <f t="shared" si="21"/>
        <v>90</v>
      </c>
      <c r="F59" s="83">
        <f>VLOOKUP(D59,'FERC Interest Rate'!$A:$B,2,TRUE)</f>
        <v>3.5000000000000003E-2</v>
      </c>
      <c r="G59" s="84">
        <f t="shared" si="24"/>
        <v>0</v>
      </c>
      <c r="H59" s="84">
        <v>0</v>
      </c>
      <c r="I59" s="109">
        <f t="shared" si="25"/>
        <v>0</v>
      </c>
      <c r="J59" s="85">
        <f t="shared" si="26"/>
        <v>0</v>
      </c>
      <c r="K59" s="85"/>
      <c r="L59" s="85">
        <f t="shared" si="27"/>
        <v>0</v>
      </c>
      <c r="M59" s="110">
        <f t="shared" si="18"/>
        <v>0</v>
      </c>
      <c r="N59" s="85">
        <f t="shared" si="19"/>
        <v>0</v>
      </c>
      <c r="O59" s="84">
        <f t="shared" si="20"/>
        <v>0</v>
      </c>
    </row>
    <row r="60" spans="2:15" x14ac:dyDescent="0.2">
      <c r="B60" s="81"/>
      <c r="C60" s="82">
        <f t="shared" si="22"/>
        <v>42826</v>
      </c>
      <c r="D60" s="82">
        <f t="shared" si="23"/>
        <v>42916</v>
      </c>
      <c r="E60" s="81">
        <f t="shared" si="21"/>
        <v>91</v>
      </c>
      <c r="F60" s="83">
        <f>VLOOKUP(D60,'FERC Interest Rate'!$A:$B,2,TRUE)</f>
        <v>3.7100000000000001E-2</v>
      </c>
      <c r="G60" s="84">
        <f t="shared" si="24"/>
        <v>0</v>
      </c>
      <c r="H60" s="84">
        <v>0</v>
      </c>
      <c r="I60" s="109">
        <f t="shared" si="25"/>
        <v>0</v>
      </c>
      <c r="J60" s="85">
        <f t="shared" si="26"/>
        <v>0</v>
      </c>
      <c r="K60" s="85"/>
      <c r="L60" s="85">
        <f t="shared" si="27"/>
        <v>0</v>
      </c>
      <c r="M60" s="110">
        <f t="shared" si="18"/>
        <v>0</v>
      </c>
      <c r="N60" s="85">
        <f t="shared" si="19"/>
        <v>0</v>
      </c>
      <c r="O60" s="84">
        <f t="shared" si="20"/>
        <v>0</v>
      </c>
    </row>
    <row r="61" spans="2:15" x14ac:dyDescent="0.2">
      <c r="B61" s="81"/>
      <c r="C61" s="82">
        <f t="shared" si="22"/>
        <v>42917</v>
      </c>
      <c r="D61" s="82">
        <f t="shared" si="23"/>
        <v>43008</v>
      </c>
      <c r="E61" s="81">
        <f t="shared" si="21"/>
        <v>92</v>
      </c>
      <c r="F61" s="83">
        <f>VLOOKUP(D61,'FERC Interest Rate'!$A:$B,2,TRUE)</f>
        <v>3.9600000000000003E-2</v>
      </c>
      <c r="G61" s="84">
        <f t="shared" si="24"/>
        <v>0</v>
      </c>
      <c r="H61" s="84">
        <v>0</v>
      </c>
      <c r="I61" s="109">
        <f t="shared" si="25"/>
        <v>0</v>
      </c>
      <c r="J61" s="85">
        <f t="shared" si="26"/>
        <v>0</v>
      </c>
      <c r="K61" s="85"/>
      <c r="L61" s="85">
        <f t="shared" si="27"/>
        <v>0</v>
      </c>
      <c r="M61" s="110">
        <f t="shared" si="18"/>
        <v>0</v>
      </c>
      <c r="N61" s="85">
        <f t="shared" si="19"/>
        <v>0</v>
      </c>
      <c r="O61" s="84">
        <f t="shared" si="20"/>
        <v>0</v>
      </c>
    </row>
    <row r="62" spans="2:15" x14ac:dyDescent="0.2">
      <c r="B62" s="81"/>
      <c r="C62" s="82">
        <f t="shared" si="22"/>
        <v>43009</v>
      </c>
      <c r="D62" s="82">
        <f t="shared" si="23"/>
        <v>43100</v>
      </c>
      <c r="E62" s="81">
        <f t="shared" si="21"/>
        <v>92</v>
      </c>
      <c r="F62" s="83">
        <f>VLOOKUP(D62,'FERC Interest Rate'!$A:$B,2,TRUE)</f>
        <v>4.2099999999999999E-2</v>
      </c>
      <c r="G62" s="84">
        <f t="shared" si="24"/>
        <v>0</v>
      </c>
      <c r="H62" s="84">
        <v>0</v>
      </c>
      <c r="I62" s="109">
        <f t="shared" si="25"/>
        <v>0</v>
      </c>
      <c r="J62" s="85">
        <f t="shared" si="26"/>
        <v>0</v>
      </c>
      <c r="K62" s="85"/>
      <c r="L62" s="85">
        <f t="shared" si="27"/>
        <v>0</v>
      </c>
      <c r="M62" s="110">
        <f t="shared" si="18"/>
        <v>0</v>
      </c>
      <c r="N62" s="85">
        <f t="shared" si="19"/>
        <v>0</v>
      </c>
      <c r="O62" s="84">
        <f t="shared" si="20"/>
        <v>0</v>
      </c>
    </row>
    <row r="63" spans="2:15" x14ac:dyDescent="0.2">
      <c r="B63" s="81"/>
      <c r="C63" s="82">
        <f t="shared" si="22"/>
        <v>43101</v>
      </c>
      <c r="D63" s="82">
        <f t="shared" si="23"/>
        <v>43190</v>
      </c>
      <c r="E63" s="81">
        <f t="shared" si="21"/>
        <v>90</v>
      </c>
      <c r="F63" s="83">
        <f>VLOOKUP(D63,'FERC Interest Rate'!$A:$B,2,TRUE)</f>
        <v>4.2500000000000003E-2</v>
      </c>
      <c r="G63" s="84">
        <f t="shared" si="24"/>
        <v>0</v>
      </c>
      <c r="H63" s="84">
        <v>0</v>
      </c>
      <c r="I63" s="109">
        <f t="shared" si="25"/>
        <v>0</v>
      </c>
      <c r="J63" s="85">
        <f t="shared" si="26"/>
        <v>0</v>
      </c>
      <c r="K63" s="85"/>
      <c r="L63" s="85">
        <f t="shared" si="27"/>
        <v>0</v>
      </c>
      <c r="M63" s="110">
        <f t="shared" si="18"/>
        <v>0</v>
      </c>
      <c r="N63" s="85">
        <f t="shared" si="19"/>
        <v>0</v>
      </c>
      <c r="O63" s="84">
        <f t="shared" si="20"/>
        <v>0</v>
      </c>
    </row>
    <row r="64" spans="2:15" x14ac:dyDescent="0.2">
      <c r="B64" s="11"/>
      <c r="C64" s="98"/>
      <c r="D64" s="98"/>
      <c r="E64" s="10"/>
      <c r="F64" s="11"/>
      <c r="G64" s="85"/>
      <c r="H64" s="12"/>
      <c r="I64" s="115"/>
      <c r="J64" s="85"/>
      <c r="K64" s="85"/>
      <c r="L64" s="70"/>
      <c r="M64" s="118"/>
      <c r="N64" s="70"/>
      <c r="O64" s="85"/>
    </row>
    <row r="65" spans="1:15" ht="13.5" thickBot="1" x14ac:dyDescent="0.25">
      <c r="A65" s="151"/>
      <c r="B65" s="151"/>
      <c r="C65" s="151"/>
      <c r="D65" s="151"/>
      <c r="E65" s="151"/>
      <c r="F65" s="151"/>
      <c r="G65" s="79">
        <f>+SUM(G36:G63)</f>
        <v>0</v>
      </c>
      <c r="H65" s="79">
        <f t="shared" ref="H65:O65" si="28">+SUM(H36:H63)</f>
        <v>0</v>
      </c>
      <c r="I65" s="119">
        <f t="shared" si="28"/>
        <v>0</v>
      </c>
      <c r="J65" s="79">
        <f t="shared" si="28"/>
        <v>0</v>
      </c>
      <c r="K65" s="79">
        <f t="shared" si="28"/>
        <v>0</v>
      </c>
      <c r="L65" s="79">
        <f t="shared" si="28"/>
        <v>0</v>
      </c>
      <c r="M65" s="120">
        <f t="shared" si="28"/>
        <v>0</v>
      </c>
      <c r="N65" s="79">
        <f t="shared" si="28"/>
        <v>0</v>
      </c>
      <c r="O65" s="79">
        <f t="shared" si="28"/>
        <v>0</v>
      </c>
    </row>
    <row r="66" spans="1:15" ht="14.25" thickTop="1" thickBot="1" x14ac:dyDescent="0.25">
      <c r="I66" s="121"/>
      <c r="J66" s="122"/>
      <c r="K66" s="122"/>
      <c r="L66" s="122"/>
      <c r="M66" s="123"/>
    </row>
  </sheetData>
  <mergeCells count="2">
    <mergeCell ref="A10:B11"/>
    <mergeCell ref="A36:B37"/>
  </mergeCells>
  <pageMargins left="0.7" right="0.7" top="0.75" bottom="0.75" header="0.3" footer="0.3"/>
  <pageSetup scale="47" orientation="landscape" r:id="rId1"/>
  <headerFooter alignWithMargins="0">
    <oddHeader>&amp;RTO2019 Annual Update
Attachment 4
WP Schedule 22
Page &amp;P of &amp;N</oddHeader>
    <oddFooter>&amp;R&amp;A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5"/>
  <sheetViews>
    <sheetView zoomScale="80" zoomScaleNormal="80" workbookViewId="0"/>
  </sheetViews>
  <sheetFormatPr defaultColWidth="9.140625" defaultRowHeight="12.75" x14ac:dyDescent="0.2"/>
  <cols>
    <col min="1" max="1" width="14.7109375" style="6" bestFit="1" customWidth="1"/>
    <col min="2" max="2" width="13.28515625" style="6" customWidth="1"/>
    <col min="3" max="3" width="16.28515625" style="6" bestFit="1" customWidth="1"/>
    <col min="4" max="4" width="15.28515625" style="6" customWidth="1"/>
    <col min="5" max="5" width="9.7109375" style="6" bestFit="1" customWidth="1"/>
    <col min="6" max="6" width="16.28515625" style="6" customWidth="1"/>
    <col min="7" max="7" width="17" style="6" bestFit="1" customWidth="1"/>
    <col min="8" max="9" width="16.7109375" style="6" customWidth="1"/>
    <col min="10" max="10" width="17.28515625" style="6" customWidth="1"/>
    <col min="11" max="11" width="15.28515625" style="6" customWidth="1"/>
    <col min="12" max="15" width="17.28515625" style="6" customWidth="1"/>
    <col min="16" max="16384" width="9.140625" style="6"/>
  </cols>
  <sheetData>
    <row r="1" spans="1:15" ht="38.25" x14ac:dyDescent="0.2">
      <c r="A1" s="101" t="s">
        <v>8</v>
      </c>
      <c r="B1" s="102" t="s">
        <v>88</v>
      </c>
      <c r="C1" s="101" t="s">
        <v>2</v>
      </c>
      <c r="D1" s="101" t="s">
        <v>1</v>
      </c>
      <c r="E1" s="102" t="s">
        <v>74</v>
      </c>
      <c r="F1" s="102" t="s">
        <v>48</v>
      </c>
    </row>
    <row r="2" spans="1:15" ht="12.75" customHeight="1" thickBot="1" x14ac:dyDescent="0.25">
      <c r="A2" s="96" t="s">
        <v>54</v>
      </c>
      <c r="B2" s="76">
        <v>41605</v>
      </c>
      <c r="C2" s="55">
        <f>16891833</f>
        <v>16891833</v>
      </c>
      <c r="D2" s="55">
        <v>0</v>
      </c>
      <c r="E2" s="55">
        <v>0</v>
      </c>
      <c r="F2" s="7">
        <f>SUM(C2:E2)</f>
        <v>16891833</v>
      </c>
    </row>
    <row r="3" spans="1:15" ht="12.75" customHeight="1" x14ac:dyDescent="0.2">
      <c r="A3" s="17"/>
      <c r="B3" s="44" t="s">
        <v>0</v>
      </c>
      <c r="C3" s="124">
        <f>SUM(C2:C2)</f>
        <v>16891833</v>
      </c>
      <c r="D3" s="124">
        <f>SUM(D2:D2)</f>
        <v>0</v>
      </c>
      <c r="E3" s="124">
        <f>SUM(E2:E2)</f>
        <v>0</v>
      </c>
      <c r="F3" s="124">
        <f>SUM(F2:F2)</f>
        <v>16891833</v>
      </c>
      <c r="J3" s="159"/>
      <c r="K3" s="158" t="s">
        <v>14</v>
      </c>
      <c r="L3" s="250" t="s">
        <v>13</v>
      </c>
    </row>
    <row r="4" spans="1:15" x14ac:dyDescent="0.2">
      <c r="A4" s="17" t="s">
        <v>49</v>
      </c>
      <c r="B4" s="145" t="s">
        <v>22</v>
      </c>
      <c r="C4" s="8">
        <v>1000000</v>
      </c>
      <c r="D4" s="8">
        <v>0</v>
      </c>
      <c r="E4" s="8">
        <v>0</v>
      </c>
      <c r="F4" s="8">
        <f>SUM(C4:E4)</f>
        <v>1000000</v>
      </c>
      <c r="J4" s="156" t="s">
        <v>11</v>
      </c>
      <c r="K4" s="103">
        <v>41306</v>
      </c>
      <c r="L4" s="251">
        <v>41278</v>
      </c>
    </row>
    <row r="5" spans="1:15" ht="13.15" customHeight="1" thickBot="1" x14ac:dyDescent="0.25">
      <c r="A5" s="17"/>
      <c r="B5" s="80" t="s">
        <v>52</v>
      </c>
      <c r="C5" s="79">
        <f>+SUM(C3:C4)</f>
        <v>17891833</v>
      </c>
      <c r="D5" s="79">
        <f>+SUM(D3:D4)</f>
        <v>0</v>
      </c>
      <c r="E5" s="79">
        <f>+SUM(E3:E4)</f>
        <v>0</v>
      </c>
      <c r="F5" s="79">
        <f>+SUM(F3:F4)</f>
        <v>17891833</v>
      </c>
      <c r="J5" s="157" t="s">
        <v>17</v>
      </c>
      <c r="K5" s="104">
        <v>41426</v>
      </c>
      <c r="L5" s="252">
        <v>41465</v>
      </c>
    </row>
    <row r="6" spans="1:15" ht="13.15" customHeight="1" thickTop="1" thickBot="1" x14ac:dyDescent="0.25">
      <c r="B6" s="44"/>
      <c r="C6" s="13"/>
      <c r="D6" s="13"/>
      <c r="E6" s="13"/>
      <c r="F6" s="13"/>
      <c r="H6" s="78"/>
      <c r="I6" s="47"/>
      <c r="J6" s="47"/>
      <c r="K6" s="47"/>
    </row>
    <row r="7" spans="1:15" ht="13.15" customHeight="1" x14ac:dyDescent="0.2">
      <c r="B7" s="44"/>
      <c r="C7" s="13"/>
      <c r="D7" s="13"/>
      <c r="E7" s="13"/>
      <c r="F7" s="13"/>
      <c r="H7" s="78"/>
      <c r="I7" s="126"/>
      <c r="J7" s="127"/>
      <c r="K7" s="127"/>
      <c r="L7" s="128"/>
      <c r="M7" s="108"/>
    </row>
    <row r="8" spans="1:15" ht="38.25" x14ac:dyDescent="0.2">
      <c r="A8" s="90" t="s">
        <v>53</v>
      </c>
      <c r="B8" s="90" t="s">
        <v>3</v>
      </c>
      <c r="C8" s="90" t="s">
        <v>4</v>
      </c>
      <c r="D8" s="90" t="s">
        <v>5</v>
      </c>
      <c r="E8" s="90" t="s">
        <v>6</v>
      </c>
      <c r="F8" s="90" t="s">
        <v>7</v>
      </c>
      <c r="G8" s="90" t="s">
        <v>93</v>
      </c>
      <c r="H8" s="90" t="s">
        <v>94</v>
      </c>
      <c r="I8" s="105" t="s">
        <v>95</v>
      </c>
      <c r="J8" s="106" t="s">
        <v>96</v>
      </c>
      <c r="K8" s="106" t="s">
        <v>97</v>
      </c>
      <c r="L8" s="106" t="s">
        <v>98</v>
      </c>
      <c r="M8" s="107" t="s">
        <v>99</v>
      </c>
      <c r="N8" s="90" t="s">
        <v>100</v>
      </c>
      <c r="O8" s="90" t="s">
        <v>101</v>
      </c>
    </row>
    <row r="9" spans="1:15" x14ac:dyDescent="0.2">
      <c r="A9" s="308" t="s">
        <v>2</v>
      </c>
      <c r="B9" s="308"/>
      <c r="C9" s="282">
        <f>$L$4</f>
        <v>41278</v>
      </c>
      <c r="D9" s="282">
        <f>DATE(YEAR(C9),IF(MONTH(C9)&lt;=3,3,IF(MONTH(C9)&lt;=6,6,IF(MONTH(C9)&lt;=9,9,12))),IF(OR(MONTH(C9)&lt;=3,MONTH(C9)&gt;=10),31,30))</f>
        <v>41364</v>
      </c>
      <c r="E9" s="283">
        <f>D9-C9+1</f>
        <v>87</v>
      </c>
      <c r="F9" s="284">
        <f>VLOOKUP(D9,'FERC Interest Rate'!$A:$B,2,TRUE)</f>
        <v>3.2500000000000001E-2</v>
      </c>
      <c r="G9" s="167">
        <f>$C$3</f>
        <v>16891833</v>
      </c>
      <c r="H9" s="167">
        <f>G9*F9*(E9/(DATE(YEAR(D9),12,31)-DATE(YEAR(D9),1,1)+1))</f>
        <v>130853.85700684931</v>
      </c>
      <c r="I9" s="285">
        <v>0</v>
      </c>
      <c r="J9" s="286">
        <v>0</v>
      </c>
      <c r="K9" s="288">
        <f>+SUM(I9:J9)</f>
        <v>0</v>
      </c>
      <c r="L9" s="286">
        <v>0</v>
      </c>
      <c r="M9" s="289">
        <f>+SUM(K9:L9)</f>
        <v>0</v>
      </c>
      <c r="N9" s="290">
        <f>+G9+H9+J9</f>
        <v>17022686.857006848</v>
      </c>
      <c r="O9" s="167">
        <f>G9+H9-L9-I9</f>
        <v>17022686.857006848</v>
      </c>
    </row>
    <row r="10" spans="1:15" x14ac:dyDescent="0.2">
      <c r="A10" s="308"/>
      <c r="B10" s="308"/>
      <c r="C10" s="282">
        <f>D9+1</f>
        <v>41365</v>
      </c>
      <c r="D10" s="282">
        <f>EOMONTH(D9,3)</f>
        <v>41455</v>
      </c>
      <c r="E10" s="283">
        <f t="shared" ref="E10:E30" si="0">D10-C10+1</f>
        <v>91</v>
      </c>
      <c r="F10" s="284">
        <f>VLOOKUP(D10,'FERC Interest Rate'!$A:$B,2,TRUE)</f>
        <v>3.2500000000000001E-2</v>
      </c>
      <c r="G10" s="167">
        <f t="shared" ref="G10:G30" si="1">O9</f>
        <v>17022686.857006848</v>
      </c>
      <c r="H10" s="167">
        <f>G10*F10*(E10/(DATE(YEAR(D10),12,31)-DATE(YEAR(D10),1,1)+1))</f>
        <v>137930.40103999386</v>
      </c>
      <c r="I10" s="285">
        <v>0</v>
      </c>
      <c r="J10" s="286">
        <v>0</v>
      </c>
      <c r="K10" s="288">
        <f t="shared" ref="K10:K30" si="2">+SUM(I10:J10)</f>
        <v>0</v>
      </c>
      <c r="L10" s="286">
        <v>0</v>
      </c>
      <c r="M10" s="289">
        <f t="shared" ref="M10:M30" si="3">+SUM(K10:L10)</f>
        <v>0</v>
      </c>
      <c r="N10" s="290">
        <f t="shared" ref="N10:N30" si="4">+G10+H10+J10</f>
        <v>17160617.258046843</v>
      </c>
      <c r="O10" s="167">
        <f>G10+H10-L10-I10</f>
        <v>17160617.258046843</v>
      </c>
    </row>
    <row r="11" spans="1:15" x14ac:dyDescent="0.2">
      <c r="A11" s="96" t="s">
        <v>54</v>
      </c>
      <c r="B11" s="81" t="str">
        <f>+IF(MONTH(C11)&lt;4,"Q1",IF(MONTH(C11)&lt;7,"Q2",IF(MONTH(C11)&lt;10,"Q3","Q4")))&amp;"/"&amp;YEAR(C11)</f>
        <v>Q3/2013</v>
      </c>
      <c r="C11" s="82">
        <f>D10+1</f>
        <v>41456</v>
      </c>
      <c r="D11" s="82">
        <f t="shared" ref="D11:D30" si="5">EOMONTH(D10,3)</f>
        <v>41547</v>
      </c>
      <c r="E11" s="81">
        <f>D11-C11+1</f>
        <v>92</v>
      </c>
      <c r="F11" s="83">
        <f>VLOOKUP(D11,'FERC Interest Rate'!$A:$B,2,TRUE)</f>
        <v>3.2500000000000001E-2</v>
      </c>
      <c r="G11" s="84">
        <f t="shared" si="1"/>
        <v>17160617.258046843</v>
      </c>
      <c r="H11" s="167">
        <f>G11*F11*(E11/(DATE(YEAR(D11),12,31)-DATE(YEAR(D11),1,1)+1))</f>
        <v>140576.01534673991</v>
      </c>
      <c r="I11" s="109">
        <f t="shared" ref="I11:I30" si="6">SUM($H$9:$H$30)/20</f>
        <v>20468.013669679152</v>
      </c>
      <c r="J11" s="286">
        <v>0</v>
      </c>
      <c r="K11" s="129">
        <f t="shared" si="2"/>
        <v>20468.013669679152</v>
      </c>
      <c r="L11" s="85">
        <f>$C$2/20</f>
        <v>844591.65</v>
      </c>
      <c r="M11" s="130">
        <f t="shared" si="3"/>
        <v>865059.6636696792</v>
      </c>
      <c r="N11" s="8">
        <f t="shared" si="4"/>
        <v>17301193.273393583</v>
      </c>
      <c r="O11" s="84">
        <f>G11+H11-L11-I11</f>
        <v>16436133.609723903</v>
      </c>
    </row>
    <row r="12" spans="1:15" x14ac:dyDescent="0.2">
      <c r="A12" s="96" t="s">
        <v>55</v>
      </c>
      <c r="B12" s="81" t="str">
        <f t="shared" ref="B12:B30" si="7">+IF(MONTH(C12)&lt;4,"Q1",IF(MONTH(C12)&lt;7,"Q2",IF(MONTH(C12)&lt;10,"Q3","Q4")))&amp;"/"&amp;YEAR(C12)</f>
        <v>Q4/2013</v>
      </c>
      <c r="C12" s="82">
        <f>D11+1</f>
        <v>41548</v>
      </c>
      <c r="D12" s="82">
        <f t="shared" si="5"/>
        <v>41639</v>
      </c>
      <c r="E12" s="81">
        <f>D12-C12+1</f>
        <v>92</v>
      </c>
      <c r="F12" s="83">
        <f>VLOOKUP(D12,'FERC Interest Rate'!$A:$B,2,TRUE)</f>
        <v>3.2500000000000001E-2</v>
      </c>
      <c r="G12" s="84">
        <f t="shared" si="1"/>
        <v>16436133.609723903</v>
      </c>
      <c r="H12" s="84">
        <v>0</v>
      </c>
      <c r="I12" s="109">
        <f t="shared" si="6"/>
        <v>20468.013669679152</v>
      </c>
      <c r="J12" s="85">
        <f t="shared" ref="J12:J30" si="8">G12*F12*(E12/(DATE(YEAR(D12),12,31)-DATE(YEAR(D12),1,1)+1))</f>
        <v>134641.20409061501</v>
      </c>
      <c r="K12" s="129">
        <f t="shared" si="2"/>
        <v>155109.21776029415</v>
      </c>
      <c r="L12" s="85">
        <f>$C$2/20</f>
        <v>844591.65</v>
      </c>
      <c r="M12" s="130">
        <f t="shared" si="3"/>
        <v>999700.86776029412</v>
      </c>
      <c r="N12" s="8">
        <f t="shared" si="4"/>
        <v>16570774.813814519</v>
      </c>
      <c r="O12" s="84">
        <f>G12+H12-L12-I12</f>
        <v>15571073.946054224</v>
      </c>
    </row>
    <row r="13" spans="1:15" x14ac:dyDescent="0.2">
      <c r="A13" s="96" t="s">
        <v>56</v>
      </c>
      <c r="B13" s="81" t="str">
        <f t="shared" si="7"/>
        <v>Q1/2014</v>
      </c>
      <c r="C13" s="82">
        <f>D12+1</f>
        <v>41640</v>
      </c>
      <c r="D13" s="82">
        <f t="shared" si="5"/>
        <v>41729</v>
      </c>
      <c r="E13" s="81">
        <f>D13-C13+1</f>
        <v>90</v>
      </c>
      <c r="F13" s="83">
        <f>VLOOKUP(D13,'FERC Interest Rate'!$A:$B,2,TRUE)</f>
        <v>3.2500000000000001E-2</v>
      </c>
      <c r="G13" s="84">
        <f t="shared" si="1"/>
        <v>15571073.946054224</v>
      </c>
      <c r="H13" s="84">
        <v>0</v>
      </c>
      <c r="I13" s="109">
        <f t="shared" si="6"/>
        <v>20468.013669679152</v>
      </c>
      <c r="J13" s="85">
        <f t="shared" si="8"/>
        <v>124781.89395125645</v>
      </c>
      <c r="K13" s="129">
        <f t="shared" si="2"/>
        <v>145249.90762093561</v>
      </c>
      <c r="L13" s="85">
        <f>$C$2/20</f>
        <v>844591.65</v>
      </c>
      <c r="M13" s="130">
        <f t="shared" si="3"/>
        <v>989841.55762093561</v>
      </c>
      <c r="N13" s="8">
        <f t="shared" si="4"/>
        <v>15695855.84000548</v>
      </c>
      <c r="O13" s="84">
        <f>G13+H13-L13-I13</f>
        <v>14706014.282384545</v>
      </c>
    </row>
    <row r="14" spans="1:15" x14ac:dyDescent="0.2">
      <c r="A14" s="96" t="s">
        <v>57</v>
      </c>
      <c r="B14" s="81" t="str">
        <f t="shared" si="7"/>
        <v>Q2/2014</v>
      </c>
      <c r="C14" s="82">
        <f>D13+1</f>
        <v>41730</v>
      </c>
      <c r="D14" s="82">
        <f t="shared" si="5"/>
        <v>41820</v>
      </c>
      <c r="E14" s="81">
        <f>D14-C14+1</f>
        <v>91</v>
      </c>
      <c r="F14" s="83">
        <f>VLOOKUP(D14,'FERC Interest Rate'!$A:$B,2,TRUE)</f>
        <v>3.2500000000000001E-2</v>
      </c>
      <c r="G14" s="84">
        <f t="shared" si="1"/>
        <v>14706014.282384545</v>
      </c>
      <c r="H14" s="84">
        <v>0</v>
      </c>
      <c r="I14" s="109">
        <f t="shared" si="6"/>
        <v>20468.013669679152</v>
      </c>
      <c r="J14" s="85">
        <f t="shared" si="8"/>
        <v>119159.00613740354</v>
      </c>
      <c r="K14" s="129">
        <f t="shared" si="2"/>
        <v>139627.01980708269</v>
      </c>
      <c r="L14" s="85">
        <f>($C$5)/20+(50000*3)</f>
        <v>1044591.65</v>
      </c>
      <c r="M14" s="130">
        <f t="shared" si="3"/>
        <v>1184218.6698070827</v>
      </c>
      <c r="N14" s="8">
        <f t="shared" si="4"/>
        <v>14825173.288521947</v>
      </c>
      <c r="O14" s="84">
        <f>G14+H14-L14-I14+1000000</f>
        <v>14640954.618714865</v>
      </c>
    </row>
    <row r="15" spans="1:15" x14ac:dyDescent="0.2">
      <c r="A15" s="96" t="s">
        <v>58</v>
      </c>
      <c r="B15" s="81" t="str">
        <f t="shared" si="7"/>
        <v>Q3/2014</v>
      </c>
      <c r="C15" s="82">
        <f t="shared" ref="C15:C30" si="9">D14+1</f>
        <v>41821</v>
      </c>
      <c r="D15" s="82">
        <f t="shared" si="5"/>
        <v>41912</v>
      </c>
      <c r="E15" s="81">
        <f t="shared" si="0"/>
        <v>92</v>
      </c>
      <c r="F15" s="83">
        <f>VLOOKUP(D15,'FERC Interest Rate'!$A:$B,2,TRUE)</f>
        <v>3.2500000000000001E-2</v>
      </c>
      <c r="G15" s="84">
        <f t="shared" si="1"/>
        <v>14640954.618714865</v>
      </c>
      <c r="H15" s="84">
        <v>0</v>
      </c>
      <c r="I15" s="109">
        <f t="shared" si="6"/>
        <v>20468.013669679152</v>
      </c>
      <c r="J15" s="85">
        <f t="shared" si="8"/>
        <v>119935.4912601574</v>
      </c>
      <c r="K15" s="129">
        <f t="shared" si="2"/>
        <v>140403.50492983655</v>
      </c>
      <c r="L15" s="85">
        <f>($C$5)/20</f>
        <v>894591.65</v>
      </c>
      <c r="M15" s="130">
        <f t="shared" si="3"/>
        <v>1034995.1549298365</v>
      </c>
      <c r="N15" s="8">
        <f t="shared" si="4"/>
        <v>14760890.109975023</v>
      </c>
      <c r="O15" s="84">
        <f t="shared" ref="O15:O30" si="10">G15+H15-L15-I15</f>
        <v>13725894.955045186</v>
      </c>
    </row>
    <row r="16" spans="1:15" x14ac:dyDescent="0.2">
      <c r="A16" s="96" t="s">
        <v>59</v>
      </c>
      <c r="B16" s="81" t="str">
        <f t="shared" si="7"/>
        <v>Q4/2014</v>
      </c>
      <c r="C16" s="82">
        <f t="shared" si="9"/>
        <v>41913</v>
      </c>
      <c r="D16" s="82">
        <f t="shared" si="5"/>
        <v>42004</v>
      </c>
      <c r="E16" s="81">
        <f t="shared" si="0"/>
        <v>92</v>
      </c>
      <c r="F16" s="83">
        <f>VLOOKUP(D16,'FERC Interest Rate'!$A:$B,2,TRUE)</f>
        <v>3.2500000000000001E-2</v>
      </c>
      <c r="G16" s="84">
        <f t="shared" si="1"/>
        <v>13725894.955045186</v>
      </c>
      <c r="H16" s="84">
        <v>0</v>
      </c>
      <c r="I16" s="109">
        <f t="shared" si="6"/>
        <v>20468.013669679152</v>
      </c>
      <c r="J16" s="85">
        <f t="shared" si="8"/>
        <v>112439.52305639756</v>
      </c>
      <c r="K16" s="129">
        <f t="shared" si="2"/>
        <v>132907.53672607671</v>
      </c>
      <c r="L16" s="85">
        <f t="shared" ref="L16:L30" si="11">($C$5)/20</f>
        <v>894591.65</v>
      </c>
      <c r="M16" s="130">
        <f t="shared" si="3"/>
        <v>1027499.1867260768</v>
      </c>
      <c r="N16" s="8">
        <f t="shared" si="4"/>
        <v>13838334.478101583</v>
      </c>
      <c r="O16" s="84">
        <f t="shared" si="10"/>
        <v>12810835.291375507</v>
      </c>
    </row>
    <row r="17" spans="1:15" x14ac:dyDescent="0.2">
      <c r="A17" s="96" t="s">
        <v>60</v>
      </c>
      <c r="B17" s="81" t="str">
        <f t="shared" si="7"/>
        <v>Q1/2015</v>
      </c>
      <c r="C17" s="82">
        <f t="shared" si="9"/>
        <v>42005</v>
      </c>
      <c r="D17" s="82">
        <f t="shared" si="5"/>
        <v>42094</v>
      </c>
      <c r="E17" s="81">
        <f t="shared" si="0"/>
        <v>90</v>
      </c>
      <c r="F17" s="83">
        <f>VLOOKUP(D17,'FERC Interest Rate'!$A:$B,2,TRUE)</f>
        <v>3.2500000000000001E-2</v>
      </c>
      <c r="G17" s="84">
        <f t="shared" si="1"/>
        <v>12810835.291375507</v>
      </c>
      <c r="H17" s="84">
        <v>0</v>
      </c>
      <c r="I17" s="109">
        <f t="shared" si="6"/>
        <v>20468.013669679152</v>
      </c>
      <c r="J17" s="85">
        <f t="shared" si="8"/>
        <v>102662.17322540646</v>
      </c>
      <c r="K17" s="129">
        <f t="shared" si="2"/>
        <v>123130.18689508562</v>
      </c>
      <c r="L17" s="85">
        <f t="shared" si="11"/>
        <v>894591.65</v>
      </c>
      <c r="M17" s="130">
        <f t="shared" si="3"/>
        <v>1017721.8368950856</v>
      </c>
      <c r="N17" s="8">
        <f t="shared" si="4"/>
        <v>12913497.464600913</v>
      </c>
      <c r="O17" s="84">
        <f t="shared" si="10"/>
        <v>11895775.627705827</v>
      </c>
    </row>
    <row r="18" spans="1:15" x14ac:dyDescent="0.2">
      <c r="A18" s="96" t="s">
        <v>61</v>
      </c>
      <c r="B18" s="81" t="str">
        <f t="shared" si="7"/>
        <v>Q2/2015</v>
      </c>
      <c r="C18" s="82">
        <f t="shared" si="9"/>
        <v>42095</v>
      </c>
      <c r="D18" s="82">
        <f t="shared" si="5"/>
        <v>42185</v>
      </c>
      <c r="E18" s="81">
        <f t="shared" si="0"/>
        <v>91</v>
      </c>
      <c r="F18" s="83">
        <f>VLOOKUP(D18,'FERC Interest Rate'!$A:$B,2,TRUE)</f>
        <v>3.2500000000000001E-2</v>
      </c>
      <c r="G18" s="84">
        <f t="shared" si="1"/>
        <v>11895775.627705827</v>
      </c>
      <c r="H18" s="84">
        <v>0</v>
      </c>
      <c r="I18" s="109">
        <f t="shared" si="6"/>
        <v>20468.013669679152</v>
      </c>
      <c r="J18" s="85">
        <f t="shared" si="8"/>
        <v>96388.373750520506</v>
      </c>
      <c r="K18" s="129">
        <f t="shared" si="2"/>
        <v>116856.38742019967</v>
      </c>
      <c r="L18" s="85">
        <f t="shared" si="11"/>
        <v>894591.65</v>
      </c>
      <c r="M18" s="130">
        <f t="shared" si="3"/>
        <v>1011448.0374201997</v>
      </c>
      <c r="N18" s="8">
        <f t="shared" si="4"/>
        <v>11992164.001456348</v>
      </c>
      <c r="O18" s="84">
        <f t="shared" si="10"/>
        <v>10980715.964036148</v>
      </c>
    </row>
    <row r="19" spans="1:15" x14ac:dyDescent="0.2">
      <c r="A19" s="96" t="s">
        <v>62</v>
      </c>
      <c r="B19" s="81" t="str">
        <f t="shared" si="7"/>
        <v>Q3/2015</v>
      </c>
      <c r="C19" s="82">
        <f t="shared" si="9"/>
        <v>42186</v>
      </c>
      <c r="D19" s="82">
        <f t="shared" si="5"/>
        <v>42277</v>
      </c>
      <c r="E19" s="81">
        <f t="shared" si="0"/>
        <v>92</v>
      </c>
      <c r="F19" s="83">
        <f>VLOOKUP(D19,'FERC Interest Rate'!$A:$B,2,TRUE)</f>
        <v>3.2500000000000001E-2</v>
      </c>
      <c r="G19" s="84">
        <f t="shared" si="1"/>
        <v>10980715.964036148</v>
      </c>
      <c r="H19" s="84">
        <v>0</v>
      </c>
      <c r="I19" s="109">
        <f t="shared" si="6"/>
        <v>20468.013669679152</v>
      </c>
      <c r="J19" s="85">
        <f t="shared" si="8"/>
        <v>89951.618445118045</v>
      </c>
      <c r="K19" s="129">
        <f t="shared" si="2"/>
        <v>110419.63211479719</v>
      </c>
      <c r="L19" s="85">
        <f t="shared" si="11"/>
        <v>894591.65</v>
      </c>
      <c r="M19" s="130">
        <f t="shared" si="3"/>
        <v>1005011.2821147973</v>
      </c>
      <c r="N19" s="8">
        <f t="shared" si="4"/>
        <v>11070667.582481267</v>
      </c>
      <c r="O19" s="84">
        <f t="shared" si="10"/>
        <v>10065656.300366469</v>
      </c>
    </row>
    <row r="20" spans="1:15" x14ac:dyDescent="0.2">
      <c r="A20" s="96" t="s">
        <v>63</v>
      </c>
      <c r="B20" s="81" t="str">
        <f t="shared" si="7"/>
        <v>Q4/2015</v>
      </c>
      <c r="C20" s="82">
        <f t="shared" si="9"/>
        <v>42278</v>
      </c>
      <c r="D20" s="82">
        <f t="shared" si="5"/>
        <v>42369</v>
      </c>
      <c r="E20" s="81">
        <f t="shared" si="0"/>
        <v>92</v>
      </c>
      <c r="F20" s="83">
        <f>VLOOKUP(D20,'FERC Interest Rate'!$A:$B,2,TRUE)</f>
        <v>3.2500000000000001E-2</v>
      </c>
      <c r="G20" s="84">
        <f t="shared" si="1"/>
        <v>10065656.300366469</v>
      </c>
      <c r="H20" s="84">
        <v>0</v>
      </c>
      <c r="I20" s="109">
        <f t="shared" si="6"/>
        <v>20468.013669679152</v>
      </c>
      <c r="J20" s="85">
        <f t="shared" si="8"/>
        <v>82455.650241358206</v>
      </c>
      <c r="K20" s="129">
        <f t="shared" si="2"/>
        <v>102923.66391103735</v>
      </c>
      <c r="L20" s="85">
        <f t="shared" si="11"/>
        <v>894591.65</v>
      </c>
      <c r="M20" s="130">
        <f t="shared" si="3"/>
        <v>997515.3139110374</v>
      </c>
      <c r="N20" s="8">
        <f t="shared" si="4"/>
        <v>10148111.950607827</v>
      </c>
      <c r="O20" s="84">
        <f t="shared" si="10"/>
        <v>9150596.6366967894</v>
      </c>
    </row>
    <row r="21" spans="1:15" x14ac:dyDescent="0.2">
      <c r="A21" s="96" t="s">
        <v>64</v>
      </c>
      <c r="B21" s="81" t="str">
        <f t="shared" si="7"/>
        <v>Q1/2016</v>
      </c>
      <c r="C21" s="82">
        <f t="shared" si="9"/>
        <v>42370</v>
      </c>
      <c r="D21" s="82">
        <f t="shared" si="5"/>
        <v>42460</v>
      </c>
      <c r="E21" s="81">
        <f t="shared" si="0"/>
        <v>91</v>
      </c>
      <c r="F21" s="83">
        <f>VLOOKUP(D21,'FERC Interest Rate'!$A:$B,2,TRUE)</f>
        <v>3.2500000000000001E-2</v>
      </c>
      <c r="G21" s="84">
        <f t="shared" si="1"/>
        <v>9150596.6366967894</v>
      </c>
      <c r="H21" s="84">
        <v>0</v>
      </c>
      <c r="I21" s="109">
        <f t="shared" si="6"/>
        <v>20468.013669679152</v>
      </c>
      <c r="J21" s="85">
        <f t="shared" si="8"/>
        <v>73942.321183144144</v>
      </c>
      <c r="K21" s="129">
        <f t="shared" si="2"/>
        <v>94410.334852823289</v>
      </c>
      <c r="L21" s="85">
        <f t="shared" si="11"/>
        <v>894591.65</v>
      </c>
      <c r="M21" s="130">
        <f t="shared" si="3"/>
        <v>989001.98485282331</v>
      </c>
      <c r="N21" s="8">
        <f t="shared" si="4"/>
        <v>9224538.9578799345</v>
      </c>
      <c r="O21" s="84">
        <f t="shared" si="10"/>
        <v>8235536.9730271101</v>
      </c>
    </row>
    <row r="22" spans="1:15" x14ac:dyDescent="0.2">
      <c r="A22" s="96" t="s">
        <v>65</v>
      </c>
      <c r="B22" s="81" t="str">
        <f t="shared" si="7"/>
        <v>Q2/2016</v>
      </c>
      <c r="C22" s="82">
        <f t="shared" si="9"/>
        <v>42461</v>
      </c>
      <c r="D22" s="82">
        <f t="shared" si="5"/>
        <v>42551</v>
      </c>
      <c r="E22" s="81">
        <f t="shared" si="0"/>
        <v>91</v>
      </c>
      <c r="F22" s="83">
        <f>VLOOKUP(D22,'FERC Interest Rate'!$A:$B,2,TRUE)</f>
        <v>3.4599999999999999E-2</v>
      </c>
      <c r="G22" s="84">
        <f t="shared" si="1"/>
        <v>8235536.9730271101</v>
      </c>
      <c r="H22" s="84">
        <v>0</v>
      </c>
      <c r="I22" s="109">
        <f t="shared" si="6"/>
        <v>20468.013669679152</v>
      </c>
      <c r="J22" s="85">
        <f t="shared" si="8"/>
        <v>70848.119435172557</v>
      </c>
      <c r="K22" s="129">
        <f t="shared" si="2"/>
        <v>91316.133104851702</v>
      </c>
      <c r="L22" s="85">
        <f t="shared" si="11"/>
        <v>894591.65</v>
      </c>
      <c r="M22" s="130">
        <f t="shared" si="3"/>
        <v>985907.78310485173</v>
      </c>
      <c r="N22" s="8">
        <f t="shared" si="4"/>
        <v>8306385.0924622826</v>
      </c>
      <c r="O22" s="84">
        <f t="shared" si="10"/>
        <v>7320477.3093574308</v>
      </c>
    </row>
    <row r="23" spans="1:15" x14ac:dyDescent="0.2">
      <c r="A23" s="96" t="s">
        <v>66</v>
      </c>
      <c r="B23" s="81" t="str">
        <f t="shared" si="7"/>
        <v>Q3/2016</v>
      </c>
      <c r="C23" s="82">
        <f t="shared" si="9"/>
        <v>42552</v>
      </c>
      <c r="D23" s="82">
        <f t="shared" si="5"/>
        <v>42643</v>
      </c>
      <c r="E23" s="81">
        <f t="shared" si="0"/>
        <v>92</v>
      </c>
      <c r="F23" s="83">
        <f>VLOOKUP(D23,'FERC Interest Rate'!$A:$B,2,TRUE)</f>
        <v>3.5000000000000003E-2</v>
      </c>
      <c r="G23" s="84">
        <f t="shared" si="1"/>
        <v>7320477.3093574308</v>
      </c>
      <c r="H23" s="84">
        <v>0</v>
      </c>
      <c r="I23" s="109">
        <f t="shared" si="6"/>
        <v>20468.013669679152</v>
      </c>
      <c r="J23" s="85">
        <f t="shared" si="8"/>
        <v>64404.199279046254</v>
      </c>
      <c r="K23" s="129">
        <f t="shared" si="2"/>
        <v>84872.212948725413</v>
      </c>
      <c r="L23" s="85">
        <f t="shared" si="11"/>
        <v>894591.65</v>
      </c>
      <c r="M23" s="130">
        <f t="shared" si="3"/>
        <v>979463.86294872547</v>
      </c>
      <c r="N23" s="8">
        <f t="shared" si="4"/>
        <v>7384881.5086364774</v>
      </c>
      <c r="O23" s="84">
        <f t="shared" si="10"/>
        <v>6405417.6456877515</v>
      </c>
    </row>
    <row r="24" spans="1:15" x14ac:dyDescent="0.2">
      <c r="A24" s="96" t="s">
        <v>67</v>
      </c>
      <c r="B24" s="81" t="str">
        <f t="shared" si="7"/>
        <v>Q4/2016</v>
      </c>
      <c r="C24" s="82">
        <f t="shared" si="9"/>
        <v>42644</v>
      </c>
      <c r="D24" s="82">
        <f t="shared" si="5"/>
        <v>42735</v>
      </c>
      <c r="E24" s="81">
        <f t="shared" si="0"/>
        <v>92</v>
      </c>
      <c r="F24" s="83">
        <f>VLOOKUP(D24,'FERC Interest Rate'!$A:$B,2,TRUE)</f>
        <v>3.5000000000000003E-2</v>
      </c>
      <c r="G24" s="84">
        <f t="shared" si="1"/>
        <v>6405417.6456877515</v>
      </c>
      <c r="H24" s="84">
        <v>0</v>
      </c>
      <c r="I24" s="109">
        <f t="shared" si="6"/>
        <v>20468.013669679152</v>
      </c>
      <c r="J24" s="85">
        <f t="shared" si="8"/>
        <v>56353.67436916547</v>
      </c>
      <c r="K24" s="129">
        <f t="shared" si="2"/>
        <v>76821.688038844615</v>
      </c>
      <c r="L24" s="85">
        <f t="shared" si="11"/>
        <v>894591.65</v>
      </c>
      <c r="M24" s="130">
        <f t="shared" si="3"/>
        <v>971413.33803884464</v>
      </c>
      <c r="N24" s="8">
        <f t="shared" si="4"/>
        <v>6461771.3200569171</v>
      </c>
      <c r="O24" s="84">
        <f t="shared" si="10"/>
        <v>5490357.9820180722</v>
      </c>
    </row>
    <row r="25" spans="1:15" x14ac:dyDescent="0.2">
      <c r="A25" s="96" t="s">
        <v>68</v>
      </c>
      <c r="B25" s="81" t="str">
        <f t="shared" si="7"/>
        <v>Q1/2017</v>
      </c>
      <c r="C25" s="82">
        <f t="shared" si="9"/>
        <v>42736</v>
      </c>
      <c r="D25" s="82">
        <f t="shared" si="5"/>
        <v>42825</v>
      </c>
      <c r="E25" s="81">
        <f t="shared" si="0"/>
        <v>90</v>
      </c>
      <c r="F25" s="83">
        <f>VLOOKUP(D25,'FERC Interest Rate'!$A:$B,2,TRUE)</f>
        <v>3.5000000000000003E-2</v>
      </c>
      <c r="G25" s="84">
        <f t="shared" si="1"/>
        <v>5490357.9820180722</v>
      </c>
      <c r="H25" s="84">
        <v>0</v>
      </c>
      <c r="I25" s="109">
        <f t="shared" si="6"/>
        <v>20468.013669679152</v>
      </c>
      <c r="J25" s="85">
        <f t="shared" si="8"/>
        <v>47382.54148864912</v>
      </c>
      <c r="K25" s="129">
        <f t="shared" si="2"/>
        <v>67850.555158328265</v>
      </c>
      <c r="L25" s="85">
        <f t="shared" si="11"/>
        <v>894591.65</v>
      </c>
      <c r="M25" s="130">
        <f t="shared" si="3"/>
        <v>962442.20515832829</v>
      </c>
      <c r="N25" s="8">
        <f t="shared" si="4"/>
        <v>5537740.5235067215</v>
      </c>
      <c r="O25" s="84">
        <f t="shared" si="10"/>
        <v>4575298.3183483928</v>
      </c>
    </row>
    <row r="26" spans="1:15" x14ac:dyDescent="0.2">
      <c r="A26" s="96" t="s">
        <v>69</v>
      </c>
      <c r="B26" s="81" t="str">
        <f t="shared" si="7"/>
        <v>Q2/2017</v>
      </c>
      <c r="C26" s="82">
        <f t="shared" si="9"/>
        <v>42826</v>
      </c>
      <c r="D26" s="82">
        <f t="shared" si="5"/>
        <v>42916</v>
      </c>
      <c r="E26" s="81">
        <f t="shared" si="0"/>
        <v>91</v>
      </c>
      <c r="F26" s="83">
        <f>VLOOKUP(D26,'FERC Interest Rate'!$A:$B,2,TRUE)</f>
        <v>3.7100000000000001E-2</v>
      </c>
      <c r="G26" s="84">
        <f t="shared" si="1"/>
        <v>4575298.3183483928</v>
      </c>
      <c r="H26" s="84">
        <v>0</v>
      </c>
      <c r="I26" s="109">
        <f t="shared" si="6"/>
        <v>20468.013669679152</v>
      </c>
      <c r="J26" s="85">
        <f t="shared" si="8"/>
        <v>42319.629185139755</v>
      </c>
      <c r="K26" s="129">
        <f t="shared" si="2"/>
        <v>62787.642854818907</v>
      </c>
      <c r="L26" s="85">
        <f t="shared" si="11"/>
        <v>894591.65</v>
      </c>
      <c r="M26" s="130">
        <f t="shared" si="3"/>
        <v>957379.29285481898</v>
      </c>
      <c r="N26" s="8">
        <f t="shared" si="4"/>
        <v>4617617.947533533</v>
      </c>
      <c r="O26" s="84">
        <f t="shared" si="10"/>
        <v>3660238.654678714</v>
      </c>
    </row>
    <row r="27" spans="1:15" x14ac:dyDescent="0.2">
      <c r="A27" s="96" t="s">
        <v>70</v>
      </c>
      <c r="B27" s="81" t="str">
        <f t="shared" si="7"/>
        <v>Q3/2017</v>
      </c>
      <c r="C27" s="82">
        <f t="shared" si="9"/>
        <v>42917</v>
      </c>
      <c r="D27" s="82">
        <f t="shared" si="5"/>
        <v>43008</v>
      </c>
      <c r="E27" s="81">
        <f t="shared" si="0"/>
        <v>92</v>
      </c>
      <c r="F27" s="83">
        <f>VLOOKUP(D27,'FERC Interest Rate'!$A:$B,2,TRUE)</f>
        <v>3.9600000000000003E-2</v>
      </c>
      <c r="G27" s="84">
        <f t="shared" si="1"/>
        <v>3660238.654678714</v>
      </c>
      <c r="H27" s="84">
        <v>0</v>
      </c>
      <c r="I27" s="109">
        <f t="shared" si="6"/>
        <v>20468.013669679152</v>
      </c>
      <c r="J27" s="85">
        <f t="shared" si="8"/>
        <v>36534.195799247929</v>
      </c>
      <c r="K27" s="129">
        <f t="shared" si="2"/>
        <v>57002.209468927082</v>
      </c>
      <c r="L27" s="85">
        <f t="shared" si="11"/>
        <v>894591.65</v>
      </c>
      <c r="M27" s="130">
        <f t="shared" si="3"/>
        <v>951593.85946892714</v>
      </c>
      <c r="N27" s="8">
        <f t="shared" si="4"/>
        <v>3696772.8504779618</v>
      </c>
      <c r="O27" s="84">
        <f t="shared" si="10"/>
        <v>2745178.9910090351</v>
      </c>
    </row>
    <row r="28" spans="1:15" x14ac:dyDescent="0.2">
      <c r="A28" s="96" t="s">
        <v>71</v>
      </c>
      <c r="B28" s="81" t="str">
        <f t="shared" si="7"/>
        <v>Q4/2017</v>
      </c>
      <c r="C28" s="82">
        <f t="shared" si="9"/>
        <v>43009</v>
      </c>
      <c r="D28" s="82">
        <f t="shared" si="5"/>
        <v>43100</v>
      </c>
      <c r="E28" s="81">
        <f t="shared" si="0"/>
        <v>92</v>
      </c>
      <c r="F28" s="83">
        <f>VLOOKUP(D28,'FERC Interest Rate'!$A:$B,2,TRUE)</f>
        <v>4.2099999999999999E-2</v>
      </c>
      <c r="G28" s="84">
        <f t="shared" si="1"/>
        <v>2745178.9910090351</v>
      </c>
      <c r="H28" s="84">
        <v>0</v>
      </c>
      <c r="I28" s="109">
        <f t="shared" si="6"/>
        <v>20468.013669679152</v>
      </c>
      <c r="J28" s="85">
        <f t="shared" si="8"/>
        <v>29130.485665688204</v>
      </c>
      <c r="K28" s="129">
        <f t="shared" si="2"/>
        <v>49598.499335367356</v>
      </c>
      <c r="L28" s="85">
        <f t="shared" si="11"/>
        <v>894591.65</v>
      </c>
      <c r="M28" s="130">
        <f t="shared" si="3"/>
        <v>944190.14933536737</v>
      </c>
      <c r="N28" s="8">
        <f t="shared" si="4"/>
        <v>2774309.4766747234</v>
      </c>
      <c r="O28" s="84">
        <f t="shared" si="10"/>
        <v>1830119.3273393561</v>
      </c>
    </row>
    <row r="29" spans="1:15" x14ac:dyDescent="0.2">
      <c r="A29" s="96" t="s">
        <v>72</v>
      </c>
      <c r="B29" s="81" t="str">
        <f t="shared" si="7"/>
        <v>Q1/2018</v>
      </c>
      <c r="C29" s="82">
        <f t="shared" si="9"/>
        <v>43101</v>
      </c>
      <c r="D29" s="82">
        <f t="shared" si="5"/>
        <v>43190</v>
      </c>
      <c r="E29" s="81">
        <f t="shared" si="0"/>
        <v>90</v>
      </c>
      <c r="F29" s="83">
        <f>VLOOKUP(D29,'FERC Interest Rate'!$A:$B,2,TRUE)</f>
        <v>4.2500000000000003E-2</v>
      </c>
      <c r="G29" s="84">
        <f t="shared" si="1"/>
        <v>1830119.3273393561</v>
      </c>
      <c r="H29" s="84">
        <v>0</v>
      </c>
      <c r="I29" s="109">
        <f t="shared" si="6"/>
        <v>20468.013669679152</v>
      </c>
      <c r="J29" s="85">
        <f t="shared" si="8"/>
        <v>19178.647745405578</v>
      </c>
      <c r="K29" s="129">
        <f t="shared" si="2"/>
        <v>39646.661415084731</v>
      </c>
      <c r="L29" s="85">
        <f t="shared" si="11"/>
        <v>894591.65</v>
      </c>
      <c r="M29" s="130">
        <f t="shared" si="3"/>
        <v>934238.31141508475</v>
      </c>
      <c r="N29" s="8">
        <f t="shared" si="4"/>
        <v>1849297.9750847616</v>
      </c>
      <c r="O29" s="84">
        <f t="shared" si="10"/>
        <v>915059.66366967687</v>
      </c>
    </row>
    <row r="30" spans="1:15" x14ac:dyDescent="0.2">
      <c r="A30" s="96" t="s">
        <v>73</v>
      </c>
      <c r="B30" s="81" t="str">
        <f t="shared" si="7"/>
        <v>Q2/2018</v>
      </c>
      <c r="C30" s="82">
        <f t="shared" si="9"/>
        <v>43191</v>
      </c>
      <c r="D30" s="82">
        <f t="shared" si="5"/>
        <v>43281</v>
      </c>
      <c r="E30" s="81">
        <f t="shared" si="0"/>
        <v>91</v>
      </c>
      <c r="F30" s="83">
        <f>VLOOKUP(D30,'FERC Interest Rate'!$A:$B,2,TRUE)</f>
        <v>4.4699999999999997E-2</v>
      </c>
      <c r="G30" s="84">
        <f t="shared" si="1"/>
        <v>915059.66366967687</v>
      </c>
      <c r="H30" s="84">
        <v>0</v>
      </c>
      <c r="I30" s="109">
        <f t="shared" si="6"/>
        <v>20468.013669679152</v>
      </c>
      <c r="J30" s="85">
        <f t="shared" si="8"/>
        <v>10197.775873723682</v>
      </c>
      <c r="K30" s="129">
        <f t="shared" si="2"/>
        <v>30665.789543402832</v>
      </c>
      <c r="L30" s="85">
        <f t="shared" si="11"/>
        <v>894591.65</v>
      </c>
      <c r="M30" s="130">
        <f t="shared" si="3"/>
        <v>925257.43954340287</v>
      </c>
      <c r="N30" s="8">
        <f t="shared" si="4"/>
        <v>925257.43954340054</v>
      </c>
      <c r="O30" s="84">
        <f t="shared" si="10"/>
        <v>-2.306478563696146E-9</v>
      </c>
    </row>
    <row r="31" spans="1:15" x14ac:dyDescent="0.2">
      <c r="B31" s="11"/>
      <c r="C31" s="125"/>
      <c r="D31" s="125"/>
      <c r="E31" s="10"/>
      <c r="F31" s="11"/>
      <c r="G31" s="85"/>
      <c r="H31" s="12"/>
      <c r="I31" s="115"/>
      <c r="J31" s="85"/>
      <c r="K31" s="117"/>
      <c r="L31" s="70"/>
      <c r="M31" s="130"/>
      <c r="O31" s="85"/>
    </row>
    <row r="32" spans="1:15" ht="13.5" thickBot="1" x14ac:dyDescent="0.25">
      <c r="A32" s="151"/>
      <c r="B32" s="152"/>
      <c r="C32" s="155"/>
      <c r="D32" s="155"/>
      <c r="E32" s="154"/>
      <c r="F32" s="152"/>
      <c r="G32" s="140">
        <f>+SUM(G9:G31)</f>
        <v>222236473.21229267</v>
      </c>
      <c r="H32" s="140">
        <f t="shared" ref="H32:O32" si="12">+SUM(H9:H31)</f>
        <v>409360.27339358308</v>
      </c>
      <c r="I32" s="141">
        <f t="shared" si="12"/>
        <v>409360.27339358313</v>
      </c>
      <c r="J32" s="140">
        <f t="shared" si="12"/>
        <v>1432706.5241826156</v>
      </c>
      <c r="K32" s="140">
        <f t="shared" si="12"/>
        <v>1842066.7975761988</v>
      </c>
      <c r="L32" s="140">
        <f t="shared" si="12"/>
        <v>17891833.000000004</v>
      </c>
      <c r="M32" s="142">
        <f t="shared" si="12"/>
        <v>19733899.797576196</v>
      </c>
      <c r="N32" s="140">
        <f t="shared" si="12"/>
        <v>224078540.00986889</v>
      </c>
      <c r="O32" s="140">
        <f t="shared" si="12"/>
        <v>205344640.21229267</v>
      </c>
    </row>
    <row r="33" spans="1:15" ht="13.5" thickTop="1" x14ac:dyDescent="0.2">
      <c r="B33" s="117"/>
      <c r="C33" s="117"/>
      <c r="D33" s="117"/>
      <c r="E33" s="117"/>
      <c r="F33" s="117"/>
      <c r="G33" s="117"/>
      <c r="H33" s="117"/>
      <c r="I33" s="116"/>
      <c r="J33" s="117"/>
      <c r="K33" s="117"/>
      <c r="L33" s="117"/>
      <c r="M33" s="131"/>
      <c r="O33" s="117"/>
    </row>
    <row r="34" spans="1:15" ht="38.25" x14ac:dyDescent="0.2">
      <c r="A34" s="90" t="s">
        <v>53</v>
      </c>
      <c r="B34" s="90" t="s">
        <v>3</v>
      </c>
      <c r="C34" s="90" t="s">
        <v>4</v>
      </c>
      <c r="D34" s="90" t="s">
        <v>5</v>
      </c>
      <c r="E34" s="90" t="s">
        <v>6</v>
      </c>
      <c r="F34" s="90" t="s">
        <v>7</v>
      </c>
      <c r="G34" s="90" t="s">
        <v>93</v>
      </c>
      <c r="H34" s="90" t="s">
        <v>94</v>
      </c>
      <c r="I34" s="105" t="s">
        <v>95</v>
      </c>
      <c r="J34" s="106" t="s">
        <v>96</v>
      </c>
      <c r="K34" s="106" t="s">
        <v>97</v>
      </c>
      <c r="L34" s="106" t="s">
        <v>98</v>
      </c>
      <c r="M34" s="107" t="s">
        <v>99</v>
      </c>
      <c r="N34" s="90" t="s">
        <v>100</v>
      </c>
      <c r="O34" s="90" t="s">
        <v>101</v>
      </c>
    </row>
    <row r="35" spans="1:15" x14ac:dyDescent="0.2">
      <c r="A35" s="308" t="s">
        <v>9</v>
      </c>
      <c r="B35" s="308"/>
      <c r="C35" s="82">
        <f>$B$2</f>
        <v>41605</v>
      </c>
      <c r="D35" s="82">
        <f>DATE(YEAR(C35),IF(MONTH(C35)&lt;=3,3,IF(MONTH(C35)&lt;=6,6,IF(MONTH(C35)&lt;=9,9,12))),IF(OR(MONTH(C35)&lt;=3,MONTH(C35)&gt;=10),31,30))</f>
        <v>41639</v>
      </c>
      <c r="E35" s="81">
        <f>D35-C35+1</f>
        <v>35</v>
      </c>
      <c r="F35" s="83">
        <f>VLOOKUP(D35,'FERC Interest Rate'!$A:$B,2,TRUE)</f>
        <v>3.2500000000000001E-2</v>
      </c>
      <c r="G35" s="84">
        <f>$E$2</f>
        <v>0</v>
      </c>
      <c r="H35" s="84">
        <f t="shared" ref="H35:H42" si="13">G35*F35*(E35/(DATE(YEAR(D35),12,31)-DATE(YEAR(D35),1,1)+1))</f>
        <v>0</v>
      </c>
      <c r="I35" s="109">
        <v>0</v>
      </c>
      <c r="J35" s="85">
        <v>0</v>
      </c>
      <c r="K35" s="129">
        <f t="shared" ref="K35:K62" si="14">+SUM(I35:J35)</f>
        <v>0</v>
      </c>
      <c r="L35" s="85">
        <v>0</v>
      </c>
      <c r="M35" s="130">
        <f t="shared" ref="M35:M62" si="15">+SUM(K35:L35)</f>
        <v>0</v>
      </c>
      <c r="N35" s="8">
        <f t="shared" ref="N35:N62" si="16">+G35+H35+J35</f>
        <v>0</v>
      </c>
      <c r="O35" s="84">
        <f t="shared" ref="O35:O62" si="17">G35+H35-L35-I35</f>
        <v>0</v>
      </c>
    </row>
    <row r="36" spans="1:15" x14ac:dyDescent="0.2">
      <c r="A36" s="308"/>
      <c r="B36" s="308"/>
      <c r="C36" s="82">
        <f>D35+1</f>
        <v>41640</v>
      </c>
      <c r="D36" s="82">
        <f>EOMONTH(D35,3)</f>
        <v>41729</v>
      </c>
      <c r="E36" s="81">
        <f t="shared" ref="E36:E62" si="18">D36-C36+1</f>
        <v>90</v>
      </c>
      <c r="F36" s="83">
        <f>VLOOKUP(D36,'FERC Interest Rate'!$A:$B,2,TRUE)</f>
        <v>3.2500000000000001E-2</v>
      </c>
      <c r="G36" s="84">
        <f t="shared" ref="G36:G62" si="19">O35</f>
        <v>0</v>
      </c>
      <c r="H36" s="84">
        <f t="shared" si="13"/>
        <v>0</v>
      </c>
      <c r="I36" s="109">
        <v>0</v>
      </c>
      <c r="J36" s="85">
        <v>0</v>
      </c>
      <c r="K36" s="129">
        <f t="shared" si="14"/>
        <v>0</v>
      </c>
      <c r="L36" s="85">
        <v>0</v>
      </c>
      <c r="M36" s="130">
        <f t="shared" si="15"/>
        <v>0</v>
      </c>
      <c r="N36" s="8">
        <f t="shared" si="16"/>
        <v>0</v>
      </c>
      <c r="O36" s="84">
        <f t="shared" si="17"/>
        <v>0</v>
      </c>
    </row>
    <row r="37" spans="1:15" x14ac:dyDescent="0.2">
      <c r="B37" s="81"/>
      <c r="C37" s="82">
        <f t="shared" ref="C37:C62" si="20">D36+1</f>
        <v>41730</v>
      </c>
      <c r="D37" s="82">
        <f t="shared" ref="D37:D62" si="21">EOMONTH(D36,3)</f>
        <v>41820</v>
      </c>
      <c r="E37" s="81">
        <f t="shared" si="18"/>
        <v>91</v>
      </c>
      <c r="F37" s="83">
        <f>VLOOKUP(D37,'FERC Interest Rate'!$A:$B,2,TRUE)</f>
        <v>3.2500000000000001E-2</v>
      </c>
      <c r="G37" s="84">
        <f t="shared" si="19"/>
        <v>0</v>
      </c>
      <c r="H37" s="84">
        <f t="shared" si="13"/>
        <v>0</v>
      </c>
      <c r="I37" s="109">
        <v>0</v>
      </c>
      <c r="J37" s="85">
        <v>0</v>
      </c>
      <c r="K37" s="129">
        <f t="shared" si="14"/>
        <v>0</v>
      </c>
      <c r="L37" s="85">
        <v>0</v>
      </c>
      <c r="M37" s="130">
        <f t="shared" si="15"/>
        <v>0</v>
      </c>
      <c r="N37" s="8">
        <f t="shared" si="16"/>
        <v>0</v>
      </c>
      <c r="O37" s="84">
        <f t="shared" si="17"/>
        <v>0</v>
      </c>
    </row>
    <row r="38" spans="1:15" x14ac:dyDescent="0.2">
      <c r="B38" s="81"/>
      <c r="C38" s="82">
        <f t="shared" si="20"/>
        <v>41821</v>
      </c>
      <c r="D38" s="82">
        <f t="shared" si="21"/>
        <v>41912</v>
      </c>
      <c r="E38" s="81">
        <f t="shared" si="18"/>
        <v>92</v>
      </c>
      <c r="F38" s="83">
        <f>VLOOKUP(D38,'FERC Interest Rate'!$A:$B,2,TRUE)</f>
        <v>3.2500000000000001E-2</v>
      </c>
      <c r="G38" s="84">
        <f t="shared" si="19"/>
        <v>0</v>
      </c>
      <c r="H38" s="84">
        <f t="shared" si="13"/>
        <v>0</v>
      </c>
      <c r="I38" s="109">
        <v>0</v>
      </c>
      <c r="J38" s="85">
        <v>0</v>
      </c>
      <c r="K38" s="129">
        <f t="shared" si="14"/>
        <v>0</v>
      </c>
      <c r="L38" s="85">
        <v>0</v>
      </c>
      <c r="M38" s="130">
        <f t="shared" si="15"/>
        <v>0</v>
      </c>
      <c r="N38" s="8">
        <f t="shared" si="16"/>
        <v>0</v>
      </c>
      <c r="O38" s="84">
        <f t="shared" si="17"/>
        <v>0</v>
      </c>
    </row>
    <row r="39" spans="1:15" x14ac:dyDescent="0.2">
      <c r="B39" s="81"/>
      <c r="C39" s="82">
        <f t="shared" si="20"/>
        <v>41913</v>
      </c>
      <c r="D39" s="82">
        <f t="shared" si="21"/>
        <v>42004</v>
      </c>
      <c r="E39" s="81">
        <f t="shared" si="18"/>
        <v>92</v>
      </c>
      <c r="F39" s="83">
        <f>VLOOKUP(D39,'FERC Interest Rate'!$A:$B,2,TRUE)</f>
        <v>3.2500000000000001E-2</v>
      </c>
      <c r="G39" s="84">
        <f t="shared" si="19"/>
        <v>0</v>
      </c>
      <c r="H39" s="84">
        <f t="shared" si="13"/>
        <v>0</v>
      </c>
      <c r="I39" s="109">
        <v>0</v>
      </c>
      <c r="J39" s="85">
        <v>0</v>
      </c>
      <c r="K39" s="129">
        <f t="shared" si="14"/>
        <v>0</v>
      </c>
      <c r="L39" s="85">
        <v>0</v>
      </c>
      <c r="M39" s="130">
        <f t="shared" si="15"/>
        <v>0</v>
      </c>
      <c r="N39" s="8">
        <f t="shared" si="16"/>
        <v>0</v>
      </c>
      <c r="O39" s="84">
        <f t="shared" si="17"/>
        <v>0</v>
      </c>
    </row>
    <row r="40" spans="1:15" x14ac:dyDescent="0.2">
      <c r="B40" s="81"/>
      <c r="C40" s="82">
        <f t="shared" si="20"/>
        <v>42005</v>
      </c>
      <c r="D40" s="82">
        <f t="shared" si="21"/>
        <v>42094</v>
      </c>
      <c r="E40" s="81">
        <f t="shared" si="18"/>
        <v>90</v>
      </c>
      <c r="F40" s="83">
        <f>VLOOKUP(D40,'FERC Interest Rate'!$A:$B,2,TRUE)</f>
        <v>3.2500000000000001E-2</v>
      </c>
      <c r="G40" s="84">
        <f t="shared" si="19"/>
        <v>0</v>
      </c>
      <c r="H40" s="84">
        <f t="shared" si="13"/>
        <v>0</v>
      </c>
      <c r="I40" s="109">
        <v>0</v>
      </c>
      <c r="J40" s="85">
        <v>0</v>
      </c>
      <c r="K40" s="129">
        <f t="shared" si="14"/>
        <v>0</v>
      </c>
      <c r="L40" s="85">
        <v>0</v>
      </c>
      <c r="M40" s="130">
        <f t="shared" si="15"/>
        <v>0</v>
      </c>
      <c r="N40" s="8">
        <f t="shared" si="16"/>
        <v>0</v>
      </c>
      <c r="O40" s="84">
        <f t="shared" si="17"/>
        <v>0</v>
      </c>
    </row>
    <row r="41" spans="1:15" x14ac:dyDescent="0.2">
      <c r="B41" s="81"/>
      <c r="C41" s="82">
        <f t="shared" si="20"/>
        <v>42095</v>
      </c>
      <c r="D41" s="82">
        <f t="shared" si="21"/>
        <v>42185</v>
      </c>
      <c r="E41" s="81">
        <f t="shared" si="18"/>
        <v>91</v>
      </c>
      <c r="F41" s="83">
        <f>VLOOKUP(D41,'FERC Interest Rate'!$A:$B,2,TRUE)</f>
        <v>3.2500000000000001E-2</v>
      </c>
      <c r="G41" s="84">
        <f t="shared" si="19"/>
        <v>0</v>
      </c>
      <c r="H41" s="84">
        <f t="shared" si="13"/>
        <v>0</v>
      </c>
      <c r="I41" s="109">
        <v>0</v>
      </c>
      <c r="J41" s="85">
        <v>0</v>
      </c>
      <c r="K41" s="129">
        <f t="shared" si="14"/>
        <v>0</v>
      </c>
      <c r="L41" s="85">
        <v>0</v>
      </c>
      <c r="M41" s="130">
        <f t="shared" si="15"/>
        <v>0</v>
      </c>
      <c r="N41" s="8">
        <f t="shared" si="16"/>
        <v>0</v>
      </c>
      <c r="O41" s="84">
        <f t="shared" si="17"/>
        <v>0</v>
      </c>
    </row>
    <row r="42" spans="1:15" x14ac:dyDescent="0.2">
      <c r="B42" s="81"/>
      <c r="C42" s="82">
        <f t="shared" si="20"/>
        <v>42186</v>
      </c>
      <c r="D42" s="82">
        <f t="shared" si="21"/>
        <v>42277</v>
      </c>
      <c r="E42" s="81">
        <f t="shared" si="18"/>
        <v>92</v>
      </c>
      <c r="F42" s="83">
        <f>VLOOKUP(D42,'FERC Interest Rate'!$A:$B,2,TRUE)</f>
        <v>3.2500000000000001E-2</v>
      </c>
      <c r="G42" s="84">
        <f t="shared" si="19"/>
        <v>0</v>
      </c>
      <c r="H42" s="84">
        <f t="shared" si="13"/>
        <v>0</v>
      </c>
      <c r="I42" s="109">
        <v>0</v>
      </c>
      <c r="J42" s="85">
        <v>0</v>
      </c>
      <c r="K42" s="129">
        <f t="shared" si="14"/>
        <v>0</v>
      </c>
      <c r="L42" s="85">
        <v>0</v>
      </c>
      <c r="M42" s="130">
        <f t="shared" si="15"/>
        <v>0</v>
      </c>
      <c r="N42" s="8">
        <f t="shared" si="16"/>
        <v>0</v>
      </c>
      <c r="O42" s="84">
        <f t="shared" si="17"/>
        <v>0</v>
      </c>
    </row>
    <row r="43" spans="1:15" x14ac:dyDescent="0.2">
      <c r="B43" s="81"/>
      <c r="C43" s="82">
        <f t="shared" si="20"/>
        <v>42278</v>
      </c>
      <c r="D43" s="82">
        <f t="shared" si="21"/>
        <v>42369</v>
      </c>
      <c r="E43" s="81">
        <f t="shared" si="18"/>
        <v>92</v>
      </c>
      <c r="F43" s="83">
        <f>VLOOKUP(D43,'FERC Interest Rate'!$A:$B,2,TRUE)</f>
        <v>3.2500000000000001E-2</v>
      </c>
      <c r="G43" s="84">
        <f t="shared" si="19"/>
        <v>0</v>
      </c>
      <c r="H43" s="84">
        <v>0</v>
      </c>
      <c r="I43" s="109">
        <v>0</v>
      </c>
      <c r="J43" s="85">
        <f t="shared" ref="J43:J60" si="22">G43*F43*(E43/(DATE(YEAR(D43),12,31)-DATE(YEAR(D43),1,1)+1))</f>
        <v>0</v>
      </c>
      <c r="K43" s="129">
        <f t="shared" si="14"/>
        <v>0</v>
      </c>
      <c r="L43" s="85">
        <f t="shared" ref="L43:L62" si="23">$G$35/20</f>
        <v>0</v>
      </c>
      <c r="M43" s="130">
        <f t="shared" si="15"/>
        <v>0</v>
      </c>
      <c r="N43" s="8">
        <f t="shared" si="16"/>
        <v>0</v>
      </c>
      <c r="O43" s="84">
        <f t="shared" si="17"/>
        <v>0</v>
      </c>
    </row>
    <row r="44" spans="1:15" x14ac:dyDescent="0.2">
      <c r="B44" s="81"/>
      <c r="C44" s="82">
        <f t="shared" si="20"/>
        <v>42370</v>
      </c>
      <c r="D44" s="82">
        <f t="shared" si="21"/>
        <v>42460</v>
      </c>
      <c r="E44" s="81">
        <f t="shared" si="18"/>
        <v>91</v>
      </c>
      <c r="F44" s="83">
        <f>VLOOKUP(D44,'FERC Interest Rate'!$A:$B,2,TRUE)</f>
        <v>3.2500000000000001E-2</v>
      </c>
      <c r="G44" s="84">
        <f t="shared" si="19"/>
        <v>0</v>
      </c>
      <c r="H44" s="84">
        <v>0</v>
      </c>
      <c r="I44" s="109">
        <v>0</v>
      </c>
      <c r="J44" s="85">
        <f t="shared" si="22"/>
        <v>0</v>
      </c>
      <c r="K44" s="129">
        <f t="shared" si="14"/>
        <v>0</v>
      </c>
      <c r="L44" s="85">
        <f t="shared" si="23"/>
        <v>0</v>
      </c>
      <c r="M44" s="130">
        <f t="shared" si="15"/>
        <v>0</v>
      </c>
      <c r="N44" s="8">
        <f t="shared" si="16"/>
        <v>0</v>
      </c>
      <c r="O44" s="84">
        <f t="shared" si="17"/>
        <v>0</v>
      </c>
    </row>
    <row r="45" spans="1:15" x14ac:dyDescent="0.2">
      <c r="B45" s="81"/>
      <c r="C45" s="82">
        <f t="shared" si="20"/>
        <v>42461</v>
      </c>
      <c r="D45" s="82">
        <f t="shared" si="21"/>
        <v>42551</v>
      </c>
      <c r="E45" s="81">
        <f t="shared" si="18"/>
        <v>91</v>
      </c>
      <c r="F45" s="83">
        <f>VLOOKUP(D45,'FERC Interest Rate'!$A:$B,2,TRUE)</f>
        <v>3.4599999999999999E-2</v>
      </c>
      <c r="G45" s="84">
        <f t="shared" si="19"/>
        <v>0</v>
      </c>
      <c r="H45" s="84">
        <v>0</v>
      </c>
      <c r="I45" s="109">
        <v>0</v>
      </c>
      <c r="J45" s="85">
        <f t="shared" si="22"/>
        <v>0</v>
      </c>
      <c r="K45" s="129">
        <f t="shared" si="14"/>
        <v>0</v>
      </c>
      <c r="L45" s="85">
        <f t="shared" si="23"/>
        <v>0</v>
      </c>
      <c r="M45" s="130">
        <f t="shared" si="15"/>
        <v>0</v>
      </c>
      <c r="N45" s="8">
        <f t="shared" si="16"/>
        <v>0</v>
      </c>
      <c r="O45" s="84">
        <f t="shared" si="17"/>
        <v>0</v>
      </c>
    </row>
    <row r="46" spans="1:15" x14ac:dyDescent="0.2">
      <c r="B46" s="81"/>
      <c r="C46" s="82">
        <f t="shared" si="20"/>
        <v>42552</v>
      </c>
      <c r="D46" s="82">
        <f t="shared" si="21"/>
        <v>42643</v>
      </c>
      <c r="E46" s="81">
        <f t="shared" si="18"/>
        <v>92</v>
      </c>
      <c r="F46" s="83">
        <f>VLOOKUP(D46,'FERC Interest Rate'!$A:$B,2,TRUE)</f>
        <v>3.5000000000000003E-2</v>
      </c>
      <c r="G46" s="84">
        <f t="shared" si="19"/>
        <v>0</v>
      </c>
      <c r="H46" s="84">
        <v>0</v>
      </c>
      <c r="I46" s="109">
        <v>0</v>
      </c>
      <c r="J46" s="85">
        <f t="shared" si="22"/>
        <v>0</v>
      </c>
      <c r="K46" s="129">
        <f t="shared" si="14"/>
        <v>0</v>
      </c>
      <c r="L46" s="85">
        <f t="shared" si="23"/>
        <v>0</v>
      </c>
      <c r="M46" s="130">
        <f t="shared" si="15"/>
        <v>0</v>
      </c>
      <c r="N46" s="8">
        <f t="shared" si="16"/>
        <v>0</v>
      </c>
      <c r="O46" s="84">
        <f t="shared" si="17"/>
        <v>0</v>
      </c>
    </row>
    <row r="47" spans="1:15" x14ac:dyDescent="0.2">
      <c r="B47" s="81"/>
      <c r="C47" s="82">
        <f t="shared" si="20"/>
        <v>42644</v>
      </c>
      <c r="D47" s="82">
        <f t="shared" si="21"/>
        <v>42735</v>
      </c>
      <c r="E47" s="81">
        <f t="shared" si="18"/>
        <v>92</v>
      </c>
      <c r="F47" s="83">
        <f>VLOOKUP(D47,'FERC Interest Rate'!$A:$B,2,TRUE)</f>
        <v>3.5000000000000003E-2</v>
      </c>
      <c r="G47" s="84">
        <f t="shared" si="19"/>
        <v>0</v>
      </c>
      <c r="H47" s="84">
        <v>0</v>
      </c>
      <c r="I47" s="109">
        <v>0</v>
      </c>
      <c r="J47" s="85">
        <f t="shared" si="22"/>
        <v>0</v>
      </c>
      <c r="K47" s="129">
        <f t="shared" si="14"/>
        <v>0</v>
      </c>
      <c r="L47" s="85">
        <f t="shared" si="23"/>
        <v>0</v>
      </c>
      <c r="M47" s="130">
        <f t="shared" si="15"/>
        <v>0</v>
      </c>
      <c r="N47" s="8">
        <f t="shared" si="16"/>
        <v>0</v>
      </c>
      <c r="O47" s="84">
        <f t="shared" si="17"/>
        <v>0</v>
      </c>
    </row>
    <row r="48" spans="1:15" x14ac:dyDescent="0.2">
      <c r="B48" s="81"/>
      <c r="C48" s="82">
        <f t="shared" si="20"/>
        <v>42736</v>
      </c>
      <c r="D48" s="82">
        <f t="shared" si="21"/>
        <v>42825</v>
      </c>
      <c r="E48" s="81">
        <f t="shared" si="18"/>
        <v>90</v>
      </c>
      <c r="F48" s="83">
        <f>VLOOKUP(D48,'FERC Interest Rate'!$A:$B,2,TRUE)</f>
        <v>3.5000000000000003E-2</v>
      </c>
      <c r="G48" s="84">
        <f t="shared" si="19"/>
        <v>0</v>
      </c>
      <c r="H48" s="84">
        <v>0</v>
      </c>
      <c r="I48" s="109">
        <v>0</v>
      </c>
      <c r="J48" s="85">
        <f t="shared" si="22"/>
        <v>0</v>
      </c>
      <c r="K48" s="129">
        <f t="shared" si="14"/>
        <v>0</v>
      </c>
      <c r="L48" s="85">
        <f t="shared" si="23"/>
        <v>0</v>
      </c>
      <c r="M48" s="130">
        <f t="shared" si="15"/>
        <v>0</v>
      </c>
      <c r="N48" s="8">
        <f t="shared" si="16"/>
        <v>0</v>
      </c>
      <c r="O48" s="84">
        <f t="shared" si="17"/>
        <v>0</v>
      </c>
    </row>
    <row r="49" spans="1:15" x14ac:dyDescent="0.2">
      <c r="B49" s="81"/>
      <c r="C49" s="82">
        <f t="shared" si="20"/>
        <v>42826</v>
      </c>
      <c r="D49" s="82">
        <f t="shared" si="21"/>
        <v>42916</v>
      </c>
      <c r="E49" s="81">
        <f t="shared" si="18"/>
        <v>91</v>
      </c>
      <c r="F49" s="83">
        <f>VLOOKUP(D49,'FERC Interest Rate'!$A:$B,2,TRUE)</f>
        <v>3.7100000000000001E-2</v>
      </c>
      <c r="G49" s="84">
        <f t="shared" si="19"/>
        <v>0</v>
      </c>
      <c r="H49" s="84">
        <v>0</v>
      </c>
      <c r="I49" s="109">
        <v>0</v>
      </c>
      <c r="J49" s="85">
        <f t="shared" si="22"/>
        <v>0</v>
      </c>
      <c r="K49" s="129">
        <f t="shared" si="14"/>
        <v>0</v>
      </c>
      <c r="L49" s="85">
        <f t="shared" si="23"/>
        <v>0</v>
      </c>
      <c r="M49" s="130">
        <f t="shared" si="15"/>
        <v>0</v>
      </c>
      <c r="N49" s="8">
        <f t="shared" si="16"/>
        <v>0</v>
      </c>
      <c r="O49" s="84">
        <f t="shared" si="17"/>
        <v>0</v>
      </c>
    </row>
    <row r="50" spans="1:15" x14ac:dyDescent="0.2">
      <c r="B50" s="81"/>
      <c r="C50" s="82">
        <f t="shared" si="20"/>
        <v>42917</v>
      </c>
      <c r="D50" s="82">
        <f t="shared" si="21"/>
        <v>43008</v>
      </c>
      <c r="E50" s="81">
        <f t="shared" si="18"/>
        <v>92</v>
      </c>
      <c r="F50" s="83">
        <f>VLOOKUP(D50,'FERC Interest Rate'!$A:$B,2,TRUE)</f>
        <v>3.9600000000000003E-2</v>
      </c>
      <c r="G50" s="84">
        <f t="shared" si="19"/>
        <v>0</v>
      </c>
      <c r="H50" s="84">
        <v>0</v>
      </c>
      <c r="I50" s="109">
        <v>0</v>
      </c>
      <c r="J50" s="85">
        <f t="shared" si="22"/>
        <v>0</v>
      </c>
      <c r="K50" s="129">
        <f t="shared" si="14"/>
        <v>0</v>
      </c>
      <c r="L50" s="85">
        <f t="shared" si="23"/>
        <v>0</v>
      </c>
      <c r="M50" s="130">
        <f t="shared" si="15"/>
        <v>0</v>
      </c>
      <c r="N50" s="8">
        <f t="shared" si="16"/>
        <v>0</v>
      </c>
      <c r="O50" s="84">
        <f t="shared" si="17"/>
        <v>0</v>
      </c>
    </row>
    <row r="51" spans="1:15" x14ac:dyDescent="0.2">
      <c r="B51" s="81"/>
      <c r="C51" s="82">
        <f t="shared" si="20"/>
        <v>43009</v>
      </c>
      <c r="D51" s="82">
        <f t="shared" si="21"/>
        <v>43100</v>
      </c>
      <c r="E51" s="81">
        <f t="shared" si="18"/>
        <v>92</v>
      </c>
      <c r="F51" s="83">
        <f>VLOOKUP(D51,'FERC Interest Rate'!$A:$B,2,TRUE)</f>
        <v>4.2099999999999999E-2</v>
      </c>
      <c r="G51" s="84">
        <f t="shared" si="19"/>
        <v>0</v>
      </c>
      <c r="H51" s="84">
        <v>0</v>
      </c>
      <c r="I51" s="109">
        <v>0</v>
      </c>
      <c r="J51" s="85">
        <f t="shared" si="22"/>
        <v>0</v>
      </c>
      <c r="K51" s="129">
        <f t="shared" si="14"/>
        <v>0</v>
      </c>
      <c r="L51" s="85">
        <f t="shared" si="23"/>
        <v>0</v>
      </c>
      <c r="M51" s="130">
        <f t="shared" si="15"/>
        <v>0</v>
      </c>
      <c r="N51" s="8">
        <f t="shared" si="16"/>
        <v>0</v>
      </c>
      <c r="O51" s="84">
        <f t="shared" si="17"/>
        <v>0</v>
      </c>
    </row>
    <row r="52" spans="1:15" x14ac:dyDescent="0.2">
      <c r="B52" s="81"/>
      <c r="C52" s="82">
        <f t="shared" si="20"/>
        <v>43101</v>
      </c>
      <c r="D52" s="82">
        <f t="shared" si="21"/>
        <v>43190</v>
      </c>
      <c r="E52" s="81">
        <f t="shared" si="18"/>
        <v>90</v>
      </c>
      <c r="F52" s="83">
        <f>VLOOKUP(D52,'FERC Interest Rate'!$A:$B,2,TRUE)</f>
        <v>4.2500000000000003E-2</v>
      </c>
      <c r="G52" s="84">
        <f t="shared" si="19"/>
        <v>0</v>
      </c>
      <c r="H52" s="84">
        <v>0</v>
      </c>
      <c r="I52" s="109">
        <v>0</v>
      </c>
      <c r="J52" s="85">
        <f t="shared" si="22"/>
        <v>0</v>
      </c>
      <c r="K52" s="129">
        <f t="shared" si="14"/>
        <v>0</v>
      </c>
      <c r="L52" s="85">
        <f t="shared" si="23"/>
        <v>0</v>
      </c>
      <c r="M52" s="130">
        <f t="shared" si="15"/>
        <v>0</v>
      </c>
      <c r="N52" s="8">
        <f t="shared" si="16"/>
        <v>0</v>
      </c>
      <c r="O52" s="84">
        <f t="shared" si="17"/>
        <v>0</v>
      </c>
    </row>
    <row r="53" spans="1:15" x14ac:dyDescent="0.2">
      <c r="B53" s="81"/>
      <c r="C53" s="82">
        <f t="shared" si="20"/>
        <v>43191</v>
      </c>
      <c r="D53" s="82">
        <f t="shared" si="21"/>
        <v>43281</v>
      </c>
      <c r="E53" s="81">
        <f t="shared" si="18"/>
        <v>91</v>
      </c>
      <c r="F53" s="83">
        <f>VLOOKUP(D53,'FERC Interest Rate'!$A:$B,2,TRUE)</f>
        <v>4.4699999999999997E-2</v>
      </c>
      <c r="G53" s="84">
        <f t="shared" si="19"/>
        <v>0</v>
      </c>
      <c r="H53" s="84">
        <v>0</v>
      </c>
      <c r="I53" s="109">
        <v>0</v>
      </c>
      <c r="J53" s="85">
        <f t="shared" si="22"/>
        <v>0</v>
      </c>
      <c r="K53" s="129">
        <f t="shared" si="14"/>
        <v>0</v>
      </c>
      <c r="L53" s="85">
        <f t="shared" si="23"/>
        <v>0</v>
      </c>
      <c r="M53" s="130">
        <f t="shared" si="15"/>
        <v>0</v>
      </c>
      <c r="N53" s="8">
        <f t="shared" si="16"/>
        <v>0</v>
      </c>
      <c r="O53" s="84">
        <f t="shared" si="17"/>
        <v>0</v>
      </c>
    </row>
    <row r="54" spans="1:15" x14ac:dyDescent="0.2">
      <c r="B54" s="81"/>
      <c r="C54" s="82">
        <f t="shared" si="20"/>
        <v>43282</v>
      </c>
      <c r="D54" s="82">
        <f t="shared" si="21"/>
        <v>43373</v>
      </c>
      <c r="E54" s="81">
        <f t="shared" si="18"/>
        <v>92</v>
      </c>
      <c r="F54" s="83">
        <f>VLOOKUP(D54,'FERC Interest Rate'!$A:$B,2,TRUE)</f>
        <v>5.011111E-2</v>
      </c>
      <c r="G54" s="84">
        <f t="shared" si="19"/>
        <v>0</v>
      </c>
      <c r="H54" s="84">
        <v>0</v>
      </c>
      <c r="I54" s="109">
        <v>0</v>
      </c>
      <c r="J54" s="85">
        <f t="shared" si="22"/>
        <v>0</v>
      </c>
      <c r="K54" s="129">
        <f t="shared" si="14"/>
        <v>0</v>
      </c>
      <c r="L54" s="85">
        <f t="shared" si="23"/>
        <v>0</v>
      </c>
      <c r="M54" s="130">
        <f t="shared" si="15"/>
        <v>0</v>
      </c>
      <c r="N54" s="8">
        <f t="shared" si="16"/>
        <v>0</v>
      </c>
      <c r="O54" s="84">
        <f t="shared" si="17"/>
        <v>0</v>
      </c>
    </row>
    <row r="55" spans="1:15" x14ac:dyDescent="0.2">
      <c r="B55" s="81"/>
      <c r="C55" s="82">
        <f t="shared" si="20"/>
        <v>43374</v>
      </c>
      <c r="D55" s="82">
        <f t="shared" si="21"/>
        <v>43465</v>
      </c>
      <c r="E55" s="81">
        <f t="shared" si="18"/>
        <v>92</v>
      </c>
      <c r="F55" s="83">
        <f>VLOOKUP(D55,'FERC Interest Rate'!$A:$B,2,TRUE)</f>
        <v>5.2822580000000001E-2</v>
      </c>
      <c r="G55" s="84">
        <f t="shared" si="19"/>
        <v>0</v>
      </c>
      <c r="H55" s="84">
        <v>0</v>
      </c>
      <c r="I55" s="109">
        <v>0</v>
      </c>
      <c r="J55" s="85">
        <f t="shared" si="22"/>
        <v>0</v>
      </c>
      <c r="K55" s="129">
        <f t="shared" si="14"/>
        <v>0</v>
      </c>
      <c r="L55" s="85">
        <f t="shared" si="23"/>
        <v>0</v>
      </c>
      <c r="M55" s="130">
        <f t="shared" si="15"/>
        <v>0</v>
      </c>
      <c r="N55" s="8">
        <f t="shared" si="16"/>
        <v>0</v>
      </c>
      <c r="O55" s="84">
        <f t="shared" si="17"/>
        <v>0</v>
      </c>
    </row>
    <row r="56" spans="1:15" x14ac:dyDescent="0.2">
      <c r="B56" s="81"/>
      <c r="C56" s="82">
        <f t="shared" si="20"/>
        <v>43466</v>
      </c>
      <c r="D56" s="82">
        <f t="shared" si="21"/>
        <v>43555</v>
      </c>
      <c r="E56" s="81">
        <f t="shared" si="18"/>
        <v>90</v>
      </c>
      <c r="F56" s="83">
        <f>VLOOKUP(D56,'FERC Interest Rate'!$A:$B,2,TRUE)</f>
        <v>5.5296770000000002E-2</v>
      </c>
      <c r="G56" s="84">
        <f t="shared" si="19"/>
        <v>0</v>
      </c>
      <c r="H56" s="84">
        <v>0</v>
      </c>
      <c r="I56" s="109">
        <v>0</v>
      </c>
      <c r="J56" s="85">
        <f t="shared" si="22"/>
        <v>0</v>
      </c>
      <c r="K56" s="129">
        <f t="shared" si="14"/>
        <v>0</v>
      </c>
      <c r="L56" s="85">
        <f t="shared" si="23"/>
        <v>0</v>
      </c>
      <c r="M56" s="130">
        <f t="shared" si="15"/>
        <v>0</v>
      </c>
      <c r="N56" s="8">
        <f t="shared" si="16"/>
        <v>0</v>
      </c>
      <c r="O56" s="84">
        <f t="shared" si="17"/>
        <v>0</v>
      </c>
    </row>
    <row r="57" spans="1:15" x14ac:dyDescent="0.2">
      <c r="B57" s="81"/>
      <c r="C57" s="82">
        <f t="shared" si="20"/>
        <v>43556</v>
      </c>
      <c r="D57" s="82">
        <f t="shared" si="21"/>
        <v>43646</v>
      </c>
      <c r="E57" s="81">
        <f t="shared" si="18"/>
        <v>91</v>
      </c>
      <c r="F57" s="83">
        <f>VLOOKUP(D57,'FERC Interest Rate'!$A:$B,2,TRUE)</f>
        <v>5.7999999999999996E-2</v>
      </c>
      <c r="G57" s="84">
        <f t="shared" si="19"/>
        <v>0</v>
      </c>
      <c r="H57" s="84">
        <v>0</v>
      </c>
      <c r="I57" s="109">
        <v>0</v>
      </c>
      <c r="J57" s="85">
        <f t="shared" si="22"/>
        <v>0</v>
      </c>
      <c r="K57" s="129">
        <f t="shared" si="14"/>
        <v>0</v>
      </c>
      <c r="L57" s="85">
        <f t="shared" si="23"/>
        <v>0</v>
      </c>
      <c r="M57" s="130">
        <f t="shared" si="15"/>
        <v>0</v>
      </c>
      <c r="N57" s="8">
        <f t="shared" si="16"/>
        <v>0</v>
      </c>
      <c r="O57" s="84">
        <f t="shared" si="17"/>
        <v>0</v>
      </c>
    </row>
    <row r="58" spans="1:15" x14ac:dyDescent="0.2">
      <c r="B58" s="81"/>
      <c r="C58" s="82">
        <f t="shared" si="20"/>
        <v>43647</v>
      </c>
      <c r="D58" s="82">
        <f t="shared" si="21"/>
        <v>43738</v>
      </c>
      <c r="E58" s="81">
        <f t="shared" si="18"/>
        <v>92</v>
      </c>
      <c r="F58" s="83">
        <f>VLOOKUP(D58,'FERC Interest Rate'!$A:$B,2,TRUE)</f>
        <v>0.06</v>
      </c>
      <c r="G58" s="84">
        <f t="shared" si="19"/>
        <v>0</v>
      </c>
      <c r="H58" s="84">
        <v>0</v>
      </c>
      <c r="I58" s="109">
        <v>0</v>
      </c>
      <c r="J58" s="85">
        <f t="shared" si="22"/>
        <v>0</v>
      </c>
      <c r="K58" s="129">
        <f t="shared" si="14"/>
        <v>0</v>
      </c>
      <c r="L58" s="85">
        <f t="shared" si="23"/>
        <v>0</v>
      </c>
      <c r="M58" s="130">
        <f t="shared" si="15"/>
        <v>0</v>
      </c>
      <c r="N58" s="8">
        <f t="shared" si="16"/>
        <v>0</v>
      </c>
      <c r="O58" s="84">
        <f t="shared" si="17"/>
        <v>0</v>
      </c>
    </row>
    <row r="59" spans="1:15" x14ac:dyDescent="0.2">
      <c r="B59" s="81"/>
      <c r="C59" s="82">
        <f t="shared" si="20"/>
        <v>43739</v>
      </c>
      <c r="D59" s="82">
        <f t="shared" si="21"/>
        <v>43830</v>
      </c>
      <c r="E59" s="81">
        <f t="shared" si="18"/>
        <v>92</v>
      </c>
      <c r="F59" s="83">
        <f>VLOOKUP(D59,'FERC Interest Rate'!$A:$B,2,TRUE)</f>
        <v>6.0349460000000001E-2</v>
      </c>
      <c r="G59" s="84">
        <f t="shared" si="19"/>
        <v>0</v>
      </c>
      <c r="H59" s="84">
        <v>0</v>
      </c>
      <c r="I59" s="109">
        <v>0</v>
      </c>
      <c r="J59" s="85">
        <f t="shared" si="22"/>
        <v>0</v>
      </c>
      <c r="K59" s="129">
        <f t="shared" si="14"/>
        <v>0</v>
      </c>
      <c r="L59" s="85">
        <f t="shared" si="23"/>
        <v>0</v>
      </c>
      <c r="M59" s="130">
        <f t="shared" si="15"/>
        <v>0</v>
      </c>
      <c r="N59" s="8">
        <f t="shared" si="16"/>
        <v>0</v>
      </c>
      <c r="O59" s="84">
        <f t="shared" si="17"/>
        <v>0</v>
      </c>
    </row>
    <row r="60" spans="1:15" x14ac:dyDescent="0.2">
      <c r="B60" s="81"/>
      <c r="C60" s="82">
        <f t="shared" si="20"/>
        <v>43831</v>
      </c>
      <c r="D60" s="82">
        <f t="shared" si="21"/>
        <v>43921</v>
      </c>
      <c r="E60" s="81">
        <f t="shared" si="18"/>
        <v>91</v>
      </c>
      <c r="F60" s="83">
        <f>VLOOKUP(D60,'FERC Interest Rate'!$A:$B,2,TRUE)</f>
        <v>6.2501040000000008E-2</v>
      </c>
      <c r="G60" s="84">
        <f t="shared" si="19"/>
        <v>0</v>
      </c>
      <c r="H60" s="84">
        <v>0</v>
      </c>
      <c r="I60" s="109">
        <v>0</v>
      </c>
      <c r="J60" s="85">
        <f t="shared" si="22"/>
        <v>0</v>
      </c>
      <c r="K60" s="129">
        <f t="shared" si="14"/>
        <v>0</v>
      </c>
      <c r="L60" s="85">
        <f t="shared" si="23"/>
        <v>0</v>
      </c>
      <c r="M60" s="130">
        <f t="shared" si="15"/>
        <v>0</v>
      </c>
      <c r="N60" s="8">
        <f t="shared" si="16"/>
        <v>0</v>
      </c>
      <c r="O60" s="84">
        <f t="shared" si="17"/>
        <v>0</v>
      </c>
    </row>
    <row r="61" spans="1:15" x14ac:dyDescent="0.2">
      <c r="B61" s="81"/>
      <c r="C61" s="82">
        <f t="shared" si="20"/>
        <v>43922</v>
      </c>
      <c r="D61" s="82">
        <f t="shared" si="21"/>
        <v>44012</v>
      </c>
      <c r="E61" s="81">
        <f t="shared" si="18"/>
        <v>91</v>
      </c>
      <c r="F61" s="83">
        <f>VLOOKUP(D61,'FERC Interest Rate'!$A:$B,2,TRUE)</f>
        <v>6.3055559999999997E-2</v>
      </c>
      <c r="G61" s="84">
        <f t="shared" si="19"/>
        <v>0</v>
      </c>
      <c r="H61" s="84">
        <v>0</v>
      </c>
      <c r="I61" s="109">
        <v>0</v>
      </c>
      <c r="J61" s="85">
        <f>G61*F61*(E61/(DATE(YEAR(D61),12,31)-DATE(YEAR(D61),1,1)+1))</f>
        <v>0</v>
      </c>
      <c r="K61" s="129">
        <f t="shared" si="14"/>
        <v>0</v>
      </c>
      <c r="L61" s="85">
        <f t="shared" si="23"/>
        <v>0</v>
      </c>
      <c r="M61" s="130">
        <f t="shared" si="15"/>
        <v>0</v>
      </c>
      <c r="N61" s="8">
        <f t="shared" si="16"/>
        <v>0</v>
      </c>
      <c r="O61" s="84">
        <f t="shared" si="17"/>
        <v>0</v>
      </c>
    </row>
    <row r="62" spans="1:15" x14ac:dyDescent="0.2">
      <c r="B62" s="81"/>
      <c r="C62" s="82">
        <f t="shared" si="20"/>
        <v>44013</v>
      </c>
      <c r="D62" s="82">
        <f t="shared" si="21"/>
        <v>44104</v>
      </c>
      <c r="E62" s="81">
        <f t="shared" si="18"/>
        <v>92</v>
      </c>
      <c r="F62" s="83">
        <f>VLOOKUP(D62,'FERC Interest Rate'!$A:$B,2,TRUE)</f>
        <v>6.5000000000000002E-2</v>
      </c>
      <c r="G62" s="84">
        <f t="shared" si="19"/>
        <v>0</v>
      </c>
      <c r="H62" s="84">
        <v>0</v>
      </c>
      <c r="I62" s="109">
        <v>0</v>
      </c>
      <c r="J62" s="85">
        <f>G62*F62*(E62/(DATE(YEAR(D62),12,31)-DATE(YEAR(D62),1,1)+1))</f>
        <v>0</v>
      </c>
      <c r="K62" s="129">
        <f t="shared" si="14"/>
        <v>0</v>
      </c>
      <c r="L62" s="85">
        <f t="shared" si="23"/>
        <v>0</v>
      </c>
      <c r="M62" s="130">
        <f t="shared" si="15"/>
        <v>0</v>
      </c>
      <c r="N62" s="8">
        <f t="shared" si="16"/>
        <v>0</v>
      </c>
      <c r="O62" s="84">
        <f t="shared" si="17"/>
        <v>0</v>
      </c>
    </row>
    <row r="63" spans="1:15" x14ac:dyDescent="0.2">
      <c r="B63" s="11"/>
      <c r="C63" s="98"/>
      <c r="D63" s="98"/>
      <c r="E63" s="10"/>
      <c r="F63" s="11"/>
      <c r="G63" s="85"/>
      <c r="H63" s="85"/>
      <c r="I63" s="132"/>
      <c r="J63" s="12"/>
      <c r="K63" s="12"/>
      <c r="L63" s="85"/>
      <c r="M63" s="131"/>
    </row>
    <row r="64" spans="1:15" ht="13.5" thickBot="1" x14ac:dyDescent="0.25">
      <c r="A64" s="151"/>
      <c r="B64" s="151"/>
      <c r="C64" s="151"/>
      <c r="D64" s="151"/>
      <c r="E64" s="151"/>
      <c r="F64" s="151"/>
      <c r="G64" s="137">
        <f>+SUM(G35:G63)</f>
        <v>0</v>
      </c>
      <c r="H64" s="137">
        <f t="shared" ref="H64:O64" si="24">+SUM(H35:H63)</f>
        <v>0</v>
      </c>
      <c r="I64" s="138">
        <f t="shared" si="24"/>
        <v>0</v>
      </c>
      <c r="J64" s="137">
        <f t="shared" si="24"/>
        <v>0</v>
      </c>
      <c r="K64" s="137">
        <f t="shared" si="24"/>
        <v>0</v>
      </c>
      <c r="L64" s="137">
        <f t="shared" si="24"/>
        <v>0</v>
      </c>
      <c r="M64" s="139">
        <f t="shared" si="24"/>
        <v>0</v>
      </c>
      <c r="N64" s="137">
        <f t="shared" si="24"/>
        <v>0</v>
      </c>
      <c r="O64" s="137">
        <f t="shared" si="24"/>
        <v>0</v>
      </c>
    </row>
    <row r="65" spans="9:13" ht="14.25" thickTop="1" thickBot="1" x14ac:dyDescent="0.25">
      <c r="I65" s="121"/>
      <c r="J65" s="122"/>
      <c r="K65" s="122"/>
      <c r="L65" s="122"/>
      <c r="M65" s="123"/>
    </row>
  </sheetData>
  <mergeCells count="2">
    <mergeCell ref="A9:B10"/>
    <mergeCell ref="A35:B36"/>
  </mergeCells>
  <pageMargins left="0.7" right="0.7" top="0.75" bottom="0.75" header="0.3" footer="0.3"/>
  <pageSetup scale="49" orientation="landscape" r:id="rId1"/>
  <headerFooter alignWithMargins="0">
    <oddHeader>&amp;RTO2019 Annual Update
Attachment 4
WP Schedule 22
Page &amp;P of &amp;N</oddHeader>
    <oddFooter>&amp;R&amp;A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43"/>
  <sheetViews>
    <sheetView zoomScale="80" zoomScaleNormal="80" workbookViewId="0"/>
  </sheetViews>
  <sheetFormatPr defaultColWidth="9.140625" defaultRowHeight="12.75" x14ac:dyDescent="0.2"/>
  <cols>
    <col min="1" max="1" width="12.7109375" style="6" customWidth="1"/>
    <col min="2" max="2" width="13.28515625" style="6" bestFit="1" customWidth="1"/>
    <col min="3" max="3" width="15.140625" style="6" bestFit="1" customWidth="1"/>
    <col min="4" max="4" width="14.42578125" style="6" customWidth="1"/>
    <col min="5" max="5" width="13.42578125" style="6" customWidth="1"/>
    <col min="6" max="6" width="15.5703125" style="6" customWidth="1"/>
    <col min="7" max="7" width="16.28515625" style="6" customWidth="1"/>
    <col min="8" max="8" width="15.85546875" style="6" customWidth="1"/>
    <col min="9" max="9" width="16.42578125" style="6" customWidth="1"/>
    <col min="10" max="10" width="17.140625" style="6" customWidth="1"/>
    <col min="11" max="13" width="16.42578125" style="6" customWidth="1"/>
    <col min="14" max="14" width="16.28515625" style="6" bestFit="1" customWidth="1"/>
    <col min="15" max="15" width="19.5703125" style="6" customWidth="1"/>
    <col min="16" max="16" width="2.42578125" style="6" customWidth="1"/>
    <col min="17" max="22" width="13.42578125" style="6" customWidth="1"/>
    <col min="23" max="16384" width="9.140625" style="6"/>
  </cols>
  <sheetData>
    <row r="1" spans="1:11" ht="38.25" x14ac:dyDescent="0.2">
      <c r="A1" s="101" t="s">
        <v>8</v>
      </c>
      <c r="B1" s="102" t="s">
        <v>88</v>
      </c>
      <c r="C1" s="101" t="s">
        <v>2</v>
      </c>
      <c r="D1" s="101" t="s">
        <v>1</v>
      </c>
      <c r="E1" s="102" t="s">
        <v>74</v>
      </c>
      <c r="F1" s="102" t="s">
        <v>48</v>
      </c>
    </row>
    <row r="2" spans="1:11" x14ac:dyDescent="0.2">
      <c r="A2" s="96" t="s">
        <v>54</v>
      </c>
      <c r="B2" s="76">
        <v>40057</v>
      </c>
      <c r="C2" s="55">
        <v>105000</v>
      </c>
      <c r="D2" s="55">
        <v>0</v>
      </c>
      <c r="E2" s="55">
        <v>0</v>
      </c>
      <c r="F2" s="7">
        <f>SUM(C2:E2)</f>
        <v>105000</v>
      </c>
    </row>
    <row r="3" spans="1:11" x14ac:dyDescent="0.2">
      <c r="A3" s="96" t="s">
        <v>55</v>
      </c>
      <c r="B3" s="76">
        <v>40058</v>
      </c>
      <c r="C3" s="55">
        <v>30000</v>
      </c>
      <c r="D3" s="55">
        <v>0</v>
      </c>
      <c r="E3" s="55">
        <v>0</v>
      </c>
      <c r="F3" s="7">
        <f t="shared" ref="F3:F29" si="0">SUM(C3:E3)</f>
        <v>30000</v>
      </c>
    </row>
    <row r="4" spans="1:11" x14ac:dyDescent="0.2">
      <c r="A4" s="96" t="s">
        <v>56</v>
      </c>
      <c r="B4" s="76">
        <v>40058</v>
      </c>
      <c r="C4" s="55">
        <v>35000</v>
      </c>
      <c r="D4" s="55">
        <v>0</v>
      </c>
      <c r="E4" s="55">
        <v>0</v>
      </c>
      <c r="F4" s="7">
        <f t="shared" si="0"/>
        <v>35000</v>
      </c>
    </row>
    <row r="5" spans="1:11" x14ac:dyDescent="0.2">
      <c r="A5" s="96" t="s">
        <v>57</v>
      </c>
      <c r="B5" s="76">
        <v>40078</v>
      </c>
      <c r="C5" s="55">
        <v>40000</v>
      </c>
      <c r="D5" s="55">
        <v>0</v>
      </c>
      <c r="E5" s="55">
        <v>0</v>
      </c>
      <c r="F5" s="7">
        <f t="shared" si="0"/>
        <v>40000</v>
      </c>
    </row>
    <row r="6" spans="1:11" x14ac:dyDescent="0.2">
      <c r="A6" s="96" t="s">
        <v>58</v>
      </c>
      <c r="B6" s="76">
        <v>40078</v>
      </c>
      <c r="C6" s="55">
        <v>45000</v>
      </c>
      <c r="D6" s="55">
        <v>0</v>
      </c>
      <c r="E6" s="55">
        <v>0</v>
      </c>
      <c r="F6" s="7">
        <f t="shared" si="0"/>
        <v>45000</v>
      </c>
      <c r="H6" s="56"/>
      <c r="I6" s="56"/>
      <c r="J6" s="56"/>
      <c r="K6" s="56"/>
    </row>
    <row r="7" spans="1:11" x14ac:dyDescent="0.2">
      <c r="A7" s="96" t="s">
        <v>59</v>
      </c>
      <c r="B7" s="76">
        <v>40105</v>
      </c>
      <c r="C7" s="55">
        <v>40000</v>
      </c>
      <c r="D7" s="55">
        <v>0</v>
      </c>
      <c r="E7" s="55">
        <v>0</v>
      </c>
      <c r="F7" s="7">
        <f t="shared" si="0"/>
        <v>40000</v>
      </c>
      <c r="H7" s="56"/>
      <c r="I7" s="56"/>
      <c r="J7" s="56"/>
      <c r="K7" s="56"/>
    </row>
    <row r="8" spans="1:11" x14ac:dyDescent="0.2">
      <c r="A8" s="96" t="s">
        <v>60</v>
      </c>
      <c r="B8" s="76">
        <v>40129</v>
      </c>
      <c r="C8" s="55">
        <v>35000</v>
      </c>
      <c r="D8" s="55">
        <v>0</v>
      </c>
      <c r="E8" s="55">
        <v>0</v>
      </c>
      <c r="F8" s="7">
        <f t="shared" si="0"/>
        <v>35000</v>
      </c>
    </row>
    <row r="9" spans="1:11" x14ac:dyDescent="0.2">
      <c r="A9" s="96" t="s">
        <v>61</v>
      </c>
      <c r="B9" s="76">
        <v>40168</v>
      </c>
      <c r="C9" s="55">
        <v>25000</v>
      </c>
      <c r="D9" s="55">
        <v>0</v>
      </c>
      <c r="E9" s="55">
        <v>0</v>
      </c>
      <c r="F9" s="7">
        <f t="shared" si="0"/>
        <v>25000</v>
      </c>
    </row>
    <row r="10" spans="1:11" x14ac:dyDescent="0.2">
      <c r="A10" s="96" t="s">
        <v>62</v>
      </c>
      <c r="B10" s="76">
        <v>40213</v>
      </c>
      <c r="C10" s="55">
        <v>10000</v>
      </c>
      <c r="D10" s="55">
        <v>0</v>
      </c>
      <c r="E10" s="55">
        <v>0</v>
      </c>
      <c r="F10" s="7">
        <f t="shared" si="0"/>
        <v>10000</v>
      </c>
    </row>
    <row r="11" spans="1:11" x14ac:dyDescent="0.2">
      <c r="A11" s="96" t="s">
        <v>63</v>
      </c>
      <c r="B11" s="76">
        <v>40227</v>
      </c>
      <c r="C11" s="55">
        <v>20000</v>
      </c>
      <c r="D11" s="55">
        <v>0</v>
      </c>
      <c r="E11" s="55">
        <v>0</v>
      </c>
      <c r="F11" s="7">
        <f t="shared" si="0"/>
        <v>20000</v>
      </c>
    </row>
    <row r="12" spans="1:11" x14ac:dyDescent="0.2">
      <c r="A12" s="96" t="s">
        <v>64</v>
      </c>
      <c r="B12" s="76">
        <v>40248</v>
      </c>
      <c r="C12" s="55">
        <v>35000</v>
      </c>
      <c r="D12" s="55">
        <v>0</v>
      </c>
      <c r="E12" s="55">
        <v>0</v>
      </c>
      <c r="F12" s="7">
        <f t="shared" si="0"/>
        <v>35000</v>
      </c>
    </row>
    <row r="13" spans="1:11" x14ac:dyDescent="0.2">
      <c r="A13" s="96" t="s">
        <v>65</v>
      </c>
      <c r="B13" s="76">
        <v>40295</v>
      </c>
      <c r="C13" s="55">
        <v>60000</v>
      </c>
      <c r="D13" s="55">
        <v>0</v>
      </c>
      <c r="E13" s="55">
        <v>0</v>
      </c>
      <c r="F13" s="7">
        <f t="shared" si="0"/>
        <v>60000</v>
      </c>
    </row>
    <row r="14" spans="1:11" x14ac:dyDescent="0.2">
      <c r="A14" s="96" t="s">
        <v>66</v>
      </c>
      <c r="B14" s="76">
        <v>40627</v>
      </c>
      <c r="C14" s="55">
        <v>95000</v>
      </c>
      <c r="D14" s="55">
        <v>0</v>
      </c>
      <c r="E14" s="55">
        <v>0</v>
      </c>
      <c r="F14" s="7">
        <f t="shared" si="0"/>
        <v>95000</v>
      </c>
    </row>
    <row r="15" spans="1:11" x14ac:dyDescent="0.2">
      <c r="A15" s="96" t="s">
        <v>67</v>
      </c>
      <c r="B15" s="76">
        <v>40665</v>
      </c>
      <c r="C15" s="55">
        <v>130000</v>
      </c>
      <c r="D15" s="55">
        <v>0</v>
      </c>
      <c r="E15" s="55">
        <v>0</v>
      </c>
      <c r="F15" s="7">
        <f t="shared" si="0"/>
        <v>130000</v>
      </c>
    </row>
    <row r="16" spans="1:11" x14ac:dyDescent="0.2">
      <c r="A16" s="96" t="s">
        <v>68</v>
      </c>
      <c r="B16" s="76">
        <v>40696</v>
      </c>
      <c r="C16" s="55">
        <v>150000</v>
      </c>
      <c r="D16" s="55">
        <v>0</v>
      </c>
      <c r="E16" s="55">
        <v>0</v>
      </c>
      <c r="F16" s="7">
        <f t="shared" si="0"/>
        <v>150000</v>
      </c>
    </row>
    <row r="17" spans="1:12" x14ac:dyDescent="0.2">
      <c r="A17" s="96" t="s">
        <v>69</v>
      </c>
      <c r="B17" s="76">
        <v>40786</v>
      </c>
      <c r="C17" s="55">
        <v>200000</v>
      </c>
      <c r="D17" s="55">
        <v>0</v>
      </c>
      <c r="E17" s="55">
        <v>10000</v>
      </c>
      <c r="F17" s="7">
        <f t="shared" si="0"/>
        <v>210000</v>
      </c>
    </row>
    <row r="18" spans="1:12" x14ac:dyDescent="0.2">
      <c r="A18" s="96" t="s">
        <v>70</v>
      </c>
      <c r="B18" s="76">
        <v>40786</v>
      </c>
      <c r="C18" s="55">
        <v>220000</v>
      </c>
      <c r="D18" s="55">
        <v>0</v>
      </c>
      <c r="E18" s="55">
        <v>10000</v>
      </c>
      <c r="F18" s="7">
        <f t="shared" si="0"/>
        <v>230000</v>
      </c>
    </row>
    <row r="19" spans="1:12" x14ac:dyDescent="0.2">
      <c r="A19" s="96" t="s">
        <v>71</v>
      </c>
      <c r="B19" s="76">
        <v>40820</v>
      </c>
      <c r="C19" s="55">
        <v>240000</v>
      </c>
      <c r="D19" s="55">
        <v>0</v>
      </c>
      <c r="E19" s="55">
        <v>20000</v>
      </c>
      <c r="F19" s="7">
        <f t="shared" si="0"/>
        <v>260000</v>
      </c>
    </row>
    <row r="20" spans="1:12" x14ac:dyDescent="0.2">
      <c r="A20" s="96" t="s">
        <v>72</v>
      </c>
      <c r="B20" s="76">
        <v>40848</v>
      </c>
      <c r="C20" s="55">
        <v>250000</v>
      </c>
      <c r="D20" s="55">
        <v>0</v>
      </c>
      <c r="E20" s="55">
        <v>20000</v>
      </c>
      <c r="F20" s="7">
        <f t="shared" si="0"/>
        <v>270000</v>
      </c>
    </row>
    <row r="21" spans="1:12" x14ac:dyDescent="0.2">
      <c r="A21" s="96" t="s">
        <v>73</v>
      </c>
      <c r="B21" s="76">
        <v>40892</v>
      </c>
      <c r="C21" s="55">
        <v>260000</v>
      </c>
      <c r="D21" s="55">
        <v>0</v>
      </c>
      <c r="E21" s="55">
        <v>20000</v>
      </c>
      <c r="F21" s="7">
        <f t="shared" si="0"/>
        <v>280000</v>
      </c>
    </row>
    <row r="22" spans="1:12" x14ac:dyDescent="0.2">
      <c r="A22" s="96" t="s">
        <v>76</v>
      </c>
      <c r="B22" s="76">
        <v>40911</v>
      </c>
      <c r="C22" s="55">
        <v>270000</v>
      </c>
      <c r="D22" s="55">
        <v>0</v>
      </c>
      <c r="E22" s="55">
        <v>20000</v>
      </c>
      <c r="F22" s="7">
        <f t="shared" si="0"/>
        <v>290000</v>
      </c>
    </row>
    <row r="23" spans="1:12" x14ac:dyDescent="0.2">
      <c r="A23" s="96" t="s">
        <v>77</v>
      </c>
      <c r="B23" s="76">
        <v>40940</v>
      </c>
      <c r="C23" s="55">
        <v>270000</v>
      </c>
      <c r="D23" s="55">
        <v>0</v>
      </c>
      <c r="E23" s="55">
        <v>20000</v>
      </c>
      <c r="F23" s="7">
        <f t="shared" si="0"/>
        <v>290000</v>
      </c>
    </row>
    <row r="24" spans="1:12" x14ac:dyDescent="0.2">
      <c r="A24" s="96" t="s">
        <v>78</v>
      </c>
      <c r="B24" s="76">
        <v>40970</v>
      </c>
      <c r="C24" s="55">
        <v>270000</v>
      </c>
      <c r="D24" s="55">
        <v>0</v>
      </c>
      <c r="E24" s="55">
        <v>20000</v>
      </c>
      <c r="F24" s="7">
        <f t="shared" si="0"/>
        <v>290000</v>
      </c>
    </row>
    <row r="25" spans="1:12" x14ac:dyDescent="0.2">
      <c r="A25" s="96" t="s">
        <v>79</v>
      </c>
      <c r="B25" s="76">
        <v>40998</v>
      </c>
      <c r="C25" s="55">
        <v>260000</v>
      </c>
      <c r="D25" s="55">
        <v>0</v>
      </c>
      <c r="E25" s="55">
        <v>20000</v>
      </c>
      <c r="F25" s="7">
        <f t="shared" si="0"/>
        <v>280000</v>
      </c>
    </row>
    <row r="26" spans="1:12" x14ac:dyDescent="0.2">
      <c r="A26" s="96" t="s">
        <v>89</v>
      </c>
      <c r="B26" s="76">
        <v>41044</v>
      </c>
      <c r="C26" s="55">
        <v>240000</v>
      </c>
      <c r="D26" s="55">
        <v>0</v>
      </c>
      <c r="E26" s="55">
        <v>20000</v>
      </c>
      <c r="F26" s="7">
        <f t="shared" si="0"/>
        <v>260000</v>
      </c>
    </row>
    <row r="27" spans="1:12" x14ac:dyDescent="0.2">
      <c r="A27" s="96" t="s">
        <v>90</v>
      </c>
      <c r="B27" s="76">
        <v>41064</v>
      </c>
      <c r="C27" s="55">
        <v>180000</v>
      </c>
      <c r="D27" s="55">
        <v>0</v>
      </c>
      <c r="E27" s="55">
        <v>10000</v>
      </c>
      <c r="F27" s="7">
        <f t="shared" si="0"/>
        <v>190000</v>
      </c>
    </row>
    <row r="28" spans="1:12" x14ac:dyDescent="0.2">
      <c r="A28" s="96" t="s">
        <v>91</v>
      </c>
      <c r="B28" s="76">
        <v>41089</v>
      </c>
      <c r="C28" s="55">
        <v>100000</v>
      </c>
      <c r="D28" s="55">
        <v>0</v>
      </c>
      <c r="E28" s="55">
        <v>10000</v>
      </c>
      <c r="F28" s="7">
        <f t="shared" si="0"/>
        <v>110000</v>
      </c>
    </row>
    <row r="29" spans="1:12" ht="13.5" thickBot="1" x14ac:dyDescent="0.25">
      <c r="A29" s="96" t="s">
        <v>92</v>
      </c>
      <c r="B29" s="76">
        <v>41127</v>
      </c>
      <c r="C29" s="55">
        <v>35000</v>
      </c>
      <c r="D29" s="55">
        <v>0</v>
      </c>
      <c r="E29" s="55">
        <v>0</v>
      </c>
      <c r="F29" s="7">
        <f t="shared" si="0"/>
        <v>35000</v>
      </c>
    </row>
    <row r="30" spans="1:12" x14ac:dyDescent="0.2">
      <c r="B30" s="44" t="s">
        <v>0</v>
      </c>
      <c r="C30" s="124">
        <f>SUM(C2:C29)</f>
        <v>3650000</v>
      </c>
      <c r="D30" s="124">
        <f>SUM(D2:D29)</f>
        <v>0</v>
      </c>
      <c r="E30" s="124">
        <f>SUM(E2:E29)</f>
        <v>200000</v>
      </c>
      <c r="F30" s="124">
        <f>SUM(F2:F29)</f>
        <v>3850000</v>
      </c>
      <c r="J30" s="159"/>
      <c r="K30" s="158" t="s">
        <v>14</v>
      </c>
      <c r="L30" s="250" t="s">
        <v>13</v>
      </c>
    </row>
    <row r="31" spans="1:12" x14ac:dyDescent="0.2">
      <c r="A31" s="17" t="s">
        <v>19</v>
      </c>
      <c r="B31" s="76" t="s">
        <v>22</v>
      </c>
      <c r="C31" s="8">
        <v>0</v>
      </c>
      <c r="D31" s="8">
        <v>0</v>
      </c>
      <c r="E31" s="8">
        <v>0</v>
      </c>
      <c r="F31" s="8">
        <f>SUM(C31:E31)</f>
        <v>0</v>
      </c>
      <c r="J31" s="156" t="s">
        <v>11</v>
      </c>
      <c r="K31" s="103">
        <v>41197</v>
      </c>
      <c r="L31" s="251">
        <v>41187</v>
      </c>
    </row>
    <row r="32" spans="1:12" ht="13.5" thickBot="1" x14ac:dyDescent="0.25">
      <c r="A32" s="17" t="s">
        <v>20</v>
      </c>
      <c r="B32" s="76" t="s">
        <v>22</v>
      </c>
      <c r="C32" s="8">
        <v>0</v>
      </c>
      <c r="D32" s="8">
        <v>0</v>
      </c>
      <c r="E32" s="8">
        <v>0</v>
      </c>
      <c r="F32" s="8">
        <f>SUM(C32:E32)</f>
        <v>0</v>
      </c>
      <c r="J32" s="157" t="s">
        <v>17</v>
      </c>
      <c r="K32" s="104">
        <v>41943</v>
      </c>
      <c r="L32" s="252">
        <v>41389</v>
      </c>
    </row>
    <row r="33" spans="1:15" ht="13.5" thickBot="1" x14ac:dyDescent="0.25">
      <c r="A33" s="44"/>
      <c r="B33" s="80" t="s">
        <v>52</v>
      </c>
      <c r="C33" s="79">
        <f>+SUM(C30:C32)</f>
        <v>3650000</v>
      </c>
      <c r="D33" s="79">
        <f>+SUM(D30:D32)</f>
        <v>0</v>
      </c>
      <c r="E33" s="79">
        <f>+SUM(E30:E32)</f>
        <v>200000</v>
      </c>
      <c r="F33" s="79">
        <f>+SUM(F30:F32)</f>
        <v>3850000</v>
      </c>
    </row>
    <row r="34" spans="1:15" ht="14.25" thickTop="1" thickBot="1" x14ac:dyDescent="0.25">
      <c r="G34" s="161"/>
      <c r="H34" s="161"/>
      <c r="I34" s="161"/>
      <c r="J34" s="161"/>
      <c r="K34" s="161"/>
    </row>
    <row r="35" spans="1:15" x14ac:dyDescent="0.2">
      <c r="F35" s="57"/>
      <c r="G35" s="161"/>
      <c r="H35" s="161"/>
      <c r="I35" s="162"/>
      <c r="J35" s="163"/>
      <c r="K35" s="163"/>
      <c r="L35" s="128"/>
      <c r="M35" s="108"/>
    </row>
    <row r="36" spans="1:15" ht="38.25" x14ac:dyDescent="0.2">
      <c r="A36" s="90" t="s">
        <v>53</v>
      </c>
      <c r="B36" s="90" t="s">
        <v>3</v>
      </c>
      <c r="C36" s="90" t="s">
        <v>4</v>
      </c>
      <c r="D36" s="90" t="s">
        <v>5</v>
      </c>
      <c r="E36" s="90" t="s">
        <v>6</v>
      </c>
      <c r="F36" s="90" t="s">
        <v>7</v>
      </c>
      <c r="G36" s="90" t="s">
        <v>93</v>
      </c>
      <c r="H36" s="90" t="s">
        <v>94</v>
      </c>
      <c r="I36" s="105" t="s">
        <v>95</v>
      </c>
      <c r="J36" s="106" t="s">
        <v>96</v>
      </c>
      <c r="K36" s="106" t="s">
        <v>97</v>
      </c>
      <c r="L36" s="106" t="s">
        <v>98</v>
      </c>
      <c r="M36" s="107" t="s">
        <v>99</v>
      </c>
      <c r="N36" s="90" t="s">
        <v>100</v>
      </c>
      <c r="O36" s="90" t="s">
        <v>101</v>
      </c>
    </row>
    <row r="37" spans="1:15" x14ac:dyDescent="0.2">
      <c r="A37" s="311" t="s">
        <v>2</v>
      </c>
      <c r="B37" s="311"/>
      <c r="C37" s="282">
        <f>$L$31</f>
        <v>41187</v>
      </c>
      <c r="D37" s="282">
        <f>DATE(YEAR(C37),IF(MONTH(C37)&lt;=3,3,IF(MONTH(C37)&lt;=6,6,IF(MONTH(C37)&lt;=9,9,12))),IF(OR(MONTH(C37)&lt;=3,MONTH(C37)&gt;=10),31,30))</f>
        <v>41274</v>
      </c>
      <c r="E37" s="283">
        <f>D37-C37+1</f>
        <v>88</v>
      </c>
      <c r="F37" s="284">
        <f>VLOOKUP(D37,'FERC Interest Rate'!$A:$C,2,TRUE)</f>
        <v>3.2500000000000001E-2</v>
      </c>
      <c r="G37" s="167">
        <f>$C$30</f>
        <v>3650000</v>
      </c>
      <c r="H37" s="167">
        <f t="shared" ref="H37:H42" si="1">G37*F37*(E37/(DATE(YEAR(D37),12,31)-DATE(YEAR(D37),1,1)+1))</f>
        <v>28521.857923497268</v>
      </c>
      <c r="I37" s="291">
        <v>0</v>
      </c>
      <c r="J37" s="286">
        <v>0</v>
      </c>
      <c r="K37" s="286">
        <f>+SUM(I37:J37)</f>
        <v>0</v>
      </c>
      <c r="L37" s="286">
        <v>0</v>
      </c>
      <c r="M37" s="287">
        <f>+SUM(K37:L37)</f>
        <v>0</v>
      </c>
      <c r="N37" s="286">
        <f>+G37+H37+J37</f>
        <v>3678521.8579234974</v>
      </c>
      <c r="O37" s="167">
        <f t="shared" ref="O37:O58" si="2">G37+H37-L37-I37</f>
        <v>3678521.8579234974</v>
      </c>
    </row>
    <row r="38" spans="1:15" x14ac:dyDescent="0.2">
      <c r="A38" s="312"/>
      <c r="B38" s="312"/>
      <c r="C38" s="282">
        <f>D37+1</f>
        <v>41275</v>
      </c>
      <c r="D38" s="282">
        <f t="shared" ref="D38:D58" si="3">EOMONTH(D37,3)</f>
        <v>41364</v>
      </c>
      <c r="E38" s="283">
        <f t="shared" ref="E38:E56" si="4">D38-C38+1</f>
        <v>90</v>
      </c>
      <c r="F38" s="284">
        <f>VLOOKUP(D38,'FERC Interest Rate'!$A:$C,2,TRUE)</f>
        <v>3.2500000000000001E-2</v>
      </c>
      <c r="G38" s="167">
        <f t="shared" ref="G38:G58" si="5">O37</f>
        <v>3678521.8579234974</v>
      </c>
      <c r="H38" s="167">
        <f t="shared" si="1"/>
        <v>29478.565573770495</v>
      </c>
      <c r="I38" s="291">
        <v>0</v>
      </c>
      <c r="J38" s="286">
        <v>0</v>
      </c>
      <c r="K38" s="286">
        <f t="shared" ref="K38:K58" si="6">+SUM(I38:J38)</f>
        <v>0</v>
      </c>
      <c r="L38" s="286">
        <v>0</v>
      </c>
      <c r="M38" s="287">
        <f t="shared" ref="M38:M58" si="7">+SUM(K38:L38)</f>
        <v>0</v>
      </c>
      <c r="N38" s="286">
        <f t="shared" ref="N38:N58" si="8">+G38+H38+J38</f>
        <v>3708000.423497268</v>
      </c>
      <c r="O38" s="167">
        <f t="shared" si="2"/>
        <v>3708000.423497268</v>
      </c>
    </row>
    <row r="39" spans="1:15" x14ac:dyDescent="0.2">
      <c r="B39" s="81"/>
      <c r="C39" s="282">
        <f>D38+1</f>
        <v>41365</v>
      </c>
      <c r="D39" s="282">
        <f t="shared" si="3"/>
        <v>41455</v>
      </c>
      <c r="E39" s="283">
        <f>D39-C39+1</f>
        <v>91</v>
      </c>
      <c r="F39" s="284">
        <f>VLOOKUP(D39,'FERC Interest Rate'!$A:$C,2,TRUE)</f>
        <v>3.2500000000000001E-2</v>
      </c>
      <c r="G39" s="167">
        <f t="shared" si="5"/>
        <v>3708000.423497268</v>
      </c>
      <c r="H39" s="167">
        <f t="shared" si="1"/>
        <v>30044.962335597727</v>
      </c>
      <c r="I39" s="291">
        <v>0</v>
      </c>
      <c r="J39" s="286">
        <v>0</v>
      </c>
      <c r="K39" s="286">
        <f t="shared" si="6"/>
        <v>0</v>
      </c>
      <c r="L39" s="286">
        <v>0</v>
      </c>
      <c r="M39" s="287">
        <f t="shared" si="7"/>
        <v>0</v>
      </c>
      <c r="N39" s="286">
        <f t="shared" si="8"/>
        <v>3738045.3858328657</v>
      </c>
      <c r="O39" s="167">
        <f t="shared" si="2"/>
        <v>3738045.3858328657</v>
      </c>
    </row>
    <row r="40" spans="1:15" x14ac:dyDescent="0.2">
      <c r="B40" s="81"/>
      <c r="C40" s="282">
        <f>D39+1</f>
        <v>41456</v>
      </c>
      <c r="D40" s="282">
        <f t="shared" si="3"/>
        <v>41547</v>
      </c>
      <c r="E40" s="283">
        <f>D40-C40+1</f>
        <v>92</v>
      </c>
      <c r="F40" s="284">
        <f>VLOOKUP(D40,'FERC Interest Rate'!$A:$C,2,TRUE)</f>
        <v>3.2500000000000001E-2</v>
      </c>
      <c r="G40" s="167">
        <f t="shared" si="5"/>
        <v>3738045.3858328657</v>
      </c>
      <c r="H40" s="167">
        <f t="shared" si="1"/>
        <v>30621.248503124025</v>
      </c>
      <c r="I40" s="291">
        <v>0</v>
      </c>
      <c r="J40" s="286">
        <v>0</v>
      </c>
      <c r="K40" s="286">
        <f t="shared" si="6"/>
        <v>0</v>
      </c>
      <c r="L40" s="286">
        <v>0</v>
      </c>
      <c r="M40" s="287">
        <f t="shared" si="7"/>
        <v>0</v>
      </c>
      <c r="N40" s="286">
        <f t="shared" si="8"/>
        <v>3768666.6343359896</v>
      </c>
      <c r="O40" s="167">
        <f t="shared" si="2"/>
        <v>3768666.6343359896</v>
      </c>
    </row>
    <row r="41" spans="1:15" x14ac:dyDescent="0.2">
      <c r="B41" s="81"/>
      <c r="C41" s="282">
        <f>D40+1</f>
        <v>41548</v>
      </c>
      <c r="D41" s="282">
        <f t="shared" si="3"/>
        <v>41639</v>
      </c>
      <c r="E41" s="283">
        <f>D41-C41+1</f>
        <v>92</v>
      </c>
      <c r="F41" s="284">
        <f>VLOOKUP(D41,'FERC Interest Rate'!$A:$C,2,TRUE)</f>
        <v>3.2500000000000001E-2</v>
      </c>
      <c r="G41" s="167">
        <f t="shared" si="5"/>
        <v>3768666.6343359896</v>
      </c>
      <c r="H41" s="167">
        <f t="shared" si="1"/>
        <v>30872.091059355098</v>
      </c>
      <c r="I41" s="291">
        <v>0</v>
      </c>
      <c r="J41" s="286">
        <v>0</v>
      </c>
      <c r="K41" s="286">
        <f t="shared" si="6"/>
        <v>0</v>
      </c>
      <c r="L41" s="286">
        <v>0</v>
      </c>
      <c r="M41" s="287">
        <f t="shared" si="7"/>
        <v>0</v>
      </c>
      <c r="N41" s="286">
        <f t="shared" si="8"/>
        <v>3799538.7253953447</v>
      </c>
      <c r="O41" s="167">
        <f t="shared" si="2"/>
        <v>3799538.7253953447</v>
      </c>
    </row>
    <row r="42" spans="1:15" x14ac:dyDescent="0.2">
      <c r="A42" s="96" t="s">
        <v>102</v>
      </c>
      <c r="B42" s="81" t="str">
        <f>+IF(MONTH(C42)&lt;4,"Q1",IF(MONTH(C42)&lt;7,"Q2",IF(MONTH(C42)&lt;10,"Q3","Q4")))&amp;"/"&amp;YEAR(C42)</f>
        <v>Q1/2014</v>
      </c>
      <c r="C42" s="82">
        <f>D41+1</f>
        <v>41640</v>
      </c>
      <c r="D42" s="82">
        <f t="shared" si="3"/>
        <v>41729</v>
      </c>
      <c r="E42" s="81">
        <f>D42-C42+1</f>
        <v>90</v>
      </c>
      <c r="F42" s="83">
        <f>VLOOKUP(D42,'FERC Interest Rate'!$A:$C,2,TRUE)</f>
        <v>3.2500000000000001E-2</v>
      </c>
      <c r="G42" s="84">
        <f t="shared" si="5"/>
        <v>3799538.7253953447</v>
      </c>
      <c r="H42" s="167">
        <f t="shared" si="1"/>
        <v>30448.358278853106</v>
      </c>
      <c r="I42" s="109">
        <f>(SUM($H$37:$H$58)/20)*4</f>
        <v>35997.416734839542</v>
      </c>
      <c r="J42" s="286">
        <v>0</v>
      </c>
      <c r="K42" s="85">
        <f t="shared" si="6"/>
        <v>35997.416734839542</v>
      </c>
      <c r="L42" s="85">
        <f>($C$30/20)*4</f>
        <v>730000</v>
      </c>
      <c r="M42" s="110">
        <f t="shared" si="7"/>
        <v>765997.41673483956</v>
      </c>
      <c r="N42" s="85">
        <f t="shared" si="8"/>
        <v>3829987.0836741976</v>
      </c>
      <c r="O42" s="84">
        <f t="shared" si="2"/>
        <v>3063989.6669393582</v>
      </c>
    </row>
    <row r="43" spans="1:15" x14ac:dyDescent="0.2">
      <c r="A43" s="96" t="s">
        <v>58</v>
      </c>
      <c r="B43" s="81" t="str">
        <f>+IF(MONTH(C43)&lt;4,"Q1",IF(MONTH(C43)&lt;7,"Q2",IF(MONTH(C43)&lt;10,"Q3","Q4")))&amp;"/"&amp;YEAR(C43)</f>
        <v>Q2/2014</v>
      </c>
      <c r="C43" s="82">
        <f t="shared" ref="C43:C56" si="9">D42+1</f>
        <v>41730</v>
      </c>
      <c r="D43" s="82">
        <f t="shared" si="3"/>
        <v>41820</v>
      </c>
      <c r="E43" s="81">
        <f t="shared" si="4"/>
        <v>91</v>
      </c>
      <c r="F43" s="83">
        <f>VLOOKUP(D43,'FERC Interest Rate'!$A:$C,2,TRUE)</f>
        <v>3.2500000000000001E-2</v>
      </c>
      <c r="G43" s="84">
        <f t="shared" si="5"/>
        <v>3063989.6669393582</v>
      </c>
      <c r="H43" s="84">
        <v>0</v>
      </c>
      <c r="I43" s="109">
        <f t="shared" ref="I43:I58" si="10">SUM($H$37:$H$58)/20</f>
        <v>8999.3541837098855</v>
      </c>
      <c r="J43" s="85">
        <f t="shared" ref="J43:J58" si="11">G43*F43*(E43/(DATE(YEAR(D43),12,31)-DATE(YEAR(D43),1,1)+1))</f>
        <v>24826.710794446994</v>
      </c>
      <c r="K43" s="129">
        <f t="shared" si="6"/>
        <v>33826.064978156879</v>
      </c>
      <c r="L43" s="85">
        <f t="shared" ref="L43:L58" si="12">$C$30/20</f>
        <v>182500</v>
      </c>
      <c r="M43" s="130">
        <f t="shared" si="7"/>
        <v>216326.06497815688</v>
      </c>
      <c r="N43" s="8">
        <f t="shared" si="8"/>
        <v>3088816.3777338052</v>
      </c>
      <c r="O43" s="84">
        <f t="shared" si="2"/>
        <v>2872490.3127556485</v>
      </c>
    </row>
    <row r="44" spans="1:15" x14ac:dyDescent="0.2">
      <c r="A44" s="96" t="s">
        <v>59</v>
      </c>
      <c r="B44" s="81" t="str">
        <f t="shared" ref="B44:B58" si="13">+IF(MONTH(C44)&lt;4,"Q1",IF(MONTH(C44)&lt;7,"Q2",IF(MONTH(C44)&lt;10,"Q3","Q4")))&amp;"/"&amp;YEAR(C44)</f>
        <v>Q3/2014</v>
      </c>
      <c r="C44" s="82">
        <f t="shared" si="9"/>
        <v>41821</v>
      </c>
      <c r="D44" s="82">
        <f t="shared" si="3"/>
        <v>41912</v>
      </c>
      <c r="E44" s="81">
        <f t="shared" si="4"/>
        <v>92</v>
      </c>
      <c r="F44" s="83">
        <f>VLOOKUP(D44,'FERC Interest Rate'!$A:$C,2,TRUE)</f>
        <v>3.2500000000000001E-2</v>
      </c>
      <c r="G44" s="84">
        <f t="shared" si="5"/>
        <v>2872490.3127556485</v>
      </c>
      <c r="H44" s="84">
        <v>0</v>
      </c>
      <c r="I44" s="109">
        <f t="shared" si="10"/>
        <v>8999.3541837098855</v>
      </c>
      <c r="J44" s="85">
        <f t="shared" si="11"/>
        <v>23530.811055176411</v>
      </c>
      <c r="K44" s="129">
        <f t="shared" si="6"/>
        <v>32530.165238886297</v>
      </c>
      <c r="L44" s="85">
        <f t="shared" si="12"/>
        <v>182500</v>
      </c>
      <c r="M44" s="130">
        <f t="shared" si="7"/>
        <v>215030.16523888629</v>
      </c>
      <c r="N44" s="8">
        <f t="shared" si="8"/>
        <v>2896021.1238108249</v>
      </c>
      <c r="O44" s="84">
        <f t="shared" si="2"/>
        <v>2680990.9585719388</v>
      </c>
    </row>
    <row r="45" spans="1:15" x14ac:dyDescent="0.2">
      <c r="A45" s="96" t="s">
        <v>60</v>
      </c>
      <c r="B45" s="81" t="str">
        <f t="shared" si="13"/>
        <v>Q4/2014</v>
      </c>
      <c r="C45" s="82">
        <f t="shared" si="9"/>
        <v>41913</v>
      </c>
      <c r="D45" s="82">
        <f t="shared" si="3"/>
        <v>42004</v>
      </c>
      <c r="E45" s="81">
        <f t="shared" si="4"/>
        <v>92</v>
      </c>
      <c r="F45" s="83">
        <f>VLOOKUP(D45,'FERC Interest Rate'!$A:$C,2,TRUE)</f>
        <v>3.2500000000000001E-2</v>
      </c>
      <c r="G45" s="84">
        <f t="shared" si="5"/>
        <v>2680990.9585719388</v>
      </c>
      <c r="H45" s="84">
        <v>0</v>
      </c>
      <c r="I45" s="109">
        <f t="shared" si="10"/>
        <v>8999.3541837098855</v>
      </c>
      <c r="J45" s="85">
        <f t="shared" si="11"/>
        <v>21962.090318164654</v>
      </c>
      <c r="K45" s="129">
        <f t="shared" si="6"/>
        <v>30961.444501874539</v>
      </c>
      <c r="L45" s="85">
        <f t="shared" si="12"/>
        <v>182500</v>
      </c>
      <c r="M45" s="130">
        <f t="shared" si="7"/>
        <v>213461.44450187453</v>
      </c>
      <c r="N45" s="8">
        <f t="shared" si="8"/>
        <v>2702953.0488901036</v>
      </c>
      <c r="O45" s="84">
        <f t="shared" si="2"/>
        <v>2489491.6043882291</v>
      </c>
    </row>
    <row r="46" spans="1:15" x14ac:dyDescent="0.2">
      <c r="A46" s="96" t="s">
        <v>61</v>
      </c>
      <c r="B46" s="81" t="str">
        <f t="shared" si="13"/>
        <v>Q1/2015</v>
      </c>
      <c r="C46" s="82">
        <f t="shared" si="9"/>
        <v>42005</v>
      </c>
      <c r="D46" s="82">
        <f t="shared" si="3"/>
        <v>42094</v>
      </c>
      <c r="E46" s="81">
        <f t="shared" si="4"/>
        <v>90</v>
      </c>
      <c r="F46" s="83">
        <f>VLOOKUP(D46,'FERC Interest Rate'!$A:$C,2,TRUE)</f>
        <v>3.2500000000000001E-2</v>
      </c>
      <c r="G46" s="84">
        <f t="shared" si="5"/>
        <v>2489491.6043882291</v>
      </c>
      <c r="H46" s="84">
        <v>0</v>
      </c>
      <c r="I46" s="109">
        <f t="shared" si="10"/>
        <v>8999.3541837098855</v>
      </c>
      <c r="J46" s="85">
        <f t="shared" si="11"/>
        <v>19950.035459823477</v>
      </c>
      <c r="K46" s="129">
        <f t="shared" si="6"/>
        <v>28949.389643533363</v>
      </c>
      <c r="L46" s="85">
        <f t="shared" si="12"/>
        <v>182500</v>
      </c>
      <c r="M46" s="130">
        <f t="shared" si="7"/>
        <v>211449.38964353336</v>
      </c>
      <c r="N46" s="8">
        <f t="shared" si="8"/>
        <v>2509441.6398480525</v>
      </c>
      <c r="O46" s="84">
        <f t="shared" si="2"/>
        <v>2297992.2502045194</v>
      </c>
    </row>
    <row r="47" spans="1:15" x14ac:dyDescent="0.2">
      <c r="A47" s="96" t="s">
        <v>62</v>
      </c>
      <c r="B47" s="81" t="str">
        <f t="shared" si="13"/>
        <v>Q2/2015</v>
      </c>
      <c r="C47" s="82">
        <f t="shared" si="9"/>
        <v>42095</v>
      </c>
      <c r="D47" s="82">
        <f t="shared" si="3"/>
        <v>42185</v>
      </c>
      <c r="E47" s="81">
        <f t="shared" si="4"/>
        <v>91</v>
      </c>
      <c r="F47" s="83">
        <f>VLOOKUP(D47,'FERC Interest Rate'!$A:$C,2,TRUE)</f>
        <v>3.2500000000000001E-2</v>
      </c>
      <c r="G47" s="84">
        <f t="shared" si="5"/>
        <v>2297992.2502045194</v>
      </c>
      <c r="H47" s="84">
        <v>0</v>
      </c>
      <c r="I47" s="109">
        <f t="shared" si="10"/>
        <v>8999.3541837098855</v>
      </c>
      <c r="J47" s="85">
        <f t="shared" si="11"/>
        <v>18620.03309583525</v>
      </c>
      <c r="K47" s="129">
        <f t="shared" si="6"/>
        <v>27619.387279545135</v>
      </c>
      <c r="L47" s="85">
        <f t="shared" si="12"/>
        <v>182500</v>
      </c>
      <c r="M47" s="130">
        <f t="shared" si="7"/>
        <v>210119.38727954513</v>
      </c>
      <c r="N47" s="8">
        <f t="shared" si="8"/>
        <v>2316612.2833003546</v>
      </c>
      <c r="O47" s="84">
        <f t="shared" si="2"/>
        <v>2106492.8960208097</v>
      </c>
    </row>
    <row r="48" spans="1:15" x14ac:dyDescent="0.2">
      <c r="A48" s="96" t="s">
        <v>63</v>
      </c>
      <c r="B48" s="81" t="str">
        <f t="shared" si="13"/>
        <v>Q3/2015</v>
      </c>
      <c r="C48" s="82">
        <f t="shared" si="9"/>
        <v>42186</v>
      </c>
      <c r="D48" s="82">
        <f t="shared" si="3"/>
        <v>42277</v>
      </c>
      <c r="E48" s="81">
        <f t="shared" si="4"/>
        <v>92</v>
      </c>
      <c r="F48" s="83">
        <f>VLOOKUP(D48,'FERC Interest Rate'!$A:$C,2,TRUE)</f>
        <v>3.2500000000000001E-2</v>
      </c>
      <c r="G48" s="84">
        <f t="shared" si="5"/>
        <v>2106492.8960208097</v>
      </c>
      <c r="H48" s="84">
        <v>0</v>
      </c>
      <c r="I48" s="109">
        <f t="shared" si="10"/>
        <v>8999.3541837098855</v>
      </c>
      <c r="J48" s="85">
        <f t="shared" si="11"/>
        <v>17255.928107129374</v>
      </c>
      <c r="K48" s="129">
        <f t="shared" si="6"/>
        <v>26255.282290839259</v>
      </c>
      <c r="L48" s="85">
        <f t="shared" si="12"/>
        <v>182500</v>
      </c>
      <c r="M48" s="130">
        <f t="shared" si="7"/>
        <v>208755.28229083927</v>
      </c>
      <c r="N48" s="8">
        <f t="shared" si="8"/>
        <v>2123748.8241279391</v>
      </c>
      <c r="O48" s="84">
        <f t="shared" si="2"/>
        <v>1914993.5418370997</v>
      </c>
    </row>
    <row r="49" spans="1:15" x14ac:dyDescent="0.2">
      <c r="A49" s="96" t="s">
        <v>64</v>
      </c>
      <c r="B49" s="81" t="str">
        <f t="shared" si="13"/>
        <v>Q4/2015</v>
      </c>
      <c r="C49" s="82">
        <f t="shared" si="9"/>
        <v>42278</v>
      </c>
      <c r="D49" s="82">
        <f t="shared" si="3"/>
        <v>42369</v>
      </c>
      <c r="E49" s="81">
        <f t="shared" si="4"/>
        <v>92</v>
      </c>
      <c r="F49" s="83">
        <f>VLOOKUP(D49,'FERC Interest Rate'!$A:$C,2,TRUE)</f>
        <v>3.2500000000000001E-2</v>
      </c>
      <c r="G49" s="84">
        <f t="shared" si="5"/>
        <v>1914993.5418370997</v>
      </c>
      <c r="H49" s="84">
        <v>0</v>
      </c>
      <c r="I49" s="109">
        <f t="shared" si="10"/>
        <v>8999.3541837098855</v>
      </c>
      <c r="J49" s="85">
        <f t="shared" si="11"/>
        <v>15687.207370117612</v>
      </c>
      <c r="K49" s="129">
        <f t="shared" si="6"/>
        <v>24686.561553827498</v>
      </c>
      <c r="L49" s="85">
        <f t="shared" si="12"/>
        <v>182500</v>
      </c>
      <c r="M49" s="130">
        <f t="shared" si="7"/>
        <v>207186.56155382749</v>
      </c>
      <c r="N49" s="8">
        <f t="shared" si="8"/>
        <v>1930680.7492072172</v>
      </c>
      <c r="O49" s="84">
        <f t="shared" si="2"/>
        <v>1723494.1876533898</v>
      </c>
    </row>
    <row r="50" spans="1:15" x14ac:dyDescent="0.2">
      <c r="A50" s="96" t="s">
        <v>65</v>
      </c>
      <c r="B50" s="81" t="str">
        <f t="shared" si="13"/>
        <v>Q1/2016</v>
      </c>
      <c r="C50" s="82">
        <f t="shared" si="9"/>
        <v>42370</v>
      </c>
      <c r="D50" s="82">
        <f t="shared" si="3"/>
        <v>42460</v>
      </c>
      <c r="E50" s="81">
        <f t="shared" si="4"/>
        <v>91</v>
      </c>
      <c r="F50" s="83">
        <f>VLOOKUP(D50,'FERC Interest Rate'!$A:$C,2,TRUE)</f>
        <v>3.2500000000000001E-2</v>
      </c>
      <c r="G50" s="84">
        <f t="shared" si="5"/>
        <v>1723494.1876533898</v>
      </c>
      <c r="H50" s="84">
        <v>0</v>
      </c>
      <c r="I50" s="109">
        <f t="shared" si="10"/>
        <v>8999.3541837098855</v>
      </c>
      <c r="J50" s="85">
        <f t="shared" si="11"/>
        <v>13926.869016352186</v>
      </c>
      <c r="K50" s="129">
        <f t="shared" si="6"/>
        <v>22926.223200062072</v>
      </c>
      <c r="L50" s="85">
        <f t="shared" si="12"/>
        <v>182500</v>
      </c>
      <c r="M50" s="130">
        <f t="shared" si="7"/>
        <v>205426.22320006206</v>
      </c>
      <c r="N50" s="8">
        <f t="shared" si="8"/>
        <v>1737421.0566697419</v>
      </c>
      <c r="O50" s="84">
        <f t="shared" si="2"/>
        <v>1531994.8334696798</v>
      </c>
    </row>
    <row r="51" spans="1:15" x14ac:dyDescent="0.2">
      <c r="A51" s="96" t="s">
        <v>66</v>
      </c>
      <c r="B51" s="81" t="str">
        <f t="shared" si="13"/>
        <v>Q2/2016</v>
      </c>
      <c r="C51" s="82">
        <f t="shared" si="9"/>
        <v>42461</v>
      </c>
      <c r="D51" s="82">
        <f t="shared" si="3"/>
        <v>42551</v>
      </c>
      <c r="E51" s="81">
        <f t="shared" si="4"/>
        <v>91</v>
      </c>
      <c r="F51" s="83">
        <f>VLOOKUP(D51,'FERC Interest Rate'!$A:$C,2,TRUE)</f>
        <v>3.4599999999999999E-2</v>
      </c>
      <c r="G51" s="84">
        <f t="shared" si="5"/>
        <v>1531994.8334696798</v>
      </c>
      <c r="H51" s="84">
        <v>0</v>
      </c>
      <c r="I51" s="109">
        <f t="shared" si="10"/>
        <v>8999.3541837098855</v>
      </c>
      <c r="J51" s="85">
        <f t="shared" si="11"/>
        <v>13179.34134607277</v>
      </c>
      <c r="K51" s="129">
        <f t="shared" si="6"/>
        <v>22178.695529782657</v>
      </c>
      <c r="L51" s="85">
        <f t="shared" si="12"/>
        <v>182500</v>
      </c>
      <c r="M51" s="130">
        <f t="shared" si="7"/>
        <v>204678.69552978265</v>
      </c>
      <c r="N51" s="8">
        <f t="shared" si="8"/>
        <v>1545174.1748157525</v>
      </c>
      <c r="O51" s="84">
        <f t="shared" si="2"/>
        <v>1340495.4792859699</v>
      </c>
    </row>
    <row r="52" spans="1:15" x14ac:dyDescent="0.2">
      <c r="A52" s="96" t="s">
        <v>67</v>
      </c>
      <c r="B52" s="81" t="str">
        <f t="shared" si="13"/>
        <v>Q3/2016</v>
      </c>
      <c r="C52" s="82">
        <f t="shared" si="9"/>
        <v>42552</v>
      </c>
      <c r="D52" s="82">
        <f t="shared" si="3"/>
        <v>42643</v>
      </c>
      <c r="E52" s="81">
        <f t="shared" si="4"/>
        <v>92</v>
      </c>
      <c r="F52" s="83">
        <f>VLOOKUP(D52,'FERC Interest Rate'!$A:$C,2,TRUE)</f>
        <v>3.5000000000000003E-2</v>
      </c>
      <c r="G52" s="84">
        <f t="shared" si="5"/>
        <v>1340495.4792859699</v>
      </c>
      <c r="H52" s="84">
        <v>0</v>
      </c>
      <c r="I52" s="109">
        <f t="shared" si="10"/>
        <v>8999.3541837098855</v>
      </c>
      <c r="J52" s="85">
        <f t="shared" si="11"/>
        <v>11793.430172953069</v>
      </c>
      <c r="K52" s="129">
        <f t="shared" si="6"/>
        <v>20792.784356662953</v>
      </c>
      <c r="L52" s="85">
        <f t="shared" si="12"/>
        <v>182500</v>
      </c>
      <c r="M52" s="130">
        <f t="shared" si="7"/>
        <v>203292.78435666295</v>
      </c>
      <c r="N52" s="8">
        <f t="shared" si="8"/>
        <v>1352288.9094589229</v>
      </c>
      <c r="O52" s="84">
        <f t="shared" si="2"/>
        <v>1148996.1251022599</v>
      </c>
    </row>
    <row r="53" spans="1:15" x14ac:dyDescent="0.2">
      <c r="A53" s="96" t="s">
        <v>68</v>
      </c>
      <c r="B53" s="81" t="str">
        <f t="shared" si="13"/>
        <v>Q4/2016</v>
      </c>
      <c r="C53" s="82">
        <f t="shared" si="9"/>
        <v>42644</v>
      </c>
      <c r="D53" s="82">
        <f t="shared" si="3"/>
        <v>42735</v>
      </c>
      <c r="E53" s="81">
        <f t="shared" si="4"/>
        <v>92</v>
      </c>
      <c r="F53" s="83">
        <f>VLOOKUP(D53,'FERC Interest Rate'!$A:$C,2,TRUE)</f>
        <v>3.5000000000000003E-2</v>
      </c>
      <c r="G53" s="84">
        <f t="shared" si="5"/>
        <v>1148996.1251022599</v>
      </c>
      <c r="H53" s="84">
        <v>0</v>
      </c>
      <c r="I53" s="109">
        <f t="shared" si="10"/>
        <v>8999.3541837098855</v>
      </c>
      <c r="J53" s="85">
        <f t="shared" si="11"/>
        <v>10108.654433959773</v>
      </c>
      <c r="K53" s="129">
        <f t="shared" si="6"/>
        <v>19108.008617669657</v>
      </c>
      <c r="L53" s="85">
        <f t="shared" si="12"/>
        <v>182500</v>
      </c>
      <c r="M53" s="130">
        <f t="shared" si="7"/>
        <v>201608.00861766966</v>
      </c>
      <c r="N53" s="8">
        <f t="shared" si="8"/>
        <v>1159104.7795362198</v>
      </c>
      <c r="O53" s="84">
        <f t="shared" si="2"/>
        <v>957496.77091855009</v>
      </c>
    </row>
    <row r="54" spans="1:15" x14ac:dyDescent="0.2">
      <c r="A54" s="96" t="s">
        <v>69</v>
      </c>
      <c r="B54" s="81" t="str">
        <f t="shared" si="13"/>
        <v>Q1/2017</v>
      </c>
      <c r="C54" s="82">
        <f t="shared" si="9"/>
        <v>42736</v>
      </c>
      <c r="D54" s="82">
        <f t="shared" si="3"/>
        <v>42825</v>
      </c>
      <c r="E54" s="81">
        <f t="shared" si="4"/>
        <v>90</v>
      </c>
      <c r="F54" s="83">
        <f>VLOOKUP(D54,'FERC Interest Rate'!$A:$C,2,TRUE)</f>
        <v>3.5000000000000003E-2</v>
      </c>
      <c r="G54" s="84">
        <f t="shared" si="5"/>
        <v>957496.77091855009</v>
      </c>
      <c r="H54" s="84">
        <v>0</v>
      </c>
      <c r="I54" s="109">
        <f t="shared" si="10"/>
        <v>8999.3541837098855</v>
      </c>
      <c r="J54" s="85">
        <f t="shared" si="11"/>
        <v>8263.3282969683096</v>
      </c>
      <c r="K54" s="129">
        <f t="shared" si="6"/>
        <v>17262.682480678195</v>
      </c>
      <c r="L54" s="85">
        <f t="shared" si="12"/>
        <v>182500</v>
      </c>
      <c r="M54" s="130">
        <f t="shared" si="7"/>
        <v>199762.6824806782</v>
      </c>
      <c r="N54" s="8">
        <f t="shared" si="8"/>
        <v>965760.09921551845</v>
      </c>
      <c r="O54" s="84">
        <f t="shared" si="2"/>
        <v>765997.41673484026</v>
      </c>
    </row>
    <row r="55" spans="1:15" x14ac:dyDescent="0.2">
      <c r="A55" s="96" t="s">
        <v>70</v>
      </c>
      <c r="B55" s="81" t="str">
        <f t="shared" si="13"/>
        <v>Q2/2017</v>
      </c>
      <c r="C55" s="82">
        <f t="shared" si="9"/>
        <v>42826</v>
      </c>
      <c r="D55" s="82">
        <f t="shared" si="3"/>
        <v>42916</v>
      </c>
      <c r="E55" s="81">
        <f t="shared" si="4"/>
        <v>91</v>
      </c>
      <c r="F55" s="83">
        <f>VLOOKUP(D55,'FERC Interest Rate'!$A:$C,2,TRUE)</f>
        <v>3.7100000000000001E-2</v>
      </c>
      <c r="G55" s="84">
        <f t="shared" si="5"/>
        <v>765997.41673484026</v>
      </c>
      <c r="H55" s="84">
        <v>0</v>
      </c>
      <c r="I55" s="109">
        <f t="shared" si="10"/>
        <v>8999.3541837098855</v>
      </c>
      <c r="J55" s="85">
        <f t="shared" si="11"/>
        <v>7085.1613113383401</v>
      </c>
      <c r="K55" s="129">
        <f t="shared" si="6"/>
        <v>16084.515495048225</v>
      </c>
      <c r="L55" s="85">
        <f t="shared" si="12"/>
        <v>182500</v>
      </c>
      <c r="M55" s="130">
        <f t="shared" si="7"/>
        <v>198584.51549504822</v>
      </c>
      <c r="N55" s="8">
        <f t="shared" si="8"/>
        <v>773082.57804617856</v>
      </c>
      <c r="O55" s="84">
        <f t="shared" si="2"/>
        <v>574498.06255113042</v>
      </c>
    </row>
    <row r="56" spans="1:15" x14ac:dyDescent="0.2">
      <c r="A56" s="96" t="s">
        <v>71</v>
      </c>
      <c r="B56" s="81" t="str">
        <f t="shared" si="13"/>
        <v>Q3/2017</v>
      </c>
      <c r="C56" s="82">
        <f t="shared" si="9"/>
        <v>42917</v>
      </c>
      <c r="D56" s="82">
        <f t="shared" si="3"/>
        <v>43008</v>
      </c>
      <c r="E56" s="81">
        <f t="shared" si="4"/>
        <v>92</v>
      </c>
      <c r="F56" s="83">
        <f>VLOOKUP(D56,'FERC Interest Rate'!$A:$C,2,TRUE)</f>
        <v>3.9600000000000003E-2</v>
      </c>
      <c r="G56" s="84">
        <f t="shared" si="5"/>
        <v>574498.06255113042</v>
      </c>
      <c r="H56" s="84">
        <v>0</v>
      </c>
      <c r="I56" s="109">
        <f t="shared" si="10"/>
        <v>8999.3541837098855</v>
      </c>
      <c r="J56" s="85">
        <f t="shared" si="11"/>
        <v>5734.2776479076128</v>
      </c>
      <c r="K56" s="129">
        <f t="shared" si="6"/>
        <v>14733.631831617498</v>
      </c>
      <c r="L56" s="85">
        <f t="shared" si="12"/>
        <v>182500</v>
      </c>
      <c r="M56" s="130">
        <f t="shared" si="7"/>
        <v>197233.6318316175</v>
      </c>
      <c r="N56" s="8">
        <f t="shared" si="8"/>
        <v>580232.34019903804</v>
      </c>
      <c r="O56" s="84">
        <f t="shared" si="2"/>
        <v>382998.70836742054</v>
      </c>
    </row>
    <row r="57" spans="1:15" x14ac:dyDescent="0.2">
      <c r="A57" s="96" t="s">
        <v>72</v>
      </c>
      <c r="B57" s="81" t="str">
        <f t="shared" si="13"/>
        <v>Q4/2017</v>
      </c>
      <c r="C57" s="82">
        <f>D56+1</f>
        <v>43009</v>
      </c>
      <c r="D57" s="82">
        <f t="shared" si="3"/>
        <v>43100</v>
      </c>
      <c r="E57" s="81">
        <f>D57-C57+1</f>
        <v>92</v>
      </c>
      <c r="F57" s="83">
        <f>VLOOKUP(D57,'FERC Interest Rate'!$A:$C,2,TRUE)</f>
        <v>4.2099999999999999E-2</v>
      </c>
      <c r="G57" s="84">
        <f t="shared" si="5"/>
        <v>382998.70836742054</v>
      </c>
      <c r="H57" s="84">
        <v>0</v>
      </c>
      <c r="I57" s="109">
        <f t="shared" si="10"/>
        <v>8999.3541837098855</v>
      </c>
      <c r="J57" s="85">
        <f t="shared" si="11"/>
        <v>4064.1934171197072</v>
      </c>
      <c r="K57" s="129">
        <f t="shared" si="6"/>
        <v>13063.547600829592</v>
      </c>
      <c r="L57" s="85">
        <f t="shared" si="12"/>
        <v>182500</v>
      </c>
      <c r="M57" s="130">
        <f t="shared" si="7"/>
        <v>195563.5476008296</v>
      </c>
      <c r="N57" s="8">
        <f t="shared" si="8"/>
        <v>387062.90178454027</v>
      </c>
      <c r="O57" s="84">
        <f t="shared" si="2"/>
        <v>191499.35418371065</v>
      </c>
    </row>
    <row r="58" spans="1:15" x14ac:dyDescent="0.2">
      <c r="A58" s="96" t="s">
        <v>73</v>
      </c>
      <c r="B58" s="81" t="str">
        <f t="shared" si="13"/>
        <v>Q1/2018</v>
      </c>
      <c r="C58" s="82">
        <f>D57+1</f>
        <v>43101</v>
      </c>
      <c r="D58" s="82">
        <f t="shared" si="3"/>
        <v>43190</v>
      </c>
      <c r="E58" s="81">
        <f>D58-C58+1</f>
        <v>90</v>
      </c>
      <c r="F58" s="83">
        <f>VLOOKUP(D58,'FERC Interest Rate'!$A:$C,2,TRUE)</f>
        <v>4.2500000000000003E-2</v>
      </c>
      <c r="G58" s="84">
        <f t="shared" si="5"/>
        <v>191499.35418371065</v>
      </c>
      <c r="H58" s="84">
        <v>0</v>
      </c>
      <c r="I58" s="109">
        <f t="shared" si="10"/>
        <v>8999.3541837098855</v>
      </c>
      <c r="J58" s="85">
        <f t="shared" si="11"/>
        <v>2006.8083006923102</v>
      </c>
      <c r="K58" s="129">
        <f t="shared" si="6"/>
        <v>11006.162484402195</v>
      </c>
      <c r="L58" s="85">
        <f t="shared" si="12"/>
        <v>182500</v>
      </c>
      <c r="M58" s="130">
        <f t="shared" si="7"/>
        <v>193506.16248440219</v>
      </c>
      <c r="N58" s="8">
        <f t="shared" si="8"/>
        <v>193506.16248440294</v>
      </c>
      <c r="O58" s="84">
        <f t="shared" si="2"/>
        <v>7.6033757068216801E-10</v>
      </c>
    </row>
    <row r="59" spans="1:15" x14ac:dyDescent="0.2">
      <c r="B59" s="11"/>
      <c r="C59" s="125"/>
      <c r="D59" s="125"/>
      <c r="E59" s="10"/>
      <c r="F59" s="11"/>
      <c r="G59" s="85"/>
      <c r="H59" s="12"/>
      <c r="I59" s="115"/>
      <c r="J59" s="85"/>
      <c r="K59" s="117"/>
      <c r="L59" s="70"/>
      <c r="M59" s="131"/>
      <c r="O59" s="85"/>
    </row>
    <row r="60" spans="1:15" ht="13.5" thickBot="1" x14ac:dyDescent="0.25">
      <c r="A60" s="151"/>
      <c r="B60" s="152"/>
      <c r="C60" s="155"/>
      <c r="D60" s="155"/>
      <c r="E60" s="154"/>
      <c r="F60" s="152"/>
      <c r="G60" s="140">
        <f>+SUM(G37:G59)</f>
        <v>48386685.195969522</v>
      </c>
      <c r="H60" s="140">
        <f t="shared" ref="H60:O60" si="14">+SUM(H37:H59)</f>
        <v>179987.08367419773</v>
      </c>
      <c r="I60" s="141">
        <f t="shared" si="14"/>
        <v>179987.08367419775</v>
      </c>
      <c r="J60" s="140">
        <f t="shared" si="14"/>
        <v>217994.88014405782</v>
      </c>
      <c r="K60" s="140">
        <f t="shared" si="14"/>
        <v>397981.96381825546</v>
      </c>
      <c r="L60" s="140">
        <f t="shared" si="14"/>
        <v>3650000</v>
      </c>
      <c r="M60" s="142">
        <f t="shared" si="14"/>
        <v>4047981.9638182558</v>
      </c>
      <c r="N60" s="140">
        <f t="shared" si="14"/>
        <v>48784667.159787759</v>
      </c>
      <c r="O60" s="140">
        <f t="shared" si="14"/>
        <v>44736685.195969522</v>
      </c>
    </row>
    <row r="61" spans="1:15" ht="14.25" thickTop="1" thickBot="1" x14ac:dyDescent="0.25">
      <c r="B61" s="11"/>
      <c r="C61" s="125"/>
      <c r="D61" s="125"/>
      <c r="E61" s="10"/>
      <c r="F61" s="11"/>
      <c r="G61" s="85"/>
      <c r="H61" s="70"/>
      <c r="I61" s="115"/>
      <c r="J61" s="85"/>
      <c r="K61" s="117"/>
      <c r="L61" s="70"/>
      <c r="M61" s="131"/>
      <c r="O61" s="117"/>
    </row>
    <row r="62" spans="1:15" x14ac:dyDescent="0.2">
      <c r="A62" s="310" t="s">
        <v>16</v>
      </c>
      <c r="B62" s="310"/>
      <c r="C62" s="310"/>
      <c r="D62" s="310"/>
      <c r="E62" s="310"/>
      <c r="F62" s="310"/>
      <c r="G62" s="85"/>
      <c r="H62" s="70"/>
      <c r="I62" s="253"/>
      <c r="J62" s="254"/>
      <c r="K62" s="128"/>
      <c r="L62" s="255"/>
      <c r="M62" s="128"/>
      <c r="O62" s="117"/>
    </row>
    <row r="63" spans="1:15" ht="51" x14ac:dyDescent="0.2">
      <c r="A63" s="106" t="s">
        <v>4</v>
      </c>
      <c r="B63" s="106" t="s">
        <v>5</v>
      </c>
      <c r="C63" s="106" t="s">
        <v>95</v>
      </c>
      <c r="D63" s="106" t="s">
        <v>96</v>
      </c>
      <c r="E63" s="106" t="s">
        <v>97</v>
      </c>
      <c r="F63" s="106" t="s">
        <v>98</v>
      </c>
      <c r="G63" s="85"/>
      <c r="H63" s="70"/>
      <c r="I63" s="12"/>
      <c r="J63" s="85"/>
      <c r="K63" s="117"/>
      <c r="L63" s="70"/>
      <c r="M63" s="117"/>
      <c r="O63" s="117"/>
    </row>
    <row r="64" spans="1:15" x14ac:dyDescent="0.2">
      <c r="A64" s="282">
        <f>$L$31</f>
        <v>41187</v>
      </c>
      <c r="B64" s="282">
        <f>DATE(YEAR(A64),IF(MONTH(A64)&lt;=3,3,IF(MONTH(A64)&lt;=6,6,IF(MONTH(A64)&lt;=9,9,12))),IF(OR(MONTH(A64)&lt;=3,MONTH(A64)&gt;=10),31,30))</f>
        <v>41274</v>
      </c>
      <c r="C64" s="286">
        <f t="shared" ref="C64:C85" si="15">I97+I129+I159+I189+I219+I248+I277+I306+I335+I363+I391+I419</f>
        <v>0</v>
      </c>
      <c r="D64" s="286">
        <f t="shared" ref="D64:D85" si="16">J97+J129+J159+J189+J219+J248+J277+J306+J335+J363+J391+J419</f>
        <v>0</v>
      </c>
      <c r="E64" s="167">
        <f t="shared" ref="E64:E85" si="17">D64+C64</f>
        <v>0</v>
      </c>
      <c r="F64" s="286">
        <f t="shared" ref="F64:F85" si="18">L97+L129+L159+L189+L219+L248+L277+L306+L335+L363+L391+L419</f>
        <v>0</v>
      </c>
      <c r="G64" s="85"/>
      <c r="H64" s="70"/>
      <c r="I64" s="12"/>
      <c r="J64" s="85"/>
      <c r="K64" s="117"/>
      <c r="L64" s="70"/>
      <c r="M64" s="117"/>
      <c r="O64" s="117"/>
    </row>
    <row r="65" spans="1:15" x14ac:dyDescent="0.2">
      <c r="A65" s="282">
        <f>B64+1</f>
        <v>41275</v>
      </c>
      <c r="B65" s="282">
        <f>EOMONTH(B64,3)</f>
        <v>41364</v>
      </c>
      <c r="C65" s="286">
        <f t="shared" si="15"/>
        <v>0</v>
      </c>
      <c r="D65" s="286">
        <f t="shared" si="16"/>
        <v>0</v>
      </c>
      <c r="E65" s="167">
        <f t="shared" si="17"/>
        <v>0</v>
      </c>
      <c r="F65" s="286">
        <f t="shared" si="18"/>
        <v>0</v>
      </c>
      <c r="G65" s="85"/>
      <c r="H65" s="70"/>
      <c r="I65" s="12"/>
      <c r="J65" s="85"/>
      <c r="K65" s="117"/>
      <c r="L65" s="70"/>
      <c r="M65" s="117"/>
      <c r="O65" s="117"/>
    </row>
    <row r="66" spans="1:15" x14ac:dyDescent="0.2">
      <c r="A66" s="282">
        <f>B65+1</f>
        <v>41365</v>
      </c>
      <c r="B66" s="282">
        <f t="shared" ref="B66:B85" si="19">EOMONTH(B65,3)</f>
        <v>41455</v>
      </c>
      <c r="C66" s="286">
        <f t="shared" si="15"/>
        <v>0</v>
      </c>
      <c r="D66" s="286">
        <f t="shared" si="16"/>
        <v>0</v>
      </c>
      <c r="E66" s="167">
        <f t="shared" si="17"/>
        <v>0</v>
      </c>
      <c r="F66" s="286">
        <f t="shared" si="18"/>
        <v>0</v>
      </c>
      <c r="G66" s="85"/>
      <c r="H66" s="70"/>
      <c r="I66" s="12"/>
      <c r="J66" s="85"/>
      <c r="K66" s="117"/>
      <c r="L66" s="70"/>
      <c r="M66" s="117"/>
      <c r="O66" s="117"/>
    </row>
    <row r="67" spans="1:15" x14ac:dyDescent="0.2">
      <c r="A67" s="282">
        <f>B66+1</f>
        <v>41456</v>
      </c>
      <c r="B67" s="282">
        <f t="shared" si="19"/>
        <v>41547</v>
      </c>
      <c r="C67" s="286">
        <f t="shared" si="15"/>
        <v>0</v>
      </c>
      <c r="D67" s="286">
        <f t="shared" si="16"/>
        <v>0</v>
      </c>
      <c r="E67" s="167">
        <f t="shared" si="17"/>
        <v>0</v>
      </c>
      <c r="F67" s="286">
        <f t="shared" si="18"/>
        <v>0</v>
      </c>
      <c r="G67" s="85"/>
      <c r="H67" s="70"/>
      <c r="I67" s="12"/>
      <c r="J67" s="85"/>
      <c r="K67" s="117"/>
      <c r="L67" s="70"/>
      <c r="M67" s="117"/>
      <c r="O67" s="117"/>
    </row>
    <row r="68" spans="1:15" x14ac:dyDescent="0.2">
      <c r="A68" s="282">
        <f>B67+1</f>
        <v>41548</v>
      </c>
      <c r="B68" s="282">
        <f t="shared" si="19"/>
        <v>41639</v>
      </c>
      <c r="C68" s="286">
        <f t="shared" si="15"/>
        <v>0</v>
      </c>
      <c r="D68" s="286">
        <f t="shared" si="16"/>
        <v>0</v>
      </c>
      <c r="E68" s="167">
        <f t="shared" si="17"/>
        <v>0</v>
      </c>
      <c r="F68" s="286">
        <f t="shared" si="18"/>
        <v>0</v>
      </c>
      <c r="G68" s="85"/>
      <c r="H68" s="70"/>
      <c r="I68" s="12"/>
      <c r="J68" s="85"/>
      <c r="K68" s="117"/>
      <c r="L68" s="70"/>
      <c r="M68" s="117"/>
      <c r="O68" s="117"/>
    </row>
    <row r="69" spans="1:15" x14ac:dyDescent="0.2">
      <c r="A69" s="82">
        <f t="shared" ref="A69:A85" si="20">B68+1</f>
        <v>41640</v>
      </c>
      <c r="B69" s="82">
        <f t="shared" si="19"/>
        <v>41729</v>
      </c>
      <c r="C69" s="85">
        <f t="shared" si="15"/>
        <v>2944.7121287408113</v>
      </c>
      <c r="D69" s="286">
        <f t="shared" si="16"/>
        <v>0</v>
      </c>
      <c r="E69" s="84">
        <f t="shared" si="17"/>
        <v>2944.7121287408113</v>
      </c>
      <c r="F69" s="85">
        <f t="shared" si="18"/>
        <v>40000</v>
      </c>
      <c r="G69" s="85"/>
      <c r="H69" s="70"/>
      <c r="I69" s="12"/>
      <c r="J69" s="85"/>
      <c r="K69" s="117"/>
      <c r="L69" s="70"/>
      <c r="M69" s="117"/>
      <c r="O69" s="117"/>
    </row>
    <row r="70" spans="1:15" x14ac:dyDescent="0.2">
      <c r="A70" s="82">
        <f t="shared" si="20"/>
        <v>41730</v>
      </c>
      <c r="B70" s="82">
        <f t="shared" si="19"/>
        <v>41820</v>
      </c>
      <c r="C70" s="85">
        <f t="shared" si="15"/>
        <v>736.17803218520282</v>
      </c>
      <c r="D70" s="85">
        <f t="shared" si="16"/>
        <v>1391.8792999534353</v>
      </c>
      <c r="E70" s="84">
        <f t="shared" si="17"/>
        <v>2128.0573321386382</v>
      </c>
      <c r="F70" s="85">
        <f t="shared" si="18"/>
        <v>10000</v>
      </c>
      <c r="G70" s="85"/>
      <c r="H70" s="70"/>
      <c r="I70" s="12"/>
      <c r="J70" s="85"/>
      <c r="K70" s="117"/>
      <c r="L70" s="70"/>
      <c r="M70" s="117"/>
      <c r="O70" s="117"/>
    </row>
    <row r="71" spans="1:15" x14ac:dyDescent="0.2">
      <c r="A71" s="82">
        <f t="shared" si="20"/>
        <v>41821</v>
      </c>
      <c r="B71" s="82">
        <f t="shared" si="19"/>
        <v>41912</v>
      </c>
      <c r="C71" s="85">
        <f t="shared" si="15"/>
        <v>736.17803218520282</v>
      </c>
      <c r="D71" s="85">
        <f t="shared" si="16"/>
        <v>1319.2262595712505</v>
      </c>
      <c r="E71" s="84">
        <f t="shared" si="17"/>
        <v>2055.4042917564534</v>
      </c>
      <c r="F71" s="85">
        <f t="shared" si="18"/>
        <v>10000</v>
      </c>
      <c r="G71" s="85"/>
      <c r="H71" s="70"/>
      <c r="I71" s="12"/>
      <c r="J71" s="85"/>
      <c r="K71" s="117"/>
      <c r="L71" s="70"/>
      <c r="M71" s="117"/>
      <c r="O71" s="117"/>
    </row>
    <row r="72" spans="1:15" x14ac:dyDescent="0.2">
      <c r="A72" s="82">
        <f t="shared" si="20"/>
        <v>41913</v>
      </c>
      <c r="B72" s="82">
        <f t="shared" si="19"/>
        <v>42004</v>
      </c>
      <c r="C72" s="85">
        <f t="shared" si="15"/>
        <v>736.17803218520282</v>
      </c>
      <c r="D72" s="85">
        <f t="shared" si="16"/>
        <v>1231.2778422665003</v>
      </c>
      <c r="E72" s="84">
        <f t="shared" si="17"/>
        <v>1967.455874451703</v>
      </c>
      <c r="F72" s="85">
        <f t="shared" si="18"/>
        <v>10000</v>
      </c>
      <c r="G72" s="85"/>
      <c r="H72" s="70"/>
      <c r="I72" s="12"/>
      <c r="J72" s="85"/>
      <c r="K72" s="117"/>
      <c r="L72" s="70"/>
      <c r="M72" s="117"/>
      <c r="O72" s="117"/>
    </row>
    <row r="73" spans="1:15" x14ac:dyDescent="0.2">
      <c r="A73" s="82">
        <f t="shared" si="20"/>
        <v>42005</v>
      </c>
      <c r="B73" s="82">
        <f t="shared" si="19"/>
        <v>42094</v>
      </c>
      <c r="C73" s="85">
        <f t="shared" si="15"/>
        <v>736.17803218520282</v>
      </c>
      <c r="D73" s="85">
        <f t="shared" si="16"/>
        <v>1118.4744374625818</v>
      </c>
      <c r="E73" s="84">
        <f t="shared" si="17"/>
        <v>1854.6524696477845</v>
      </c>
      <c r="F73" s="85">
        <f t="shared" si="18"/>
        <v>10000</v>
      </c>
      <c r="G73" s="85"/>
      <c r="H73" s="70"/>
      <c r="I73" s="12"/>
      <c r="J73" s="85"/>
      <c r="K73" s="117"/>
      <c r="L73" s="70"/>
      <c r="M73" s="117"/>
      <c r="O73" s="117"/>
    </row>
    <row r="74" spans="1:15" x14ac:dyDescent="0.2">
      <c r="A74" s="82">
        <f t="shared" si="20"/>
        <v>42095</v>
      </c>
      <c r="B74" s="82">
        <f t="shared" si="19"/>
        <v>42185</v>
      </c>
      <c r="C74" s="85">
        <f t="shared" si="15"/>
        <v>736.17803218520282</v>
      </c>
      <c r="D74" s="85">
        <f t="shared" si="16"/>
        <v>1043.9094749650765</v>
      </c>
      <c r="E74" s="84">
        <f t="shared" si="17"/>
        <v>1780.0875071502792</v>
      </c>
      <c r="F74" s="85">
        <f t="shared" si="18"/>
        <v>10000</v>
      </c>
      <c r="G74" s="85"/>
      <c r="H74" s="70"/>
      <c r="I74" s="12"/>
      <c r="J74" s="85"/>
      <c r="K74" s="117"/>
      <c r="L74" s="70"/>
      <c r="M74" s="117"/>
      <c r="O74" s="117"/>
    </row>
    <row r="75" spans="1:15" x14ac:dyDescent="0.2">
      <c r="A75" s="82">
        <f t="shared" si="20"/>
        <v>42186</v>
      </c>
      <c r="B75" s="82">
        <f t="shared" si="19"/>
        <v>42277</v>
      </c>
      <c r="C75" s="85">
        <f t="shared" si="15"/>
        <v>736.17803218520282</v>
      </c>
      <c r="D75" s="85">
        <f t="shared" si="16"/>
        <v>967.43259035225049</v>
      </c>
      <c r="E75" s="84">
        <f t="shared" si="17"/>
        <v>1703.6106225374533</v>
      </c>
      <c r="F75" s="85">
        <f t="shared" si="18"/>
        <v>10000</v>
      </c>
      <c r="G75" s="85"/>
      <c r="H75" s="70"/>
      <c r="I75" s="12"/>
      <c r="J75" s="85"/>
      <c r="K75" s="117"/>
      <c r="L75" s="70"/>
      <c r="M75" s="117"/>
      <c r="O75" s="117"/>
    </row>
    <row r="76" spans="1:15" x14ac:dyDescent="0.2">
      <c r="A76" s="82">
        <f t="shared" si="20"/>
        <v>42278</v>
      </c>
      <c r="B76" s="82">
        <f t="shared" si="19"/>
        <v>42369</v>
      </c>
      <c r="C76" s="85">
        <f t="shared" si="15"/>
        <v>736.17803218520282</v>
      </c>
      <c r="D76" s="85">
        <f t="shared" si="16"/>
        <v>879.48417304750058</v>
      </c>
      <c r="E76" s="84">
        <f t="shared" si="17"/>
        <v>1615.6622052327034</v>
      </c>
      <c r="F76" s="85">
        <f t="shared" si="18"/>
        <v>10000</v>
      </c>
      <c r="G76" s="85"/>
      <c r="H76" s="70"/>
      <c r="I76" s="12"/>
      <c r="J76" s="85"/>
      <c r="K76" s="117"/>
      <c r="L76" s="70"/>
      <c r="M76" s="117"/>
      <c r="O76" s="117"/>
    </row>
    <row r="77" spans="1:15" x14ac:dyDescent="0.2">
      <c r="A77" s="82">
        <f t="shared" si="20"/>
        <v>42370</v>
      </c>
      <c r="B77" s="82">
        <f t="shared" si="19"/>
        <v>42460</v>
      </c>
      <c r="C77" s="85">
        <f t="shared" si="15"/>
        <v>736.17803218520282</v>
      </c>
      <c r="D77" s="85">
        <f t="shared" si="16"/>
        <v>780.79294746363303</v>
      </c>
      <c r="E77" s="84">
        <f t="shared" si="17"/>
        <v>1516.970979648836</v>
      </c>
      <c r="F77" s="85">
        <f t="shared" si="18"/>
        <v>10000</v>
      </c>
      <c r="G77" s="85"/>
      <c r="H77" s="70"/>
      <c r="I77" s="12"/>
      <c r="J77" s="85"/>
      <c r="K77" s="117"/>
      <c r="L77" s="70"/>
      <c r="M77" s="117"/>
      <c r="O77" s="117"/>
    </row>
    <row r="78" spans="1:15" x14ac:dyDescent="0.2">
      <c r="A78" s="82">
        <f t="shared" si="20"/>
        <v>42461</v>
      </c>
      <c r="B78" s="82">
        <f t="shared" si="19"/>
        <v>42551</v>
      </c>
      <c r="C78" s="85">
        <f t="shared" si="15"/>
        <v>736.17803218520282</v>
      </c>
      <c r="D78" s="85">
        <f t="shared" si="16"/>
        <v>738.88371917242273</v>
      </c>
      <c r="E78" s="84">
        <f t="shared" si="17"/>
        <v>1475.0617513576256</v>
      </c>
      <c r="F78" s="85">
        <f t="shared" si="18"/>
        <v>10000</v>
      </c>
      <c r="G78" s="85"/>
      <c r="H78" s="70"/>
      <c r="I78" s="12"/>
      <c r="J78" s="85"/>
      <c r="K78" s="117"/>
      <c r="L78" s="70"/>
      <c r="M78" s="117"/>
      <c r="O78" s="117"/>
    </row>
    <row r="79" spans="1:15" x14ac:dyDescent="0.2">
      <c r="A79" s="82">
        <f t="shared" si="20"/>
        <v>42552</v>
      </c>
      <c r="B79" s="82">
        <f t="shared" si="19"/>
        <v>42643</v>
      </c>
      <c r="C79" s="85">
        <f t="shared" si="15"/>
        <v>736.17803218520282</v>
      </c>
      <c r="D79" s="85">
        <f t="shared" si="16"/>
        <v>661.18429739195244</v>
      </c>
      <c r="E79" s="84">
        <f t="shared" si="17"/>
        <v>1397.3623295771554</v>
      </c>
      <c r="F79" s="85">
        <f t="shared" si="18"/>
        <v>10000</v>
      </c>
      <c r="G79" s="85"/>
      <c r="H79" s="70"/>
      <c r="I79" s="12"/>
      <c r="J79" s="85"/>
      <c r="K79" s="117"/>
      <c r="L79" s="70"/>
      <c r="M79" s="117"/>
      <c r="O79" s="117"/>
    </row>
    <row r="80" spans="1:15" x14ac:dyDescent="0.2">
      <c r="A80" s="82">
        <f t="shared" si="20"/>
        <v>42644</v>
      </c>
      <c r="B80" s="82">
        <f t="shared" si="19"/>
        <v>42735</v>
      </c>
      <c r="C80" s="85">
        <f t="shared" si="15"/>
        <v>736.17803218520282</v>
      </c>
      <c r="D80" s="85">
        <f t="shared" si="16"/>
        <v>566.72939776453075</v>
      </c>
      <c r="E80" s="84">
        <f t="shared" si="17"/>
        <v>1302.9074299497336</v>
      </c>
      <c r="F80" s="85">
        <f t="shared" si="18"/>
        <v>10000</v>
      </c>
      <c r="G80" s="85"/>
      <c r="H80" s="70"/>
      <c r="I80" s="12"/>
      <c r="J80" s="85"/>
      <c r="K80" s="117"/>
      <c r="L80" s="70"/>
      <c r="M80" s="117"/>
      <c r="O80" s="117"/>
    </row>
    <row r="81" spans="1:15" x14ac:dyDescent="0.2">
      <c r="A81" s="82">
        <f t="shared" si="20"/>
        <v>42736</v>
      </c>
      <c r="B81" s="82">
        <f t="shared" si="19"/>
        <v>42825</v>
      </c>
      <c r="C81" s="85">
        <f t="shared" si="15"/>
        <v>736.17803218520282</v>
      </c>
      <c r="D81" s="85">
        <f t="shared" si="16"/>
        <v>463.27343563538909</v>
      </c>
      <c r="E81" s="84">
        <f t="shared" si="17"/>
        <v>1199.4514678205919</v>
      </c>
      <c r="F81" s="85">
        <f t="shared" si="18"/>
        <v>10000</v>
      </c>
      <c r="G81" s="85"/>
      <c r="H81" s="70"/>
      <c r="I81" s="12"/>
      <c r="J81" s="85"/>
      <c r="K81" s="117"/>
      <c r="L81" s="70"/>
      <c r="M81" s="117"/>
      <c r="O81" s="117"/>
    </row>
    <row r="82" spans="1:15" x14ac:dyDescent="0.2">
      <c r="A82" s="82">
        <f t="shared" si="20"/>
        <v>42826</v>
      </c>
      <c r="B82" s="82">
        <f t="shared" si="19"/>
        <v>42916</v>
      </c>
      <c r="C82" s="85">
        <f t="shared" si="15"/>
        <v>736.17803218520282</v>
      </c>
      <c r="D82" s="85">
        <f t="shared" si="16"/>
        <v>397.22093867901907</v>
      </c>
      <c r="E82" s="84">
        <f t="shared" si="17"/>
        <v>1133.3989708642218</v>
      </c>
      <c r="F82" s="85">
        <f t="shared" si="18"/>
        <v>10000</v>
      </c>
      <c r="G82" s="85"/>
      <c r="H82" s="70"/>
      <c r="I82" s="12"/>
      <c r="J82" s="85"/>
      <c r="K82" s="117"/>
      <c r="L82" s="70"/>
      <c r="M82" s="117"/>
      <c r="O82" s="117"/>
    </row>
    <row r="83" spans="1:15" x14ac:dyDescent="0.2">
      <c r="A83" s="82">
        <f t="shared" si="20"/>
        <v>42917</v>
      </c>
      <c r="B83" s="82">
        <f t="shared" si="19"/>
        <v>43008</v>
      </c>
      <c r="C83" s="85">
        <f t="shared" si="15"/>
        <v>736.17803218520282</v>
      </c>
      <c r="D83" s="85">
        <f t="shared" si="16"/>
        <v>321.48529156320961</v>
      </c>
      <c r="E83" s="84">
        <f t="shared" si="17"/>
        <v>1057.6633237484125</v>
      </c>
      <c r="F83" s="85">
        <f t="shared" si="18"/>
        <v>10000</v>
      </c>
      <c r="G83" s="85"/>
      <c r="H83" s="70"/>
      <c r="I83" s="12"/>
      <c r="J83" s="85"/>
      <c r="K83" s="117"/>
      <c r="L83" s="70"/>
      <c r="M83" s="117"/>
      <c r="O83" s="117"/>
    </row>
    <row r="84" spans="1:15" x14ac:dyDescent="0.2">
      <c r="A84" s="82">
        <f t="shared" si="20"/>
        <v>43009</v>
      </c>
      <c r="B84" s="82">
        <f t="shared" si="19"/>
        <v>43100</v>
      </c>
      <c r="C84" s="85">
        <f t="shared" si="15"/>
        <v>736.17803218520282</v>
      </c>
      <c r="D84" s="85">
        <f t="shared" si="16"/>
        <v>227.85405344799878</v>
      </c>
      <c r="E84" s="84">
        <f t="shared" si="17"/>
        <v>964.03208563320163</v>
      </c>
      <c r="F84" s="85">
        <f t="shared" si="18"/>
        <v>10000</v>
      </c>
      <c r="G84" s="85"/>
      <c r="H84" s="70"/>
      <c r="I84" s="12"/>
      <c r="J84" s="85"/>
      <c r="K84" s="117"/>
      <c r="L84" s="70"/>
      <c r="M84" s="117"/>
      <c r="O84" s="117"/>
    </row>
    <row r="85" spans="1:15" x14ac:dyDescent="0.2">
      <c r="A85" s="82">
        <f t="shared" si="20"/>
        <v>43101</v>
      </c>
      <c r="B85" s="82">
        <f t="shared" si="19"/>
        <v>43190</v>
      </c>
      <c r="C85" s="85">
        <f t="shared" si="15"/>
        <v>736.17803218520282</v>
      </c>
      <c r="D85" s="85">
        <f t="shared" si="16"/>
        <v>112.50926294002329</v>
      </c>
      <c r="E85" s="84">
        <f t="shared" si="17"/>
        <v>848.68729512522611</v>
      </c>
      <c r="F85" s="85">
        <f t="shared" si="18"/>
        <v>10000</v>
      </c>
      <c r="G85" s="85"/>
      <c r="H85" s="70"/>
      <c r="I85" s="12"/>
      <c r="J85" s="85"/>
      <c r="K85" s="117"/>
      <c r="L85" s="70"/>
      <c r="M85" s="117"/>
      <c r="O85" s="117"/>
    </row>
    <row r="86" spans="1:15" x14ac:dyDescent="0.2">
      <c r="A86" s="125"/>
      <c r="B86" s="125"/>
      <c r="C86" s="85"/>
      <c r="E86" s="12"/>
      <c r="F86" s="85"/>
      <c r="G86" s="85"/>
      <c r="H86" s="70"/>
      <c r="I86" s="12"/>
      <c r="J86" s="85"/>
      <c r="K86" s="117"/>
      <c r="L86" s="70"/>
      <c r="M86" s="117"/>
      <c r="O86" s="117"/>
    </row>
    <row r="87" spans="1:15" ht="13.5" thickBot="1" x14ac:dyDescent="0.25">
      <c r="A87" s="140"/>
      <c r="B87" s="140"/>
      <c r="C87" s="140">
        <f>+SUM(C64:C86)</f>
        <v>14723.56064370405</v>
      </c>
      <c r="D87" s="140">
        <f>+SUM(D64:D86)</f>
        <v>12221.617421676772</v>
      </c>
      <c r="E87" s="140">
        <f>+SUM(E64:E86)</f>
        <v>26945.178065380831</v>
      </c>
      <c r="F87" s="140">
        <f>+SUM(F86:F86)</f>
        <v>0</v>
      </c>
      <c r="G87" s="85"/>
      <c r="H87" s="70"/>
      <c r="I87" s="12"/>
      <c r="J87" s="85"/>
      <c r="K87" s="117"/>
      <c r="L87" s="70"/>
      <c r="M87" s="117"/>
      <c r="O87" s="117"/>
    </row>
    <row r="88" spans="1:15" ht="13.5" thickTop="1" x14ac:dyDescent="0.2">
      <c r="G88" s="85"/>
      <c r="H88" s="70"/>
      <c r="I88" s="12"/>
      <c r="J88" s="85"/>
      <c r="K88" s="117"/>
      <c r="L88" s="70"/>
      <c r="M88" s="117"/>
      <c r="O88" s="117"/>
    </row>
    <row r="89" spans="1:15" ht="13.5" thickBot="1" x14ac:dyDescent="0.25">
      <c r="B89" s="11"/>
      <c r="C89" s="125"/>
      <c r="D89" s="125"/>
      <c r="E89" s="10"/>
      <c r="F89" s="11"/>
      <c r="G89" s="85"/>
      <c r="H89" s="70"/>
      <c r="I89" s="256"/>
      <c r="J89" s="169"/>
      <c r="K89" s="122"/>
      <c r="L89" s="148"/>
      <c r="M89" s="122"/>
      <c r="O89" s="117"/>
    </row>
    <row r="90" spans="1:15" x14ac:dyDescent="0.2">
      <c r="B90" s="11"/>
      <c r="C90" s="125"/>
      <c r="D90" s="125"/>
      <c r="E90" s="10"/>
      <c r="F90" s="11"/>
      <c r="G90" s="85"/>
      <c r="H90" s="70"/>
      <c r="I90" s="115"/>
      <c r="J90" s="85"/>
      <c r="K90" s="117"/>
      <c r="L90" s="70"/>
      <c r="M90" s="131"/>
      <c r="O90" s="117"/>
    </row>
    <row r="91" spans="1:15" ht="38.25" x14ac:dyDescent="0.2">
      <c r="A91" s="90" t="s">
        <v>53</v>
      </c>
      <c r="B91" s="90" t="s">
        <v>3</v>
      </c>
      <c r="C91" s="90" t="s">
        <v>4</v>
      </c>
      <c r="D91" s="90" t="s">
        <v>5</v>
      </c>
      <c r="E91" s="90" t="s">
        <v>6</v>
      </c>
      <c r="F91" s="90" t="s">
        <v>7</v>
      </c>
      <c r="G91" s="90" t="s">
        <v>93</v>
      </c>
      <c r="H91" s="90" t="s">
        <v>94</v>
      </c>
      <c r="I91" s="105" t="s">
        <v>95</v>
      </c>
      <c r="J91" s="106" t="s">
        <v>96</v>
      </c>
      <c r="K91" s="106" t="s">
        <v>97</v>
      </c>
      <c r="L91" s="106" t="s">
        <v>98</v>
      </c>
      <c r="M91" s="107" t="s">
        <v>99</v>
      </c>
      <c r="N91" s="90" t="s">
        <v>100</v>
      </c>
      <c r="O91" s="90" t="s">
        <v>101</v>
      </c>
    </row>
    <row r="92" spans="1:15" x14ac:dyDescent="0.2">
      <c r="A92" s="275" t="s">
        <v>15</v>
      </c>
      <c r="B92" s="275"/>
      <c r="C92" s="282">
        <f>VLOOKUP(B93,A$1:F$33,2,FALSE)</f>
        <v>40786</v>
      </c>
      <c r="D92" s="282">
        <f>DATE(YEAR(C92),IF(MONTH(C92)&lt;=3,3,IF(MONTH(C92)&lt;=6,6,IF(MONTH(C92)&lt;=9,9,12))),IF(OR(MONTH(C92)&lt;=3,MONTH(C92)&gt;=10),31,30))</f>
        <v>40816</v>
      </c>
      <c r="E92" s="283">
        <f>D92-C92+1</f>
        <v>31</v>
      </c>
      <c r="F92" s="284">
        <f>VLOOKUP(D92,'FERC Interest Rate'!$A:$B,2,TRUE)</f>
        <v>3.2500000000000001E-2</v>
      </c>
      <c r="G92" s="167">
        <f>VLOOKUP(B93,$A$1:$F$33,5,FALSE)</f>
        <v>10000</v>
      </c>
      <c r="H92" s="167">
        <f t="shared" ref="H92:H102" si="21">G92*F92*(E92/(DATE(YEAR(D92),12,31)-DATE(YEAR(D92),1,1)+1))</f>
        <v>27.602739726027398</v>
      </c>
      <c r="I92" s="291">
        <v>0</v>
      </c>
      <c r="J92" s="286">
        <v>0</v>
      </c>
      <c r="K92" s="286">
        <f t="shared" ref="K92:K118" si="22">+SUM(I92:J92)</f>
        <v>0</v>
      </c>
      <c r="L92" s="286">
        <v>0</v>
      </c>
      <c r="M92" s="287">
        <f t="shared" ref="M92:M118" si="23">+SUM(K92:L92)</f>
        <v>0</v>
      </c>
      <c r="N92" s="286">
        <f t="shared" ref="N92:N118" si="24">+G92+H92+J92</f>
        <v>10027.602739726028</v>
      </c>
      <c r="O92" s="167">
        <f t="shared" ref="O92:O118" si="25">G92+H92-L92-I92</f>
        <v>10027.602739726028</v>
      </c>
    </row>
    <row r="93" spans="1:15" x14ac:dyDescent="0.2">
      <c r="A93" s="275" t="s">
        <v>38</v>
      </c>
      <c r="B93" s="276" t="s">
        <v>69</v>
      </c>
      <c r="C93" s="282">
        <f>D92+1</f>
        <v>40817</v>
      </c>
      <c r="D93" s="282">
        <f>EOMONTH(D92,3)</f>
        <v>40908</v>
      </c>
      <c r="E93" s="283">
        <f t="shared" ref="E93:E116" si="26">D93-C93+1</f>
        <v>92</v>
      </c>
      <c r="F93" s="284">
        <f>VLOOKUP(D93,'FERC Interest Rate'!$A:$B,2,TRUE)</f>
        <v>3.2500000000000001E-2</v>
      </c>
      <c r="G93" s="167">
        <f t="shared" ref="G93:G118" si="27">O92</f>
        <v>10027.602739726028</v>
      </c>
      <c r="H93" s="167">
        <f t="shared" si="21"/>
        <v>82.143923813098155</v>
      </c>
      <c r="I93" s="291">
        <v>0</v>
      </c>
      <c r="J93" s="286">
        <v>0</v>
      </c>
      <c r="K93" s="286">
        <f t="shared" si="22"/>
        <v>0</v>
      </c>
      <c r="L93" s="286">
        <v>0</v>
      </c>
      <c r="M93" s="287">
        <f t="shared" si="23"/>
        <v>0</v>
      </c>
      <c r="N93" s="286">
        <f t="shared" si="24"/>
        <v>10109.746663539127</v>
      </c>
      <c r="O93" s="167">
        <f t="shared" si="25"/>
        <v>10109.746663539127</v>
      </c>
    </row>
    <row r="94" spans="1:15" x14ac:dyDescent="0.2">
      <c r="A94" s="292"/>
      <c r="B94" s="283"/>
      <c r="C94" s="282">
        <f t="shared" ref="C94:C116" si="28">D93+1</f>
        <v>40909</v>
      </c>
      <c r="D94" s="282">
        <f t="shared" ref="D94:D118" si="29">EOMONTH(D93,3)</f>
        <v>40999</v>
      </c>
      <c r="E94" s="283">
        <f t="shared" si="26"/>
        <v>91</v>
      </c>
      <c r="F94" s="284">
        <f>VLOOKUP(D94,'FERC Interest Rate'!$A:$B,2,TRUE)</f>
        <v>3.2500000000000001E-2</v>
      </c>
      <c r="G94" s="167">
        <f t="shared" si="27"/>
        <v>10109.746663539127</v>
      </c>
      <c r="H94" s="167">
        <f t="shared" si="21"/>
        <v>81.69282993829772</v>
      </c>
      <c r="I94" s="291">
        <v>0</v>
      </c>
      <c r="J94" s="286">
        <v>0</v>
      </c>
      <c r="K94" s="286">
        <f t="shared" si="22"/>
        <v>0</v>
      </c>
      <c r="L94" s="286">
        <v>0</v>
      </c>
      <c r="M94" s="287">
        <f t="shared" si="23"/>
        <v>0</v>
      </c>
      <c r="N94" s="286">
        <f t="shared" si="24"/>
        <v>10191.439493477425</v>
      </c>
      <c r="O94" s="167">
        <f t="shared" si="25"/>
        <v>10191.439493477425</v>
      </c>
    </row>
    <row r="95" spans="1:15" x14ac:dyDescent="0.2">
      <c r="A95" s="292"/>
      <c r="B95" s="283"/>
      <c r="C95" s="282">
        <f t="shared" si="28"/>
        <v>41000</v>
      </c>
      <c r="D95" s="282">
        <f t="shared" si="29"/>
        <v>41090</v>
      </c>
      <c r="E95" s="283">
        <f t="shared" si="26"/>
        <v>91</v>
      </c>
      <c r="F95" s="284">
        <f>VLOOKUP(D95,'FERC Interest Rate'!$A:$B,2,TRUE)</f>
        <v>3.2500000000000001E-2</v>
      </c>
      <c r="G95" s="167">
        <f t="shared" si="27"/>
        <v>10191.439493477425</v>
      </c>
      <c r="H95" s="167">
        <f t="shared" si="21"/>
        <v>82.352957109178917</v>
      </c>
      <c r="I95" s="291">
        <v>0</v>
      </c>
      <c r="J95" s="286">
        <v>0</v>
      </c>
      <c r="K95" s="286">
        <f t="shared" si="22"/>
        <v>0</v>
      </c>
      <c r="L95" s="286">
        <v>0</v>
      </c>
      <c r="M95" s="287">
        <f t="shared" si="23"/>
        <v>0</v>
      </c>
      <c r="N95" s="286">
        <f t="shared" si="24"/>
        <v>10273.792450586603</v>
      </c>
      <c r="O95" s="167">
        <f t="shared" si="25"/>
        <v>10273.792450586603</v>
      </c>
    </row>
    <row r="96" spans="1:15" x14ac:dyDescent="0.2">
      <c r="A96" s="292"/>
      <c r="B96" s="283"/>
      <c r="C96" s="282">
        <f t="shared" si="28"/>
        <v>41091</v>
      </c>
      <c r="D96" s="282">
        <f t="shared" si="29"/>
        <v>41182</v>
      </c>
      <c r="E96" s="283">
        <f t="shared" si="26"/>
        <v>92</v>
      </c>
      <c r="F96" s="284">
        <f>VLOOKUP(D96,'FERC Interest Rate'!$A:$B,2,TRUE)</f>
        <v>3.2500000000000001E-2</v>
      </c>
      <c r="G96" s="167">
        <f t="shared" si="27"/>
        <v>10273.792450586603</v>
      </c>
      <c r="H96" s="167">
        <f t="shared" si="21"/>
        <v>83.930708817633729</v>
      </c>
      <c r="I96" s="291">
        <v>0</v>
      </c>
      <c r="J96" s="286">
        <v>0</v>
      </c>
      <c r="K96" s="286">
        <f t="shared" si="22"/>
        <v>0</v>
      </c>
      <c r="L96" s="286">
        <v>0</v>
      </c>
      <c r="M96" s="287">
        <f t="shared" si="23"/>
        <v>0</v>
      </c>
      <c r="N96" s="286">
        <f t="shared" si="24"/>
        <v>10357.723159404237</v>
      </c>
      <c r="O96" s="167">
        <f t="shared" si="25"/>
        <v>10357.723159404237</v>
      </c>
    </row>
    <row r="97" spans="1:15" x14ac:dyDescent="0.2">
      <c r="A97" s="292"/>
      <c r="B97" s="283"/>
      <c r="C97" s="282">
        <f t="shared" si="28"/>
        <v>41183</v>
      </c>
      <c r="D97" s="282">
        <f t="shared" si="29"/>
        <v>41274</v>
      </c>
      <c r="E97" s="283">
        <f t="shared" si="26"/>
        <v>92</v>
      </c>
      <c r="F97" s="284">
        <f>VLOOKUP(D97,'FERC Interest Rate'!$A:$B,2,TRUE)</f>
        <v>3.2500000000000001E-2</v>
      </c>
      <c r="G97" s="167">
        <f t="shared" si="27"/>
        <v>10357.723159404237</v>
      </c>
      <c r="H97" s="167">
        <f t="shared" si="21"/>
        <v>84.616372258520954</v>
      </c>
      <c r="I97" s="291">
        <v>0</v>
      </c>
      <c r="J97" s="286">
        <v>0</v>
      </c>
      <c r="K97" s="286">
        <f t="shared" si="22"/>
        <v>0</v>
      </c>
      <c r="L97" s="286">
        <v>0</v>
      </c>
      <c r="M97" s="287">
        <f t="shared" si="23"/>
        <v>0</v>
      </c>
      <c r="N97" s="286">
        <f t="shared" si="24"/>
        <v>10442.339531662758</v>
      </c>
      <c r="O97" s="167">
        <f t="shared" si="25"/>
        <v>10442.339531662758</v>
      </c>
    </row>
    <row r="98" spans="1:15" x14ac:dyDescent="0.2">
      <c r="A98" s="292"/>
      <c r="B98" s="283"/>
      <c r="C98" s="282">
        <f t="shared" si="28"/>
        <v>41275</v>
      </c>
      <c r="D98" s="282">
        <f t="shared" si="29"/>
        <v>41364</v>
      </c>
      <c r="E98" s="283">
        <f t="shared" si="26"/>
        <v>90</v>
      </c>
      <c r="F98" s="284">
        <f>VLOOKUP(D98,'FERC Interest Rate'!$A:$B,2,TRUE)</f>
        <v>3.2500000000000001E-2</v>
      </c>
      <c r="G98" s="167">
        <f t="shared" si="27"/>
        <v>10442.339531662758</v>
      </c>
      <c r="H98" s="167">
        <f t="shared" si="21"/>
        <v>83.681762000311139</v>
      </c>
      <c r="I98" s="291">
        <v>0</v>
      </c>
      <c r="J98" s="286">
        <v>0</v>
      </c>
      <c r="K98" s="286">
        <f t="shared" si="22"/>
        <v>0</v>
      </c>
      <c r="L98" s="286">
        <v>0</v>
      </c>
      <c r="M98" s="287">
        <f t="shared" si="23"/>
        <v>0</v>
      </c>
      <c r="N98" s="286">
        <f t="shared" si="24"/>
        <v>10526.021293663069</v>
      </c>
      <c r="O98" s="167">
        <f t="shared" si="25"/>
        <v>10526.021293663069</v>
      </c>
    </row>
    <row r="99" spans="1:15" x14ac:dyDescent="0.2">
      <c r="A99" s="292"/>
      <c r="B99" s="283"/>
      <c r="C99" s="282">
        <f>D98+1</f>
        <v>41365</v>
      </c>
      <c r="D99" s="282">
        <f t="shared" si="29"/>
        <v>41455</v>
      </c>
      <c r="E99" s="283">
        <f>D99-C99+1</f>
        <v>91</v>
      </c>
      <c r="F99" s="284">
        <f>VLOOKUP(D99,'FERC Interest Rate'!$A:$B,2,TRUE)</f>
        <v>3.2500000000000001E-2</v>
      </c>
      <c r="G99" s="167">
        <f t="shared" si="27"/>
        <v>10526.021293663069</v>
      </c>
      <c r="H99" s="167">
        <f t="shared" si="21"/>
        <v>85.289610893174057</v>
      </c>
      <c r="I99" s="291">
        <v>0</v>
      </c>
      <c r="J99" s="286">
        <v>0</v>
      </c>
      <c r="K99" s="286">
        <f t="shared" si="22"/>
        <v>0</v>
      </c>
      <c r="L99" s="286">
        <v>0</v>
      </c>
      <c r="M99" s="287">
        <f t="shared" si="23"/>
        <v>0</v>
      </c>
      <c r="N99" s="286">
        <f t="shared" si="24"/>
        <v>10611.310904556243</v>
      </c>
      <c r="O99" s="167">
        <f t="shared" si="25"/>
        <v>10611.310904556243</v>
      </c>
    </row>
    <row r="100" spans="1:15" x14ac:dyDescent="0.2">
      <c r="A100" s="292"/>
      <c r="B100" s="283"/>
      <c r="C100" s="282">
        <f>D99+1</f>
        <v>41456</v>
      </c>
      <c r="D100" s="282">
        <f t="shared" si="29"/>
        <v>41547</v>
      </c>
      <c r="E100" s="283">
        <f>D100-C100+1</f>
        <v>92</v>
      </c>
      <c r="F100" s="284">
        <f>VLOOKUP(D100,'FERC Interest Rate'!$A:$B,2,TRUE)</f>
        <v>3.2500000000000001E-2</v>
      </c>
      <c r="G100" s="167">
        <f t="shared" si="27"/>
        <v>10611.310904556243</v>
      </c>
      <c r="H100" s="167">
        <f t="shared" si="21"/>
        <v>86.925533163351147</v>
      </c>
      <c r="I100" s="291">
        <v>0</v>
      </c>
      <c r="J100" s="286">
        <v>0</v>
      </c>
      <c r="K100" s="286">
        <f t="shared" si="22"/>
        <v>0</v>
      </c>
      <c r="L100" s="286">
        <v>0</v>
      </c>
      <c r="M100" s="287">
        <f t="shared" si="23"/>
        <v>0</v>
      </c>
      <c r="N100" s="286">
        <f t="shared" si="24"/>
        <v>10698.236437719594</v>
      </c>
      <c r="O100" s="167">
        <f t="shared" si="25"/>
        <v>10698.236437719594</v>
      </c>
    </row>
    <row r="101" spans="1:15" x14ac:dyDescent="0.2">
      <c r="A101" s="292"/>
      <c r="B101" s="283"/>
      <c r="C101" s="282">
        <f>D100+1</f>
        <v>41548</v>
      </c>
      <c r="D101" s="282">
        <f t="shared" si="29"/>
        <v>41639</v>
      </c>
      <c r="E101" s="283">
        <f>D101-C101+1</f>
        <v>92</v>
      </c>
      <c r="F101" s="284">
        <f>VLOOKUP(D101,'FERC Interest Rate'!$A:$B,2,TRUE)</f>
        <v>3.2500000000000001E-2</v>
      </c>
      <c r="G101" s="167">
        <f t="shared" si="27"/>
        <v>10698.236437719594</v>
      </c>
      <c r="H101" s="167">
        <f t="shared" si="21"/>
        <v>87.637608078853674</v>
      </c>
      <c r="I101" s="291">
        <v>0</v>
      </c>
      <c r="J101" s="286">
        <v>0</v>
      </c>
      <c r="K101" s="286">
        <f t="shared" si="22"/>
        <v>0</v>
      </c>
      <c r="L101" s="286">
        <v>0</v>
      </c>
      <c r="M101" s="287">
        <f t="shared" si="23"/>
        <v>0</v>
      </c>
      <c r="N101" s="286">
        <f t="shared" si="24"/>
        <v>10785.874045798448</v>
      </c>
      <c r="O101" s="167">
        <f t="shared" si="25"/>
        <v>10785.874045798448</v>
      </c>
    </row>
    <row r="102" spans="1:15" x14ac:dyDescent="0.2">
      <c r="A102" s="96" t="s">
        <v>54</v>
      </c>
      <c r="B102" s="81" t="str">
        <f>+IF(MONTH(C102)&lt;4,"Q1",IF(MONTH(C102)&lt;7,"Q2",IF(MONTH(C102)&lt;10,"Q3","Q4")))&amp;"/"&amp;YEAR(C102)</f>
        <v>Q1/2014</v>
      </c>
      <c r="C102" s="82">
        <f>D101+1</f>
        <v>41640</v>
      </c>
      <c r="D102" s="82">
        <f t="shared" si="29"/>
        <v>41729</v>
      </c>
      <c r="E102" s="81">
        <f>D102-C102+1</f>
        <v>90</v>
      </c>
      <c r="F102" s="83">
        <f>VLOOKUP(D102,'FERC Interest Rate'!$A:$B,2,TRUE)</f>
        <v>3.2500000000000001E-2</v>
      </c>
      <c r="G102" s="84">
        <f t="shared" si="27"/>
        <v>10785.874045798448</v>
      </c>
      <c r="H102" s="167">
        <f t="shared" si="21"/>
        <v>86.434744065645091</v>
      </c>
      <c r="I102" s="109">
        <f>(SUM($H$92:$H$118)/20)*4</f>
        <v>174.46175797281836</v>
      </c>
      <c r="J102" s="85">
        <v>0</v>
      </c>
      <c r="K102" s="85">
        <f t="shared" si="22"/>
        <v>174.46175797281836</v>
      </c>
      <c r="L102" s="85">
        <f>($G$92/20)*4</f>
        <v>2000</v>
      </c>
      <c r="M102" s="110">
        <f t="shared" si="23"/>
        <v>2174.4617579728183</v>
      </c>
      <c r="N102" s="85">
        <f t="shared" si="24"/>
        <v>10872.308789864093</v>
      </c>
      <c r="O102" s="84">
        <f t="shared" si="25"/>
        <v>8697.847031891275</v>
      </c>
    </row>
    <row r="103" spans="1:15" x14ac:dyDescent="0.2">
      <c r="A103" s="96" t="s">
        <v>55</v>
      </c>
      <c r="B103" s="81" t="str">
        <f>+IF(MONTH(C103)&lt;4,"Q1",IF(MONTH(C103)&lt;7,"Q2",IF(MONTH(C103)&lt;10,"Q3","Q4")))&amp;"/"&amp;YEAR(C103)</f>
        <v>Q2/2014</v>
      </c>
      <c r="C103" s="82">
        <f t="shared" si="28"/>
        <v>41730</v>
      </c>
      <c r="D103" s="82">
        <f t="shared" si="29"/>
        <v>41820</v>
      </c>
      <c r="E103" s="81">
        <f t="shared" si="26"/>
        <v>91</v>
      </c>
      <c r="F103" s="83">
        <f>VLOOKUP(D103,'FERC Interest Rate'!$A:$B,2,TRUE)</f>
        <v>3.2500000000000001E-2</v>
      </c>
      <c r="G103" s="84">
        <f t="shared" si="27"/>
        <v>8697.847031891275</v>
      </c>
      <c r="H103" s="84">
        <v>0</v>
      </c>
      <c r="I103" s="109">
        <f t="shared" ref="I103:I118" si="30">SUM($H$92:$H$118)/20</f>
        <v>43.61543949320459</v>
      </c>
      <c r="J103" s="85">
        <f t="shared" ref="J103:J118" si="31">G103*F103*(E103/(DATE(YEAR(D103),12,31)-DATE(YEAR(D103),1,1)+1))</f>
        <v>70.476390676214933</v>
      </c>
      <c r="K103" s="129">
        <f t="shared" si="22"/>
        <v>114.09183016941952</v>
      </c>
      <c r="L103" s="85">
        <f t="shared" ref="L103:L118" si="32">$G$92/20</f>
        <v>500</v>
      </c>
      <c r="M103" s="130">
        <f t="shared" si="23"/>
        <v>614.0918301694195</v>
      </c>
      <c r="N103" s="8">
        <f t="shared" si="24"/>
        <v>8768.3234225674896</v>
      </c>
      <c r="O103" s="84">
        <f t="shared" si="25"/>
        <v>8154.2315923980705</v>
      </c>
    </row>
    <row r="104" spans="1:15" x14ac:dyDescent="0.2">
      <c r="A104" s="96" t="s">
        <v>56</v>
      </c>
      <c r="B104" s="81" t="str">
        <f t="shared" ref="B104:B118" si="33">+IF(MONTH(C104)&lt;4,"Q1",IF(MONTH(C104)&lt;7,"Q2",IF(MONTH(C104)&lt;10,"Q3","Q4")))&amp;"/"&amp;YEAR(C104)</f>
        <v>Q3/2014</v>
      </c>
      <c r="C104" s="82">
        <f t="shared" si="28"/>
        <v>41821</v>
      </c>
      <c r="D104" s="82">
        <f t="shared" si="29"/>
        <v>41912</v>
      </c>
      <c r="E104" s="81">
        <f t="shared" si="26"/>
        <v>92</v>
      </c>
      <c r="F104" s="83">
        <f>VLOOKUP(D104,'FERC Interest Rate'!$A:$B,2,TRUE)</f>
        <v>3.2500000000000001E-2</v>
      </c>
      <c r="G104" s="84">
        <f t="shared" si="27"/>
        <v>8154.2315923980705</v>
      </c>
      <c r="H104" s="84">
        <v>0</v>
      </c>
      <c r="I104" s="109">
        <f t="shared" si="30"/>
        <v>43.61543949320459</v>
      </c>
      <c r="J104" s="85">
        <f t="shared" si="31"/>
        <v>66.797677976082824</v>
      </c>
      <c r="K104" s="129">
        <f t="shared" si="22"/>
        <v>110.41311746928741</v>
      </c>
      <c r="L104" s="85">
        <f t="shared" si="32"/>
        <v>500</v>
      </c>
      <c r="M104" s="130">
        <f t="shared" si="23"/>
        <v>610.41311746928739</v>
      </c>
      <c r="N104" s="8">
        <f t="shared" si="24"/>
        <v>8221.0292703741525</v>
      </c>
      <c r="O104" s="84">
        <f t="shared" si="25"/>
        <v>7610.6161529048659</v>
      </c>
    </row>
    <row r="105" spans="1:15" x14ac:dyDescent="0.2">
      <c r="A105" s="96" t="s">
        <v>57</v>
      </c>
      <c r="B105" s="81" t="str">
        <f t="shared" si="33"/>
        <v>Q4/2014</v>
      </c>
      <c r="C105" s="82">
        <f t="shared" si="28"/>
        <v>41913</v>
      </c>
      <c r="D105" s="82">
        <f t="shared" si="29"/>
        <v>42004</v>
      </c>
      <c r="E105" s="81">
        <f t="shared" si="26"/>
        <v>92</v>
      </c>
      <c r="F105" s="83">
        <f>VLOOKUP(D105,'FERC Interest Rate'!$A:$B,2,TRUE)</f>
        <v>3.2500000000000001E-2</v>
      </c>
      <c r="G105" s="84">
        <f t="shared" si="27"/>
        <v>7610.6161529048659</v>
      </c>
      <c r="H105" s="84">
        <v>0</v>
      </c>
      <c r="I105" s="109">
        <f t="shared" si="30"/>
        <v>43.61543949320459</v>
      </c>
      <c r="J105" s="85">
        <f t="shared" si="31"/>
        <v>62.344499444343974</v>
      </c>
      <c r="K105" s="129">
        <f t="shared" si="22"/>
        <v>105.95993893754857</v>
      </c>
      <c r="L105" s="85">
        <f t="shared" si="32"/>
        <v>500</v>
      </c>
      <c r="M105" s="130">
        <f t="shared" si="23"/>
        <v>605.9599389375486</v>
      </c>
      <c r="N105" s="8">
        <f t="shared" si="24"/>
        <v>7672.9606523492102</v>
      </c>
      <c r="O105" s="84">
        <f t="shared" si="25"/>
        <v>7067.0007134116613</v>
      </c>
    </row>
    <row r="106" spans="1:15" x14ac:dyDescent="0.2">
      <c r="A106" s="96" t="s">
        <v>58</v>
      </c>
      <c r="B106" s="81" t="str">
        <f t="shared" si="33"/>
        <v>Q1/2015</v>
      </c>
      <c r="C106" s="82">
        <f t="shared" si="28"/>
        <v>42005</v>
      </c>
      <c r="D106" s="82">
        <f t="shared" si="29"/>
        <v>42094</v>
      </c>
      <c r="E106" s="81">
        <f t="shared" si="26"/>
        <v>90</v>
      </c>
      <c r="F106" s="83">
        <f>VLOOKUP(D106,'FERC Interest Rate'!$A:$B,2,TRUE)</f>
        <v>3.2500000000000001E-2</v>
      </c>
      <c r="G106" s="84">
        <f t="shared" si="27"/>
        <v>7067.0007134116613</v>
      </c>
      <c r="H106" s="84">
        <v>0</v>
      </c>
      <c r="I106" s="109">
        <f t="shared" si="30"/>
        <v>43.61543949320459</v>
      </c>
      <c r="J106" s="85">
        <f t="shared" si="31"/>
        <v>56.632813936244133</v>
      </c>
      <c r="K106" s="129">
        <f t="shared" si="22"/>
        <v>100.24825342944872</v>
      </c>
      <c r="L106" s="85">
        <f t="shared" si="32"/>
        <v>500</v>
      </c>
      <c r="M106" s="130">
        <f t="shared" si="23"/>
        <v>600.24825342944871</v>
      </c>
      <c r="N106" s="8">
        <f t="shared" si="24"/>
        <v>7123.6335273479053</v>
      </c>
      <c r="O106" s="84">
        <f t="shared" si="25"/>
        <v>6523.3852739184567</v>
      </c>
    </row>
    <row r="107" spans="1:15" x14ac:dyDescent="0.2">
      <c r="A107" s="96" t="s">
        <v>59</v>
      </c>
      <c r="B107" s="81" t="str">
        <f t="shared" si="33"/>
        <v>Q2/2015</v>
      </c>
      <c r="C107" s="82">
        <f t="shared" si="28"/>
        <v>42095</v>
      </c>
      <c r="D107" s="82">
        <f t="shared" si="29"/>
        <v>42185</v>
      </c>
      <c r="E107" s="81">
        <f t="shared" si="26"/>
        <v>91</v>
      </c>
      <c r="F107" s="83">
        <f>VLOOKUP(D107,'FERC Interest Rate'!$A:$B,2,TRUE)</f>
        <v>3.2500000000000001E-2</v>
      </c>
      <c r="G107" s="84">
        <f t="shared" si="27"/>
        <v>6523.3852739184567</v>
      </c>
      <c r="H107" s="84">
        <v>0</v>
      </c>
      <c r="I107" s="109">
        <f t="shared" si="30"/>
        <v>43.61543949320459</v>
      </c>
      <c r="J107" s="85">
        <f t="shared" si="31"/>
        <v>52.857293007161196</v>
      </c>
      <c r="K107" s="129">
        <f t="shared" si="22"/>
        <v>96.472732500365794</v>
      </c>
      <c r="L107" s="85">
        <f t="shared" si="32"/>
        <v>500</v>
      </c>
      <c r="M107" s="130">
        <f t="shared" si="23"/>
        <v>596.47273250036574</v>
      </c>
      <c r="N107" s="8">
        <f t="shared" si="24"/>
        <v>6576.2425669256181</v>
      </c>
      <c r="O107" s="84">
        <f t="shared" si="25"/>
        <v>5979.7698344252522</v>
      </c>
    </row>
    <row r="108" spans="1:15" x14ac:dyDescent="0.2">
      <c r="A108" s="96" t="s">
        <v>60</v>
      </c>
      <c r="B108" s="81" t="str">
        <f t="shared" si="33"/>
        <v>Q3/2015</v>
      </c>
      <c r="C108" s="82">
        <f t="shared" si="28"/>
        <v>42186</v>
      </c>
      <c r="D108" s="82">
        <f t="shared" si="29"/>
        <v>42277</v>
      </c>
      <c r="E108" s="81">
        <f t="shared" si="26"/>
        <v>92</v>
      </c>
      <c r="F108" s="83">
        <f>VLOOKUP(D108,'FERC Interest Rate'!$A:$B,2,TRUE)</f>
        <v>3.2500000000000001E-2</v>
      </c>
      <c r="G108" s="84">
        <f t="shared" si="27"/>
        <v>5979.7698344252522</v>
      </c>
      <c r="H108" s="84">
        <v>0</v>
      </c>
      <c r="I108" s="109">
        <f t="shared" si="30"/>
        <v>43.61543949320459</v>
      </c>
      <c r="J108" s="85">
        <f t="shared" si="31"/>
        <v>48.984963849127411</v>
      </c>
      <c r="K108" s="129">
        <f t="shared" si="22"/>
        <v>92.600403342332001</v>
      </c>
      <c r="L108" s="85">
        <f t="shared" si="32"/>
        <v>500</v>
      </c>
      <c r="M108" s="130">
        <f t="shared" si="23"/>
        <v>592.60040334233202</v>
      </c>
      <c r="N108" s="8">
        <f t="shared" si="24"/>
        <v>6028.7547982743799</v>
      </c>
      <c r="O108" s="84">
        <f t="shared" si="25"/>
        <v>5436.1543949320476</v>
      </c>
    </row>
    <row r="109" spans="1:15" x14ac:dyDescent="0.2">
      <c r="A109" s="96" t="s">
        <v>61</v>
      </c>
      <c r="B109" s="81" t="str">
        <f t="shared" si="33"/>
        <v>Q4/2015</v>
      </c>
      <c r="C109" s="82">
        <f t="shared" si="28"/>
        <v>42278</v>
      </c>
      <c r="D109" s="82">
        <f t="shared" si="29"/>
        <v>42369</v>
      </c>
      <c r="E109" s="81">
        <f t="shared" si="26"/>
        <v>92</v>
      </c>
      <c r="F109" s="83">
        <f>VLOOKUP(D109,'FERC Interest Rate'!$A:$B,2,TRUE)</f>
        <v>3.2500000000000001E-2</v>
      </c>
      <c r="G109" s="84">
        <f t="shared" si="27"/>
        <v>5436.1543949320476</v>
      </c>
      <c r="H109" s="84">
        <v>0</v>
      </c>
      <c r="I109" s="109">
        <f t="shared" si="30"/>
        <v>43.61543949320459</v>
      </c>
      <c r="J109" s="85">
        <f t="shared" si="31"/>
        <v>44.531785317388561</v>
      </c>
      <c r="K109" s="129">
        <f t="shared" si="22"/>
        <v>88.147224810593144</v>
      </c>
      <c r="L109" s="85">
        <f t="shared" si="32"/>
        <v>500</v>
      </c>
      <c r="M109" s="130">
        <f t="shared" si="23"/>
        <v>588.14722481059312</v>
      </c>
      <c r="N109" s="8">
        <f t="shared" si="24"/>
        <v>5480.6861802494359</v>
      </c>
      <c r="O109" s="84">
        <f t="shared" si="25"/>
        <v>4892.538955438843</v>
      </c>
    </row>
    <row r="110" spans="1:15" x14ac:dyDescent="0.2">
      <c r="A110" s="96" t="s">
        <v>62</v>
      </c>
      <c r="B110" s="81" t="str">
        <f t="shared" si="33"/>
        <v>Q1/2016</v>
      </c>
      <c r="C110" s="82">
        <f t="shared" si="28"/>
        <v>42370</v>
      </c>
      <c r="D110" s="82">
        <f t="shared" si="29"/>
        <v>42460</v>
      </c>
      <c r="E110" s="81">
        <f t="shared" si="26"/>
        <v>91</v>
      </c>
      <c r="F110" s="83">
        <f>VLOOKUP(D110,'FERC Interest Rate'!$A:$B,2,TRUE)</f>
        <v>3.2500000000000001E-2</v>
      </c>
      <c r="G110" s="84">
        <f t="shared" si="27"/>
        <v>4892.538955438843</v>
      </c>
      <c r="H110" s="84">
        <v>0</v>
      </c>
      <c r="I110" s="109">
        <f t="shared" si="30"/>
        <v>43.61543949320459</v>
      </c>
      <c r="J110" s="85">
        <f t="shared" si="31"/>
        <v>39.534655630356227</v>
      </c>
      <c r="K110" s="129">
        <f t="shared" si="22"/>
        <v>83.150095123560817</v>
      </c>
      <c r="L110" s="85">
        <f t="shared" si="32"/>
        <v>500</v>
      </c>
      <c r="M110" s="130">
        <f t="shared" si="23"/>
        <v>583.15009512356085</v>
      </c>
      <c r="N110" s="8">
        <f t="shared" si="24"/>
        <v>4932.0736110691996</v>
      </c>
      <c r="O110" s="84">
        <f t="shared" si="25"/>
        <v>4348.9235159456384</v>
      </c>
    </row>
    <row r="111" spans="1:15" x14ac:dyDescent="0.2">
      <c r="A111" s="96" t="s">
        <v>63</v>
      </c>
      <c r="B111" s="81" t="str">
        <f t="shared" si="33"/>
        <v>Q2/2016</v>
      </c>
      <c r="C111" s="82">
        <f t="shared" si="28"/>
        <v>42461</v>
      </c>
      <c r="D111" s="82">
        <f t="shared" si="29"/>
        <v>42551</v>
      </c>
      <c r="E111" s="81">
        <f t="shared" si="26"/>
        <v>91</v>
      </c>
      <c r="F111" s="83">
        <f>VLOOKUP(D111,'FERC Interest Rate'!$A:$B,2,TRUE)</f>
        <v>3.4599999999999999E-2</v>
      </c>
      <c r="G111" s="84">
        <f t="shared" si="27"/>
        <v>4348.9235159456384</v>
      </c>
      <c r="H111" s="84">
        <v>0</v>
      </c>
      <c r="I111" s="109">
        <f t="shared" si="30"/>
        <v>43.61543949320459</v>
      </c>
      <c r="J111" s="85">
        <f t="shared" si="31"/>
        <v>37.412624541820861</v>
      </c>
      <c r="K111" s="129">
        <f t="shared" si="22"/>
        <v>81.028064035025452</v>
      </c>
      <c r="L111" s="85">
        <f t="shared" si="32"/>
        <v>500</v>
      </c>
      <c r="M111" s="130">
        <f t="shared" si="23"/>
        <v>581.02806403502541</v>
      </c>
      <c r="N111" s="8">
        <f t="shared" si="24"/>
        <v>4386.3361404874595</v>
      </c>
      <c r="O111" s="84">
        <f t="shared" si="25"/>
        <v>3805.3080764524339</v>
      </c>
    </row>
    <row r="112" spans="1:15" x14ac:dyDescent="0.2">
      <c r="A112" s="96" t="s">
        <v>64</v>
      </c>
      <c r="B112" s="81" t="str">
        <f t="shared" si="33"/>
        <v>Q3/2016</v>
      </c>
      <c r="C112" s="82">
        <f t="shared" si="28"/>
        <v>42552</v>
      </c>
      <c r="D112" s="82">
        <f t="shared" si="29"/>
        <v>42643</v>
      </c>
      <c r="E112" s="81">
        <f t="shared" si="26"/>
        <v>92</v>
      </c>
      <c r="F112" s="83">
        <f>VLOOKUP(D112,'FERC Interest Rate'!$A:$B,2,TRUE)</f>
        <v>3.5000000000000003E-2</v>
      </c>
      <c r="G112" s="84">
        <f t="shared" si="27"/>
        <v>3805.3080764524339</v>
      </c>
      <c r="H112" s="84">
        <v>0</v>
      </c>
      <c r="I112" s="109">
        <f t="shared" si="30"/>
        <v>43.61543949320459</v>
      </c>
      <c r="J112" s="85">
        <f t="shared" si="31"/>
        <v>33.478393459499557</v>
      </c>
      <c r="K112" s="129">
        <f t="shared" si="22"/>
        <v>77.093832952704147</v>
      </c>
      <c r="L112" s="85">
        <f t="shared" si="32"/>
        <v>500</v>
      </c>
      <c r="M112" s="130">
        <f t="shared" si="23"/>
        <v>577.09383295270413</v>
      </c>
      <c r="N112" s="8">
        <f t="shared" si="24"/>
        <v>3838.7864699119336</v>
      </c>
      <c r="O112" s="84">
        <f t="shared" si="25"/>
        <v>3261.6926369592293</v>
      </c>
    </row>
    <row r="113" spans="1:15" x14ac:dyDescent="0.2">
      <c r="A113" s="96" t="s">
        <v>65</v>
      </c>
      <c r="B113" s="81" t="str">
        <f t="shared" si="33"/>
        <v>Q4/2016</v>
      </c>
      <c r="C113" s="82">
        <f t="shared" si="28"/>
        <v>42644</v>
      </c>
      <c r="D113" s="82">
        <f t="shared" si="29"/>
        <v>42735</v>
      </c>
      <c r="E113" s="81">
        <f t="shared" si="26"/>
        <v>92</v>
      </c>
      <c r="F113" s="83">
        <f>VLOOKUP(D113,'FERC Interest Rate'!$A:$B,2,TRUE)</f>
        <v>3.5000000000000003E-2</v>
      </c>
      <c r="G113" s="84">
        <f t="shared" si="27"/>
        <v>3261.6926369592293</v>
      </c>
      <c r="H113" s="84">
        <v>0</v>
      </c>
      <c r="I113" s="109">
        <f t="shared" si="30"/>
        <v>43.61543949320459</v>
      </c>
      <c r="J113" s="85">
        <f t="shared" si="31"/>
        <v>28.695765822428193</v>
      </c>
      <c r="K113" s="129">
        <f t="shared" si="22"/>
        <v>72.311205315632776</v>
      </c>
      <c r="L113" s="85">
        <f t="shared" si="32"/>
        <v>500</v>
      </c>
      <c r="M113" s="130">
        <f t="shared" si="23"/>
        <v>572.31120531563283</v>
      </c>
      <c r="N113" s="8">
        <f t="shared" si="24"/>
        <v>3290.3884027816575</v>
      </c>
      <c r="O113" s="84">
        <f t="shared" si="25"/>
        <v>2718.0771974660247</v>
      </c>
    </row>
    <row r="114" spans="1:15" x14ac:dyDescent="0.2">
      <c r="A114" s="96" t="s">
        <v>66</v>
      </c>
      <c r="B114" s="81" t="str">
        <f t="shared" si="33"/>
        <v>Q1/2017</v>
      </c>
      <c r="C114" s="82">
        <f t="shared" si="28"/>
        <v>42736</v>
      </c>
      <c r="D114" s="82">
        <f t="shared" si="29"/>
        <v>42825</v>
      </c>
      <c r="E114" s="81">
        <f t="shared" si="26"/>
        <v>90</v>
      </c>
      <c r="F114" s="83">
        <f>VLOOKUP(D114,'FERC Interest Rate'!$A:$B,2,TRUE)</f>
        <v>3.5000000000000003E-2</v>
      </c>
      <c r="G114" s="84">
        <f t="shared" si="27"/>
        <v>2718.0771974660247</v>
      </c>
      <c r="H114" s="84">
        <v>0</v>
      </c>
      <c r="I114" s="109">
        <f t="shared" si="30"/>
        <v>43.61543949320459</v>
      </c>
      <c r="J114" s="85">
        <f t="shared" si="31"/>
        <v>23.457378553473912</v>
      </c>
      <c r="K114" s="129">
        <f t="shared" si="22"/>
        <v>67.072818046678506</v>
      </c>
      <c r="L114" s="85">
        <f t="shared" si="32"/>
        <v>500</v>
      </c>
      <c r="M114" s="130">
        <f t="shared" si="23"/>
        <v>567.07281804667855</v>
      </c>
      <c r="N114" s="8">
        <f t="shared" si="24"/>
        <v>2741.5345760194987</v>
      </c>
      <c r="O114" s="84">
        <f t="shared" si="25"/>
        <v>2174.4617579728201</v>
      </c>
    </row>
    <row r="115" spans="1:15" x14ac:dyDescent="0.2">
      <c r="A115" s="96" t="s">
        <v>67</v>
      </c>
      <c r="B115" s="81" t="str">
        <f t="shared" si="33"/>
        <v>Q2/2017</v>
      </c>
      <c r="C115" s="82">
        <f t="shared" si="28"/>
        <v>42826</v>
      </c>
      <c r="D115" s="82">
        <f t="shared" si="29"/>
        <v>42916</v>
      </c>
      <c r="E115" s="81">
        <f t="shared" si="26"/>
        <v>91</v>
      </c>
      <c r="F115" s="83">
        <f>VLOOKUP(D115,'FERC Interest Rate'!$A:$B,2,TRUE)</f>
        <v>3.7100000000000001E-2</v>
      </c>
      <c r="G115" s="84">
        <f t="shared" si="27"/>
        <v>2174.4617579728201</v>
      </c>
      <c r="H115" s="84">
        <v>0</v>
      </c>
      <c r="I115" s="109">
        <f t="shared" si="30"/>
        <v>43.61543949320459</v>
      </c>
      <c r="J115" s="85">
        <f t="shared" si="31"/>
        <v>20.112877646827503</v>
      </c>
      <c r="K115" s="129">
        <f t="shared" si="22"/>
        <v>63.72831714003209</v>
      </c>
      <c r="L115" s="85">
        <f t="shared" si="32"/>
        <v>500</v>
      </c>
      <c r="M115" s="130">
        <f t="shared" si="23"/>
        <v>563.72831714003212</v>
      </c>
      <c r="N115" s="8">
        <f t="shared" si="24"/>
        <v>2194.5746356196478</v>
      </c>
      <c r="O115" s="84">
        <f t="shared" si="25"/>
        <v>1630.8463184796155</v>
      </c>
    </row>
    <row r="116" spans="1:15" x14ac:dyDescent="0.2">
      <c r="A116" s="96" t="s">
        <v>68</v>
      </c>
      <c r="B116" s="81" t="str">
        <f t="shared" si="33"/>
        <v>Q3/2017</v>
      </c>
      <c r="C116" s="82">
        <f t="shared" si="28"/>
        <v>42917</v>
      </c>
      <c r="D116" s="82">
        <f t="shared" si="29"/>
        <v>43008</v>
      </c>
      <c r="E116" s="81">
        <f t="shared" si="26"/>
        <v>92</v>
      </c>
      <c r="F116" s="83">
        <f>VLOOKUP(D116,'FERC Interest Rate'!$A:$B,2,TRUE)</f>
        <v>3.9600000000000003E-2</v>
      </c>
      <c r="G116" s="84">
        <f t="shared" si="27"/>
        <v>1630.8463184796155</v>
      </c>
      <c r="H116" s="84">
        <v>0</v>
      </c>
      <c r="I116" s="109">
        <f t="shared" si="30"/>
        <v>43.61543949320459</v>
      </c>
      <c r="J116" s="85">
        <f t="shared" si="31"/>
        <v>16.278080294479278</v>
      </c>
      <c r="K116" s="129">
        <f t="shared" si="22"/>
        <v>59.893519787683871</v>
      </c>
      <c r="L116" s="85">
        <f t="shared" si="32"/>
        <v>500</v>
      </c>
      <c r="M116" s="130">
        <f t="shared" si="23"/>
        <v>559.89351978768389</v>
      </c>
      <c r="N116" s="8">
        <f t="shared" si="24"/>
        <v>1647.1243987740947</v>
      </c>
      <c r="O116" s="84">
        <f t="shared" si="25"/>
        <v>1087.230878986411</v>
      </c>
    </row>
    <row r="117" spans="1:15" x14ac:dyDescent="0.2">
      <c r="A117" s="96" t="s">
        <v>69</v>
      </c>
      <c r="B117" s="81" t="str">
        <f t="shared" si="33"/>
        <v>Q4/2017</v>
      </c>
      <c r="C117" s="82">
        <f>D116+1</f>
        <v>43009</v>
      </c>
      <c r="D117" s="82">
        <f t="shared" si="29"/>
        <v>43100</v>
      </c>
      <c r="E117" s="81">
        <f>D117-C117+1</f>
        <v>92</v>
      </c>
      <c r="F117" s="83">
        <f>VLOOKUP(D117,'FERC Interest Rate'!$A:$B,2,TRUE)</f>
        <v>4.2099999999999999E-2</v>
      </c>
      <c r="G117" s="84">
        <f t="shared" si="27"/>
        <v>1087.230878986411</v>
      </c>
      <c r="H117" s="84">
        <v>0</v>
      </c>
      <c r="I117" s="109">
        <f t="shared" si="30"/>
        <v>43.61543949320459</v>
      </c>
      <c r="J117" s="85">
        <f t="shared" si="31"/>
        <v>11.537157919151143</v>
      </c>
      <c r="K117" s="129">
        <f t="shared" si="22"/>
        <v>55.152597412355732</v>
      </c>
      <c r="L117" s="85">
        <f t="shared" si="32"/>
        <v>500</v>
      </c>
      <c r="M117" s="130">
        <f t="shared" si="23"/>
        <v>555.1525974123557</v>
      </c>
      <c r="N117" s="8">
        <f t="shared" si="24"/>
        <v>1098.7680369055622</v>
      </c>
      <c r="O117" s="84">
        <f t="shared" si="25"/>
        <v>543.6154394932064</v>
      </c>
    </row>
    <row r="118" spans="1:15" x14ac:dyDescent="0.2">
      <c r="A118" s="96" t="s">
        <v>70</v>
      </c>
      <c r="B118" s="81" t="str">
        <f t="shared" si="33"/>
        <v>Q1/2018</v>
      </c>
      <c r="C118" s="82">
        <f>D117+1</f>
        <v>43101</v>
      </c>
      <c r="D118" s="82">
        <f t="shared" si="29"/>
        <v>43190</v>
      </c>
      <c r="E118" s="81">
        <f>D118-C118+1</f>
        <v>90</v>
      </c>
      <c r="F118" s="83">
        <f>VLOOKUP(D118,'FERC Interest Rate'!$A:$B,2,TRUE)</f>
        <v>4.2500000000000003E-2</v>
      </c>
      <c r="G118" s="84">
        <f t="shared" si="27"/>
        <v>543.6154394932064</v>
      </c>
      <c r="H118" s="84">
        <v>0</v>
      </c>
      <c r="I118" s="109">
        <f t="shared" si="30"/>
        <v>43.61543949320459</v>
      </c>
      <c r="J118" s="85">
        <f t="shared" si="31"/>
        <v>5.696791934415109</v>
      </c>
      <c r="K118" s="129">
        <f t="shared" si="22"/>
        <v>49.3122314276197</v>
      </c>
      <c r="L118" s="85">
        <f t="shared" si="32"/>
        <v>500</v>
      </c>
      <c r="M118" s="130">
        <f t="shared" si="23"/>
        <v>549.31223142761974</v>
      </c>
      <c r="N118" s="8">
        <f t="shared" si="24"/>
        <v>549.31223142762155</v>
      </c>
      <c r="O118" s="84">
        <f t="shared" si="25"/>
        <v>1.8047785488306545E-12</v>
      </c>
    </row>
    <row r="119" spans="1:15" x14ac:dyDescent="0.2">
      <c r="B119" s="81"/>
      <c r="C119" s="82"/>
      <c r="D119" s="82"/>
      <c r="E119" s="81"/>
      <c r="F119" s="83"/>
      <c r="G119" s="84"/>
      <c r="H119" s="84"/>
      <c r="I119" s="109"/>
      <c r="J119" s="85"/>
      <c r="K119" s="129"/>
      <c r="L119" s="85"/>
      <c r="M119" s="130"/>
      <c r="N119" s="8"/>
      <c r="O119" s="84"/>
    </row>
    <row r="120" spans="1:15" ht="13.5" thickBot="1" x14ac:dyDescent="0.25">
      <c r="A120" s="151"/>
      <c r="B120" s="152"/>
      <c r="C120" s="153"/>
      <c r="D120" s="153"/>
      <c r="E120" s="154"/>
      <c r="F120" s="152"/>
      <c r="G120" s="144">
        <f>+SUM(G92:G119)</f>
        <v>187955.78649120935</v>
      </c>
      <c r="H120" s="144">
        <f t="shared" ref="H120:O120" si="34">+SUM(H92:H119)</f>
        <v>872.30878986409186</v>
      </c>
      <c r="I120" s="138">
        <f t="shared" si="34"/>
        <v>872.30878986409164</v>
      </c>
      <c r="J120" s="137">
        <f t="shared" si="34"/>
        <v>618.82915000901482</v>
      </c>
      <c r="K120" s="137">
        <f t="shared" si="34"/>
        <v>1491.1379398731067</v>
      </c>
      <c r="L120" s="137">
        <f t="shared" si="34"/>
        <v>10000</v>
      </c>
      <c r="M120" s="139">
        <f t="shared" si="34"/>
        <v>11491.137939873108</v>
      </c>
      <c r="N120" s="137">
        <f t="shared" si="34"/>
        <v>189446.92443108247</v>
      </c>
      <c r="O120" s="137">
        <f t="shared" si="34"/>
        <v>177955.78649120941</v>
      </c>
    </row>
    <row r="121" spans="1:15" ht="13.5" thickTop="1" x14ac:dyDescent="0.2">
      <c r="B121" s="11"/>
      <c r="C121" s="98"/>
      <c r="D121" s="98"/>
      <c r="E121" s="10"/>
      <c r="F121" s="11"/>
      <c r="G121" s="85"/>
      <c r="H121" s="85"/>
      <c r="I121" s="132"/>
      <c r="J121" s="70"/>
      <c r="K121" s="129"/>
      <c r="L121" s="70"/>
      <c r="M121" s="130"/>
      <c r="N121" s="8"/>
    </row>
    <row r="122" spans="1:15" x14ac:dyDescent="0.2">
      <c r="B122" s="11"/>
      <c r="C122" s="98"/>
      <c r="D122" s="98"/>
      <c r="E122" s="10"/>
      <c r="F122" s="11"/>
      <c r="G122" s="85"/>
      <c r="H122" s="85"/>
      <c r="I122" s="132"/>
      <c r="J122" s="70"/>
      <c r="K122" s="129"/>
      <c r="L122" s="70"/>
      <c r="M122" s="130"/>
      <c r="N122" s="8"/>
    </row>
    <row r="123" spans="1:15" ht="38.25" x14ac:dyDescent="0.2">
      <c r="A123" s="90" t="s">
        <v>53</v>
      </c>
      <c r="B123" s="90" t="s">
        <v>3</v>
      </c>
      <c r="C123" s="90" t="s">
        <v>4</v>
      </c>
      <c r="D123" s="90" t="s">
        <v>5</v>
      </c>
      <c r="E123" s="90" t="s">
        <v>6</v>
      </c>
      <c r="F123" s="90" t="s">
        <v>7</v>
      </c>
      <c r="G123" s="90" t="s">
        <v>93</v>
      </c>
      <c r="H123" s="90" t="s">
        <v>94</v>
      </c>
      <c r="I123" s="105" t="s">
        <v>95</v>
      </c>
      <c r="J123" s="106" t="s">
        <v>96</v>
      </c>
      <c r="K123" s="106" t="s">
        <v>97</v>
      </c>
      <c r="L123" s="106" t="s">
        <v>98</v>
      </c>
      <c r="M123" s="107" t="s">
        <v>99</v>
      </c>
      <c r="N123" s="90" t="s">
        <v>100</v>
      </c>
      <c r="O123" s="90" t="s">
        <v>101</v>
      </c>
    </row>
    <row r="124" spans="1:15" x14ac:dyDescent="0.2">
      <c r="A124" s="275" t="s">
        <v>15</v>
      </c>
      <c r="B124" s="275"/>
      <c r="C124" s="282">
        <f>VLOOKUP(B125,A$1:F$33,2,FALSE)</f>
        <v>40786</v>
      </c>
      <c r="D124" s="282">
        <f>DATE(YEAR(C124),IF(MONTH(C124)&lt;=3,3,IF(MONTH(C124)&lt;=6,6,IF(MONTH(C124)&lt;=9,9,12))),IF(OR(MONTH(C124)&lt;=3,MONTH(C124)&gt;=10),31,30))</f>
        <v>40816</v>
      </c>
      <c r="E124" s="283">
        <f>D124-C124+1</f>
        <v>31</v>
      </c>
      <c r="F124" s="284">
        <f>VLOOKUP(D124,'FERC Interest Rate'!$A:$B,2,TRUE)</f>
        <v>3.2500000000000001E-2</v>
      </c>
      <c r="G124" s="167">
        <f>VLOOKUP(B125,$A$1:$F$33,5,FALSE)</f>
        <v>10000</v>
      </c>
      <c r="H124" s="167">
        <f t="shared" ref="H124:H134" si="35">G124*F124*(E124/(DATE(YEAR(D124),12,31)-DATE(YEAR(D124),1,1)+1))</f>
        <v>27.602739726027398</v>
      </c>
      <c r="I124" s="291">
        <v>0</v>
      </c>
      <c r="J124" s="286">
        <v>0</v>
      </c>
      <c r="K124" s="288">
        <f>+SUM(I124:J124)</f>
        <v>0</v>
      </c>
      <c r="L124" s="286">
        <v>0</v>
      </c>
      <c r="M124" s="289">
        <f>+SUM(K124:L124)</f>
        <v>0</v>
      </c>
      <c r="N124" s="290">
        <f>+G124+H124+J124</f>
        <v>10027.602739726028</v>
      </c>
      <c r="O124" s="167">
        <f t="shared" ref="O124:O150" si="36">G124+H124-L124-I124</f>
        <v>10027.602739726028</v>
      </c>
    </row>
    <row r="125" spans="1:15" x14ac:dyDescent="0.2">
      <c r="A125" s="275" t="s">
        <v>38</v>
      </c>
      <c r="B125" s="276" t="s">
        <v>70</v>
      </c>
      <c r="C125" s="282">
        <f>D124+1</f>
        <v>40817</v>
      </c>
      <c r="D125" s="282">
        <f>EOMONTH(D124,3)</f>
        <v>40908</v>
      </c>
      <c r="E125" s="283">
        <f t="shared" ref="E125:E150" si="37">D125-C125+1</f>
        <v>92</v>
      </c>
      <c r="F125" s="284">
        <f>VLOOKUP(D125,'FERC Interest Rate'!$A:$B,2,TRUE)</f>
        <v>3.2500000000000001E-2</v>
      </c>
      <c r="G125" s="167">
        <f t="shared" ref="G125:G150" si="38">O124</f>
        <v>10027.602739726028</v>
      </c>
      <c r="H125" s="167">
        <f t="shared" si="35"/>
        <v>82.143923813098155</v>
      </c>
      <c r="I125" s="291">
        <v>0</v>
      </c>
      <c r="J125" s="286">
        <v>0</v>
      </c>
      <c r="K125" s="288">
        <f t="shared" ref="K125:K150" si="39">+SUM(I125:J125)</f>
        <v>0</v>
      </c>
      <c r="L125" s="286">
        <v>0</v>
      </c>
      <c r="M125" s="289">
        <f t="shared" ref="M125:M150" si="40">+SUM(K125:L125)</f>
        <v>0</v>
      </c>
      <c r="N125" s="290">
        <f t="shared" ref="N125:N150" si="41">+G125+H125+J125</f>
        <v>10109.746663539127</v>
      </c>
      <c r="O125" s="167">
        <f t="shared" si="36"/>
        <v>10109.746663539127</v>
      </c>
    </row>
    <row r="126" spans="1:15" x14ac:dyDescent="0.2">
      <c r="A126" s="292"/>
      <c r="B126" s="283"/>
      <c r="C126" s="282">
        <f t="shared" ref="C126:C150" si="42">D125+1</f>
        <v>40909</v>
      </c>
      <c r="D126" s="282">
        <f t="shared" ref="D126:D150" si="43">EOMONTH(D125,3)</f>
        <v>40999</v>
      </c>
      <c r="E126" s="283">
        <f t="shared" si="37"/>
        <v>91</v>
      </c>
      <c r="F126" s="284">
        <f>VLOOKUP(D126,'FERC Interest Rate'!$A:$B,2,TRUE)</f>
        <v>3.2500000000000001E-2</v>
      </c>
      <c r="G126" s="167">
        <f t="shared" si="38"/>
        <v>10109.746663539127</v>
      </c>
      <c r="H126" s="167">
        <f t="shared" si="35"/>
        <v>81.69282993829772</v>
      </c>
      <c r="I126" s="291">
        <v>0</v>
      </c>
      <c r="J126" s="286">
        <v>0</v>
      </c>
      <c r="K126" s="288">
        <f t="shared" si="39"/>
        <v>0</v>
      </c>
      <c r="L126" s="286">
        <v>0</v>
      </c>
      <c r="M126" s="289">
        <f t="shared" si="40"/>
        <v>0</v>
      </c>
      <c r="N126" s="290">
        <f t="shared" si="41"/>
        <v>10191.439493477425</v>
      </c>
      <c r="O126" s="167">
        <f t="shared" si="36"/>
        <v>10191.439493477425</v>
      </c>
    </row>
    <row r="127" spans="1:15" x14ac:dyDescent="0.2">
      <c r="A127" s="292"/>
      <c r="B127" s="283"/>
      <c r="C127" s="282">
        <f t="shared" si="42"/>
        <v>41000</v>
      </c>
      <c r="D127" s="282">
        <f t="shared" si="43"/>
        <v>41090</v>
      </c>
      <c r="E127" s="283">
        <f t="shared" si="37"/>
        <v>91</v>
      </c>
      <c r="F127" s="284">
        <f>VLOOKUP(D127,'FERC Interest Rate'!$A:$B,2,TRUE)</f>
        <v>3.2500000000000001E-2</v>
      </c>
      <c r="G127" s="167">
        <f t="shared" si="38"/>
        <v>10191.439493477425</v>
      </c>
      <c r="H127" s="167">
        <f t="shared" si="35"/>
        <v>82.352957109178917</v>
      </c>
      <c r="I127" s="291">
        <v>0</v>
      </c>
      <c r="J127" s="286">
        <v>0</v>
      </c>
      <c r="K127" s="288">
        <f t="shared" si="39"/>
        <v>0</v>
      </c>
      <c r="L127" s="286">
        <v>0</v>
      </c>
      <c r="M127" s="289">
        <f t="shared" si="40"/>
        <v>0</v>
      </c>
      <c r="N127" s="290">
        <f t="shared" si="41"/>
        <v>10273.792450586603</v>
      </c>
      <c r="O127" s="167">
        <f t="shared" si="36"/>
        <v>10273.792450586603</v>
      </c>
    </row>
    <row r="128" spans="1:15" x14ac:dyDescent="0.2">
      <c r="A128" s="292"/>
      <c r="B128" s="283"/>
      <c r="C128" s="282">
        <f t="shared" si="42"/>
        <v>41091</v>
      </c>
      <c r="D128" s="282">
        <f t="shared" si="43"/>
        <v>41182</v>
      </c>
      <c r="E128" s="283">
        <f t="shared" si="37"/>
        <v>92</v>
      </c>
      <c r="F128" s="284">
        <f>VLOOKUP(D128,'FERC Interest Rate'!$A:$B,2,TRUE)</f>
        <v>3.2500000000000001E-2</v>
      </c>
      <c r="G128" s="167">
        <f t="shared" si="38"/>
        <v>10273.792450586603</v>
      </c>
      <c r="H128" s="167">
        <f t="shared" si="35"/>
        <v>83.930708817633729</v>
      </c>
      <c r="I128" s="291">
        <v>0</v>
      </c>
      <c r="J128" s="286">
        <v>0</v>
      </c>
      <c r="K128" s="288">
        <f t="shared" si="39"/>
        <v>0</v>
      </c>
      <c r="L128" s="286">
        <v>0</v>
      </c>
      <c r="M128" s="289">
        <f t="shared" si="40"/>
        <v>0</v>
      </c>
      <c r="N128" s="290">
        <f t="shared" si="41"/>
        <v>10357.723159404237</v>
      </c>
      <c r="O128" s="167">
        <f t="shared" si="36"/>
        <v>10357.723159404237</v>
      </c>
    </row>
    <row r="129" spans="1:15" x14ac:dyDescent="0.2">
      <c r="A129" s="292"/>
      <c r="B129" s="283"/>
      <c r="C129" s="282">
        <f t="shared" si="42"/>
        <v>41183</v>
      </c>
      <c r="D129" s="282">
        <f t="shared" si="43"/>
        <v>41274</v>
      </c>
      <c r="E129" s="283">
        <f t="shared" si="37"/>
        <v>92</v>
      </c>
      <c r="F129" s="284">
        <f>VLOOKUP(D129,'FERC Interest Rate'!$A:$B,2,TRUE)</f>
        <v>3.2500000000000001E-2</v>
      </c>
      <c r="G129" s="167">
        <f t="shared" si="38"/>
        <v>10357.723159404237</v>
      </c>
      <c r="H129" s="167">
        <f t="shared" si="35"/>
        <v>84.616372258520954</v>
      </c>
      <c r="I129" s="291">
        <v>0</v>
      </c>
      <c r="J129" s="286">
        <v>0</v>
      </c>
      <c r="K129" s="288">
        <f t="shared" si="39"/>
        <v>0</v>
      </c>
      <c r="L129" s="286">
        <v>0</v>
      </c>
      <c r="M129" s="289">
        <f t="shared" si="40"/>
        <v>0</v>
      </c>
      <c r="N129" s="290">
        <f t="shared" si="41"/>
        <v>10442.339531662758</v>
      </c>
      <c r="O129" s="167">
        <f t="shared" si="36"/>
        <v>10442.339531662758</v>
      </c>
    </row>
    <row r="130" spans="1:15" x14ac:dyDescent="0.2">
      <c r="A130" s="292"/>
      <c r="B130" s="283"/>
      <c r="C130" s="282">
        <f t="shared" si="42"/>
        <v>41275</v>
      </c>
      <c r="D130" s="282">
        <f t="shared" si="43"/>
        <v>41364</v>
      </c>
      <c r="E130" s="283">
        <f t="shared" si="37"/>
        <v>90</v>
      </c>
      <c r="F130" s="284">
        <f>VLOOKUP(D130,'FERC Interest Rate'!$A:$B,2,TRUE)</f>
        <v>3.2500000000000001E-2</v>
      </c>
      <c r="G130" s="167">
        <f t="shared" si="38"/>
        <v>10442.339531662758</v>
      </c>
      <c r="H130" s="167">
        <f t="shared" si="35"/>
        <v>83.681762000311139</v>
      </c>
      <c r="I130" s="291">
        <v>0</v>
      </c>
      <c r="J130" s="286">
        <v>0</v>
      </c>
      <c r="K130" s="288">
        <f t="shared" si="39"/>
        <v>0</v>
      </c>
      <c r="L130" s="286">
        <v>0</v>
      </c>
      <c r="M130" s="289">
        <f t="shared" si="40"/>
        <v>0</v>
      </c>
      <c r="N130" s="290">
        <f t="shared" si="41"/>
        <v>10526.021293663069</v>
      </c>
      <c r="O130" s="167">
        <f t="shared" si="36"/>
        <v>10526.021293663069</v>
      </c>
    </row>
    <row r="131" spans="1:15" x14ac:dyDescent="0.2">
      <c r="A131" s="292"/>
      <c r="B131" s="283"/>
      <c r="C131" s="282">
        <f t="shared" ref="C131:C136" si="44">D130+1</f>
        <v>41365</v>
      </c>
      <c r="D131" s="282">
        <f t="shared" si="43"/>
        <v>41455</v>
      </c>
      <c r="E131" s="283">
        <f t="shared" ref="E131:E136" si="45">D131-C131+1</f>
        <v>91</v>
      </c>
      <c r="F131" s="284">
        <f>VLOOKUP(D131,'FERC Interest Rate'!$A:$B,2,TRUE)</f>
        <v>3.2500000000000001E-2</v>
      </c>
      <c r="G131" s="167">
        <f t="shared" si="38"/>
        <v>10526.021293663069</v>
      </c>
      <c r="H131" s="167">
        <f t="shared" si="35"/>
        <v>85.289610893174057</v>
      </c>
      <c r="I131" s="291">
        <v>0</v>
      </c>
      <c r="J131" s="286">
        <v>0</v>
      </c>
      <c r="K131" s="288">
        <f t="shared" si="39"/>
        <v>0</v>
      </c>
      <c r="L131" s="286">
        <v>0</v>
      </c>
      <c r="M131" s="289">
        <f t="shared" si="40"/>
        <v>0</v>
      </c>
      <c r="N131" s="290">
        <f t="shared" si="41"/>
        <v>10611.310904556243</v>
      </c>
      <c r="O131" s="167">
        <f t="shared" si="36"/>
        <v>10611.310904556243</v>
      </c>
    </row>
    <row r="132" spans="1:15" x14ac:dyDescent="0.2">
      <c r="A132" s="292"/>
      <c r="B132" s="283"/>
      <c r="C132" s="282">
        <f t="shared" si="44"/>
        <v>41456</v>
      </c>
      <c r="D132" s="282">
        <f t="shared" si="43"/>
        <v>41547</v>
      </c>
      <c r="E132" s="283">
        <f t="shared" si="45"/>
        <v>92</v>
      </c>
      <c r="F132" s="284">
        <f>VLOOKUP(D132,'FERC Interest Rate'!$A:$B,2,TRUE)</f>
        <v>3.2500000000000001E-2</v>
      </c>
      <c r="G132" s="167">
        <f t="shared" si="38"/>
        <v>10611.310904556243</v>
      </c>
      <c r="H132" s="167">
        <f t="shared" si="35"/>
        <v>86.925533163351147</v>
      </c>
      <c r="I132" s="291">
        <v>0</v>
      </c>
      <c r="J132" s="286">
        <v>0</v>
      </c>
      <c r="K132" s="288">
        <f t="shared" si="39"/>
        <v>0</v>
      </c>
      <c r="L132" s="286">
        <v>0</v>
      </c>
      <c r="M132" s="289">
        <f t="shared" si="40"/>
        <v>0</v>
      </c>
      <c r="N132" s="290">
        <f t="shared" si="41"/>
        <v>10698.236437719594</v>
      </c>
      <c r="O132" s="167">
        <f t="shared" si="36"/>
        <v>10698.236437719594</v>
      </c>
    </row>
    <row r="133" spans="1:15" x14ac:dyDescent="0.2">
      <c r="A133" s="292"/>
      <c r="B133" s="283"/>
      <c r="C133" s="282">
        <f t="shared" si="44"/>
        <v>41548</v>
      </c>
      <c r="D133" s="282">
        <f t="shared" si="43"/>
        <v>41639</v>
      </c>
      <c r="E133" s="283">
        <f t="shared" si="45"/>
        <v>92</v>
      </c>
      <c r="F133" s="284">
        <f>VLOOKUP(D133,'FERC Interest Rate'!$A:$B,2,TRUE)</f>
        <v>3.2500000000000001E-2</v>
      </c>
      <c r="G133" s="167">
        <f t="shared" si="38"/>
        <v>10698.236437719594</v>
      </c>
      <c r="H133" s="167">
        <f t="shared" si="35"/>
        <v>87.637608078853674</v>
      </c>
      <c r="I133" s="291">
        <v>0</v>
      </c>
      <c r="J133" s="286">
        <v>0</v>
      </c>
      <c r="K133" s="288">
        <f t="shared" si="39"/>
        <v>0</v>
      </c>
      <c r="L133" s="286">
        <v>0</v>
      </c>
      <c r="M133" s="289">
        <f t="shared" si="40"/>
        <v>0</v>
      </c>
      <c r="N133" s="290">
        <f t="shared" si="41"/>
        <v>10785.874045798448</v>
      </c>
      <c r="O133" s="167">
        <f t="shared" si="36"/>
        <v>10785.874045798448</v>
      </c>
    </row>
    <row r="134" spans="1:15" x14ac:dyDescent="0.2">
      <c r="A134" s="96" t="s">
        <v>54</v>
      </c>
      <c r="B134" s="81" t="str">
        <f>+IF(MONTH(C134)&lt;4,"Q1",IF(MONTH(C134)&lt;7,"Q2",IF(MONTH(C134)&lt;10,"Q3","Q4")))&amp;"/"&amp;YEAR(C134)</f>
        <v>Q1/2014</v>
      </c>
      <c r="C134" s="82">
        <f t="shared" si="44"/>
        <v>41640</v>
      </c>
      <c r="D134" s="82">
        <f t="shared" si="43"/>
        <v>41729</v>
      </c>
      <c r="E134" s="81">
        <f t="shared" si="45"/>
        <v>90</v>
      </c>
      <c r="F134" s="83">
        <f>VLOOKUP(D134,'FERC Interest Rate'!$A:$B,2,TRUE)</f>
        <v>3.2500000000000001E-2</v>
      </c>
      <c r="G134" s="84">
        <f t="shared" si="38"/>
        <v>10785.874045798448</v>
      </c>
      <c r="H134" s="167">
        <f t="shared" si="35"/>
        <v>86.434744065645091</v>
      </c>
      <c r="I134" s="109">
        <f>(SUM($H$124:$H$150)/20)*4</f>
        <v>174.46175797281836</v>
      </c>
      <c r="J134" s="85">
        <v>0</v>
      </c>
      <c r="K134" s="129">
        <f t="shared" si="39"/>
        <v>174.46175797281836</v>
      </c>
      <c r="L134" s="85">
        <f>($G$124/20)*4</f>
        <v>2000</v>
      </c>
      <c r="M134" s="130">
        <f t="shared" si="40"/>
        <v>2174.4617579728183</v>
      </c>
      <c r="N134" s="8">
        <f t="shared" si="41"/>
        <v>10872.308789864093</v>
      </c>
      <c r="O134" s="84">
        <f t="shared" si="36"/>
        <v>8697.847031891275</v>
      </c>
    </row>
    <row r="135" spans="1:15" x14ac:dyDescent="0.2">
      <c r="A135" s="96" t="s">
        <v>55</v>
      </c>
      <c r="B135" s="81" t="str">
        <f>+IF(MONTH(C135)&lt;4,"Q1",IF(MONTH(C135)&lt;7,"Q2",IF(MONTH(C135)&lt;10,"Q3","Q4")))&amp;"/"&amp;YEAR(C135)</f>
        <v>Q2/2014</v>
      </c>
      <c r="C135" s="82">
        <f t="shared" si="44"/>
        <v>41730</v>
      </c>
      <c r="D135" s="82">
        <f t="shared" si="43"/>
        <v>41820</v>
      </c>
      <c r="E135" s="81">
        <f t="shared" si="45"/>
        <v>91</v>
      </c>
      <c r="F135" s="83">
        <f>VLOOKUP(D135,'FERC Interest Rate'!$A:$B,2,TRUE)</f>
        <v>3.2500000000000001E-2</v>
      </c>
      <c r="G135" s="84">
        <f t="shared" si="38"/>
        <v>8697.847031891275</v>
      </c>
      <c r="H135" s="84">
        <v>0</v>
      </c>
      <c r="I135" s="109">
        <f t="shared" ref="I135:I150" si="46">SUM($H$124:$H$150)/20</f>
        <v>43.61543949320459</v>
      </c>
      <c r="J135" s="85">
        <f t="shared" ref="J135:J150" si="47">G135*F135*(E135/(DATE(YEAR(D135),12,31)-DATE(YEAR(D135),1,1)+1))</f>
        <v>70.476390676214933</v>
      </c>
      <c r="K135" s="129">
        <f t="shared" si="39"/>
        <v>114.09183016941952</v>
      </c>
      <c r="L135" s="85">
        <f t="shared" ref="L135:L150" si="48">$G$124/20</f>
        <v>500</v>
      </c>
      <c r="M135" s="130">
        <f t="shared" si="40"/>
        <v>614.0918301694195</v>
      </c>
      <c r="N135" s="8">
        <f t="shared" si="41"/>
        <v>8768.3234225674896</v>
      </c>
      <c r="O135" s="84">
        <f t="shared" si="36"/>
        <v>8154.2315923980705</v>
      </c>
    </row>
    <row r="136" spans="1:15" x14ac:dyDescent="0.2">
      <c r="A136" s="96" t="s">
        <v>56</v>
      </c>
      <c r="B136" s="81" t="str">
        <f t="shared" ref="B136:B150" si="49">+IF(MONTH(C136)&lt;4,"Q1",IF(MONTH(C136)&lt;7,"Q2",IF(MONTH(C136)&lt;10,"Q3","Q4")))&amp;"/"&amp;YEAR(C136)</f>
        <v>Q3/2014</v>
      </c>
      <c r="C136" s="82">
        <f t="shared" si="44"/>
        <v>41821</v>
      </c>
      <c r="D136" s="82">
        <f t="shared" si="43"/>
        <v>41912</v>
      </c>
      <c r="E136" s="81">
        <f t="shared" si="45"/>
        <v>92</v>
      </c>
      <c r="F136" s="83">
        <f>VLOOKUP(D136,'FERC Interest Rate'!$A:$B,2,TRUE)</f>
        <v>3.2500000000000001E-2</v>
      </c>
      <c r="G136" s="84">
        <f t="shared" si="38"/>
        <v>8154.2315923980705</v>
      </c>
      <c r="H136" s="84">
        <v>0</v>
      </c>
      <c r="I136" s="109">
        <f t="shared" si="46"/>
        <v>43.61543949320459</v>
      </c>
      <c r="J136" s="85">
        <f t="shared" si="47"/>
        <v>66.797677976082824</v>
      </c>
      <c r="K136" s="129">
        <f t="shared" si="39"/>
        <v>110.41311746928741</v>
      </c>
      <c r="L136" s="85">
        <f t="shared" si="48"/>
        <v>500</v>
      </c>
      <c r="M136" s="130">
        <f t="shared" si="40"/>
        <v>610.41311746928739</v>
      </c>
      <c r="N136" s="8">
        <f t="shared" si="41"/>
        <v>8221.0292703741525</v>
      </c>
      <c r="O136" s="84">
        <f t="shared" si="36"/>
        <v>7610.6161529048659</v>
      </c>
    </row>
    <row r="137" spans="1:15" x14ac:dyDescent="0.2">
      <c r="A137" s="96" t="s">
        <v>57</v>
      </c>
      <c r="B137" s="81" t="str">
        <f t="shared" si="49"/>
        <v>Q4/2014</v>
      </c>
      <c r="C137" s="82">
        <f t="shared" si="42"/>
        <v>41913</v>
      </c>
      <c r="D137" s="82">
        <f t="shared" si="43"/>
        <v>42004</v>
      </c>
      <c r="E137" s="81">
        <f t="shared" si="37"/>
        <v>92</v>
      </c>
      <c r="F137" s="83">
        <f>VLOOKUP(D137,'FERC Interest Rate'!$A:$B,2,TRUE)</f>
        <v>3.2500000000000001E-2</v>
      </c>
      <c r="G137" s="84">
        <f t="shared" si="38"/>
        <v>7610.6161529048659</v>
      </c>
      <c r="H137" s="84">
        <v>0</v>
      </c>
      <c r="I137" s="109">
        <f t="shared" si="46"/>
        <v>43.61543949320459</v>
      </c>
      <c r="J137" s="85">
        <f t="shared" si="47"/>
        <v>62.344499444343974</v>
      </c>
      <c r="K137" s="129">
        <f t="shared" si="39"/>
        <v>105.95993893754857</v>
      </c>
      <c r="L137" s="85">
        <f t="shared" si="48"/>
        <v>500</v>
      </c>
      <c r="M137" s="130">
        <f t="shared" si="40"/>
        <v>605.9599389375486</v>
      </c>
      <c r="N137" s="8">
        <f t="shared" si="41"/>
        <v>7672.9606523492102</v>
      </c>
      <c r="O137" s="84">
        <f t="shared" si="36"/>
        <v>7067.0007134116613</v>
      </c>
    </row>
    <row r="138" spans="1:15" x14ac:dyDescent="0.2">
      <c r="A138" s="96" t="s">
        <v>58</v>
      </c>
      <c r="B138" s="81" t="str">
        <f t="shared" si="49"/>
        <v>Q1/2015</v>
      </c>
      <c r="C138" s="82">
        <f t="shared" si="42"/>
        <v>42005</v>
      </c>
      <c r="D138" s="82">
        <f t="shared" si="43"/>
        <v>42094</v>
      </c>
      <c r="E138" s="81">
        <f t="shared" si="37"/>
        <v>90</v>
      </c>
      <c r="F138" s="83">
        <f>VLOOKUP(D138,'FERC Interest Rate'!$A:$B,2,TRUE)</f>
        <v>3.2500000000000001E-2</v>
      </c>
      <c r="G138" s="84">
        <f t="shared" si="38"/>
        <v>7067.0007134116613</v>
      </c>
      <c r="H138" s="84">
        <v>0</v>
      </c>
      <c r="I138" s="109">
        <f t="shared" si="46"/>
        <v>43.61543949320459</v>
      </c>
      <c r="J138" s="85">
        <f t="shared" si="47"/>
        <v>56.632813936244133</v>
      </c>
      <c r="K138" s="129">
        <f t="shared" si="39"/>
        <v>100.24825342944872</v>
      </c>
      <c r="L138" s="85">
        <f t="shared" si="48"/>
        <v>500</v>
      </c>
      <c r="M138" s="130">
        <f t="shared" si="40"/>
        <v>600.24825342944871</v>
      </c>
      <c r="N138" s="8">
        <f t="shared" si="41"/>
        <v>7123.6335273479053</v>
      </c>
      <c r="O138" s="84">
        <f t="shared" si="36"/>
        <v>6523.3852739184567</v>
      </c>
    </row>
    <row r="139" spans="1:15" x14ac:dyDescent="0.2">
      <c r="A139" s="96" t="s">
        <v>59</v>
      </c>
      <c r="B139" s="81" t="str">
        <f t="shared" si="49"/>
        <v>Q2/2015</v>
      </c>
      <c r="C139" s="82">
        <f t="shared" si="42"/>
        <v>42095</v>
      </c>
      <c r="D139" s="82">
        <f t="shared" si="43"/>
        <v>42185</v>
      </c>
      <c r="E139" s="81">
        <f t="shared" si="37"/>
        <v>91</v>
      </c>
      <c r="F139" s="83">
        <f>VLOOKUP(D139,'FERC Interest Rate'!$A:$B,2,TRUE)</f>
        <v>3.2500000000000001E-2</v>
      </c>
      <c r="G139" s="84">
        <f t="shared" si="38"/>
        <v>6523.3852739184567</v>
      </c>
      <c r="H139" s="84">
        <v>0</v>
      </c>
      <c r="I139" s="109">
        <f t="shared" si="46"/>
        <v>43.61543949320459</v>
      </c>
      <c r="J139" s="85">
        <f t="shared" si="47"/>
        <v>52.857293007161196</v>
      </c>
      <c r="K139" s="129">
        <f t="shared" si="39"/>
        <v>96.472732500365794</v>
      </c>
      <c r="L139" s="85">
        <f t="shared" si="48"/>
        <v>500</v>
      </c>
      <c r="M139" s="130">
        <f t="shared" si="40"/>
        <v>596.47273250036574</v>
      </c>
      <c r="N139" s="8">
        <f t="shared" si="41"/>
        <v>6576.2425669256181</v>
      </c>
      <c r="O139" s="84">
        <f t="shared" si="36"/>
        <v>5979.7698344252522</v>
      </c>
    </row>
    <row r="140" spans="1:15" x14ac:dyDescent="0.2">
      <c r="A140" s="96" t="s">
        <v>60</v>
      </c>
      <c r="B140" s="81" t="str">
        <f t="shared" si="49"/>
        <v>Q3/2015</v>
      </c>
      <c r="C140" s="82">
        <f t="shared" si="42"/>
        <v>42186</v>
      </c>
      <c r="D140" s="82">
        <f t="shared" si="43"/>
        <v>42277</v>
      </c>
      <c r="E140" s="81">
        <f t="shared" si="37"/>
        <v>92</v>
      </c>
      <c r="F140" s="83">
        <f>VLOOKUP(D140,'FERC Interest Rate'!$A:$B,2,TRUE)</f>
        <v>3.2500000000000001E-2</v>
      </c>
      <c r="G140" s="84">
        <f t="shared" si="38"/>
        <v>5979.7698344252522</v>
      </c>
      <c r="H140" s="84">
        <v>0</v>
      </c>
      <c r="I140" s="109">
        <f t="shared" si="46"/>
        <v>43.61543949320459</v>
      </c>
      <c r="J140" s="85">
        <f t="shared" si="47"/>
        <v>48.984963849127411</v>
      </c>
      <c r="K140" s="129">
        <f t="shared" si="39"/>
        <v>92.600403342332001</v>
      </c>
      <c r="L140" s="85">
        <f t="shared" si="48"/>
        <v>500</v>
      </c>
      <c r="M140" s="130">
        <f t="shared" si="40"/>
        <v>592.60040334233202</v>
      </c>
      <c r="N140" s="8">
        <f t="shared" si="41"/>
        <v>6028.7547982743799</v>
      </c>
      <c r="O140" s="84">
        <f t="shared" si="36"/>
        <v>5436.1543949320476</v>
      </c>
    </row>
    <row r="141" spans="1:15" x14ac:dyDescent="0.2">
      <c r="A141" s="96" t="s">
        <v>61</v>
      </c>
      <c r="B141" s="81" t="str">
        <f t="shared" si="49"/>
        <v>Q4/2015</v>
      </c>
      <c r="C141" s="82">
        <f t="shared" si="42"/>
        <v>42278</v>
      </c>
      <c r="D141" s="82">
        <f t="shared" si="43"/>
        <v>42369</v>
      </c>
      <c r="E141" s="81">
        <f t="shared" si="37"/>
        <v>92</v>
      </c>
      <c r="F141" s="83">
        <f>VLOOKUP(D141,'FERC Interest Rate'!$A:$B,2,TRUE)</f>
        <v>3.2500000000000001E-2</v>
      </c>
      <c r="G141" s="84">
        <f t="shared" si="38"/>
        <v>5436.1543949320476</v>
      </c>
      <c r="H141" s="84">
        <v>0</v>
      </c>
      <c r="I141" s="109">
        <f t="shared" si="46"/>
        <v>43.61543949320459</v>
      </c>
      <c r="J141" s="85">
        <f t="shared" si="47"/>
        <v>44.531785317388561</v>
      </c>
      <c r="K141" s="129">
        <f t="shared" si="39"/>
        <v>88.147224810593144</v>
      </c>
      <c r="L141" s="85">
        <f t="shared" si="48"/>
        <v>500</v>
      </c>
      <c r="M141" s="130">
        <f t="shared" si="40"/>
        <v>588.14722481059312</v>
      </c>
      <c r="N141" s="8">
        <f t="shared" si="41"/>
        <v>5480.6861802494359</v>
      </c>
      <c r="O141" s="84">
        <f t="shared" si="36"/>
        <v>4892.538955438843</v>
      </c>
    </row>
    <row r="142" spans="1:15" x14ac:dyDescent="0.2">
      <c r="A142" s="96" t="s">
        <v>62</v>
      </c>
      <c r="B142" s="81" t="str">
        <f t="shared" si="49"/>
        <v>Q1/2016</v>
      </c>
      <c r="C142" s="82">
        <f t="shared" si="42"/>
        <v>42370</v>
      </c>
      <c r="D142" s="82">
        <f t="shared" si="43"/>
        <v>42460</v>
      </c>
      <c r="E142" s="81">
        <f t="shared" si="37"/>
        <v>91</v>
      </c>
      <c r="F142" s="83">
        <f>VLOOKUP(D142,'FERC Interest Rate'!$A:$B,2,TRUE)</f>
        <v>3.2500000000000001E-2</v>
      </c>
      <c r="G142" s="84">
        <f t="shared" si="38"/>
        <v>4892.538955438843</v>
      </c>
      <c r="H142" s="84">
        <v>0</v>
      </c>
      <c r="I142" s="109">
        <f t="shared" si="46"/>
        <v>43.61543949320459</v>
      </c>
      <c r="J142" s="85">
        <f t="shared" si="47"/>
        <v>39.534655630356227</v>
      </c>
      <c r="K142" s="129">
        <f t="shared" si="39"/>
        <v>83.150095123560817</v>
      </c>
      <c r="L142" s="85">
        <f t="shared" si="48"/>
        <v>500</v>
      </c>
      <c r="M142" s="130">
        <f t="shared" si="40"/>
        <v>583.15009512356085</v>
      </c>
      <c r="N142" s="8">
        <f t="shared" si="41"/>
        <v>4932.0736110691996</v>
      </c>
      <c r="O142" s="84">
        <f t="shared" si="36"/>
        <v>4348.9235159456384</v>
      </c>
    </row>
    <row r="143" spans="1:15" x14ac:dyDescent="0.2">
      <c r="A143" s="96" t="s">
        <v>63</v>
      </c>
      <c r="B143" s="81" t="str">
        <f t="shared" si="49"/>
        <v>Q2/2016</v>
      </c>
      <c r="C143" s="82">
        <f t="shared" si="42"/>
        <v>42461</v>
      </c>
      <c r="D143" s="82">
        <f t="shared" si="43"/>
        <v>42551</v>
      </c>
      <c r="E143" s="81">
        <f t="shared" si="37"/>
        <v>91</v>
      </c>
      <c r="F143" s="83">
        <f>VLOOKUP(D143,'FERC Interest Rate'!$A:$B,2,TRUE)</f>
        <v>3.4599999999999999E-2</v>
      </c>
      <c r="G143" s="84">
        <f t="shared" si="38"/>
        <v>4348.9235159456384</v>
      </c>
      <c r="H143" s="84">
        <v>0</v>
      </c>
      <c r="I143" s="109">
        <f t="shared" si="46"/>
        <v>43.61543949320459</v>
      </c>
      <c r="J143" s="85">
        <f t="shared" si="47"/>
        <v>37.412624541820861</v>
      </c>
      <c r="K143" s="129">
        <f t="shared" si="39"/>
        <v>81.028064035025452</v>
      </c>
      <c r="L143" s="85">
        <f t="shared" si="48"/>
        <v>500</v>
      </c>
      <c r="M143" s="130">
        <f t="shared" si="40"/>
        <v>581.02806403502541</v>
      </c>
      <c r="N143" s="8">
        <f t="shared" si="41"/>
        <v>4386.3361404874595</v>
      </c>
      <c r="O143" s="84">
        <f t="shared" si="36"/>
        <v>3805.3080764524339</v>
      </c>
    </row>
    <row r="144" spans="1:15" x14ac:dyDescent="0.2">
      <c r="A144" s="96" t="s">
        <v>64</v>
      </c>
      <c r="B144" s="81" t="str">
        <f t="shared" si="49"/>
        <v>Q3/2016</v>
      </c>
      <c r="C144" s="82">
        <f t="shared" si="42"/>
        <v>42552</v>
      </c>
      <c r="D144" s="82">
        <f t="shared" si="43"/>
        <v>42643</v>
      </c>
      <c r="E144" s="81">
        <f t="shared" si="37"/>
        <v>92</v>
      </c>
      <c r="F144" s="83">
        <f>VLOOKUP(D144,'FERC Interest Rate'!$A:$B,2,TRUE)</f>
        <v>3.5000000000000003E-2</v>
      </c>
      <c r="G144" s="84">
        <f t="shared" si="38"/>
        <v>3805.3080764524339</v>
      </c>
      <c r="H144" s="84">
        <v>0</v>
      </c>
      <c r="I144" s="109">
        <f t="shared" si="46"/>
        <v>43.61543949320459</v>
      </c>
      <c r="J144" s="85">
        <f t="shared" si="47"/>
        <v>33.478393459499557</v>
      </c>
      <c r="K144" s="129">
        <f t="shared" si="39"/>
        <v>77.093832952704147</v>
      </c>
      <c r="L144" s="85">
        <f t="shared" si="48"/>
        <v>500</v>
      </c>
      <c r="M144" s="130">
        <f t="shared" si="40"/>
        <v>577.09383295270413</v>
      </c>
      <c r="N144" s="8">
        <f t="shared" si="41"/>
        <v>3838.7864699119336</v>
      </c>
      <c r="O144" s="84">
        <f t="shared" si="36"/>
        <v>3261.6926369592293</v>
      </c>
    </row>
    <row r="145" spans="1:15" x14ac:dyDescent="0.2">
      <c r="A145" s="96" t="s">
        <v>65</v>
      </c>
      <c r="B145" s="81" t="str">
        <f t="shared" si="49"/>
        <v>Q4/2016</v>
      </c>
      <c r="C145" s="82">
        <f t="shared" si="42"/>
        <v>42644</v>
      </c>
      <c r="D145" s="82">
        <f t="shared" si="43"/>
        <v>42735</v>
      </c>
      <c r="E145" s="81">
        <f t="shared" si="37"/>
        <v>92</v>
      </c>
      <c r="F145" s="83">
        <f>VLOOKUP(D145,'FERC Interest Rate'!$A:$B,2,TRUE)</f>
        <v>3.5000000000000003E-2</v>
      </c>
      <c r="G145" s="84">
        <f t="shared" si="38"/>
        <v>3261.6926369592293</v>
      </c>
      <c r="H145" s="84">
        <v>0</v>
      </c>
      <c r="I145" s="109">
        <f t="shared" si="46"/>
        <v>43.61543949320459</v>
      </c>
      <c r="J145" s="85">
        <f t="shared" si="47"/>
        <v>28.695765822428193</v>
      </c>
      <c r="K145" s="129">
        <f t="shared" si="39"/>
        <v>72.311205315632776</v>
      </c>
      <c r="L145" s="85">
        <f t="shared" si="48"/>
        <v>500</v>
      </c>
      <c r="M145" s="130">
        <f t="shared" si="40"/>
        <v>572.31120531563283</v>
      </c>
      <c r="N145" s="8">
        <f t="shared" si="41"/>
        <v>3290.3884027816575</v>
      </c>
      <c r="O145" s="84">
        <f t="shared" si="36"/>
        <v>2718.0771974660247</v>
      </c>
    </row>
    <row r="146" spans="1:15" x14ac:dyDescent="0.2">
      <c r="A146" s="96" t="s">
        <v>66</v>
      </c>
      <c r="B146" s="81" t="str">
        <f t="shared" si="49"/>
        <v>Q1/2017</v>
      </c>
      <c r="C146" s="82">
        <f t="shared" si="42"/>
        <v>42736</v>
      </c>
      <c r="D146" s="82">
        <f t="shared" si="43"/>
        <v>42825</v>
      </c>
      <c r="E146" s="81">
        <f t="shared" si="37"/>
        <v>90</v>
      </c>
      <c r="F146" s="83">
        <f>VLOOKUP(D146,'FERC Interest Rate'!$A:$B,2,TRUE)</f>
        <v>3.5000000000000003E-2</v>
      </c>
      <c r="G146" s="84">
        <f t="shared" si="38"/>
        <v>2718.0771974660247</v>
      </c>
      <c r="H146" s="84">
        <v>0</v>
      </c>
      <c r="I146" s="109">
        <f t="shared" si="46"/>
        <v>43.61543949320459</v>
      </c>
      <c r="J146" s="85">
        <f t="shared" si="47"/>
        <v>23.457378553473912</v>
      </c>
      <c r="K146" s="129">
        <f t="shared" si="39"/>
        <v>67.072818046678506</v>
      </c>
      <c r="L146" s="85">
        <f t="shared" si="48"/>
        <v>500</v>
      </c>
      <c r="M146" s="130">
        <f t="shared" si="40"/>
        <v>567.07281804667855</v>
      </c>
      <c r="N146" s="8">
        <f t="shared" si="41"/>
        <v>2741.5345760194987</v>
      </c>
      <c r="O146" s="84">
        <f t="shared" si="36"/>
        <v>2174.4617579728201</v>
      </c>
    </row>
    <row r="147" spans="1:15" x14ac:dyDescent="0.2">
      <c r="A147" s="96" t="s">
        <v>67</v>
      </c>
      <c r="B147" s="81" t="str">
        <f t="shared" si="49"/>
        <v>Q2/2017</v>
      </c>
      <c r="C147" s="82">
        <f t="shared" si="42"/>
        <v>42826</v>
      </c>
      <c r="D147" s="82">
        <f t="shared" si="43"/>
        <v>42916</v>
      </c>
      <c r="E147" s="81">
        <f t="shared" si="37"/>
        <v>91</v>
      </c>
      <c r="F147" s="83">
        <f>VLOOKUP(D147,'FERC Interest Rate'!$A:$B,2,TRUE)</f>
        <v>3.7100000000000001E-2</v>
      </c>
      <c r="G147" s="84">
        <f t="shared" si="38"/>
        <v>2174.4617579728201</v>
      </c>
      <c r="H147" s="84">
        <v>0</v>
      </c>
      <c r="I147" s="109">
        <f t="shared" si="46"/>
        <v>43.61543949320459</v>
      </c>
      <c r="J147" s="85">
        <f t="shared" si="47"/>
        <v>20.112877646827503</v>
      </c>
      <c r="K147" s="129">
        <f t="shared" si="39"/>
        <v>63.72831714003209</v>
      </c>
      <c r="L147" s="85">
        <f t="shared" si="48"/>
        <v>500</v>
      </c>
      <c r="M147" s="130">
        <f t="shared" si="40"/>
        <v>563.72831714003212</v>
      </c>
      <c r="N147" s="8">
        <f t="shared" si="41"/>
        <v>2194.5746356196478</v>
      </c>
      <c r="O147" s="84">
        <f t="shared" si="36"/>
        <v>1630.8463184796155</v>
      </c>
    </row>
    <row r="148" spans="1:15" x14ac:dyDescent="0.2">
      <c r="A148" s="96" t="s">
        <v>68</v>
      </c>
      <c r="B148" s="81" t="str">
        <f t="shared" si="49"/>
        <v>Q3/2017</v>
      </c>
      <c r="C148" s="82">
        <f t="shared" si="42"/>
        <v>42917</v>
      </c>
      <c r="D148" s="82">
        <f t="shared" si="43"/>
        <v>43008</v>
      </c>
      <c r="E148" s="81">
        <f t="shared" si="37"/>
        <v>92</v>
      </c>
      <c r="F148" s="83">
        <f>VLOOKUP(D148,'FERC Interest Rate'!$A:$B,2,TRUE)</f>
        <v>3.9600000000000003E-2</v>
      </c>
      <c r="G148" s="84">
        <f t="shared" si="38"/>
        <v>1630.8463184796155</v>
      </c>
      <c r="H148" s="84">
        <v>0</v>
      </c>
      <c r="I148" s="109">
        <f t="shared" si="46"/>
        <v>43.61543949320459</v>
      </c>
      <c r="J148" s="85">
        <f t="shared" si="47"/>
        <v>16.278080294479278</v>
      </c>
      <c r="K148" s="129">
        <f t="shared" si="39"/>
        <v>59.893519787683871</v>
      </c>
      <c r="L148" s="85">
        <f t="shared" si="48"/>
        <v>500</v>
      </c>
      <c r="M148" s="130">
        <f t="shared" si="40"/>
        <v>559.89351978768389</v>
      </c>
      <c r="N148" s="8">
        <f t="shared" si="41"/>
        <v>1647.1243987740947</v>
      </c>
      <c r="O148" s="84">
        <f t="shared" si="36"/>
        <v>1087.230878986411</v>
      </c>
    </row>
    <row r="149" spans="1:15" x14ac:dyDescent="0.2">
      <c r="A149" s="96" t="s">
        <v>69</v>
      </c>
      <c r="B149" s="81" t="str">
        <f t="shared" si="49"/>
        <v>Q4/2017</v>
      </c>
      <c r="C149" s="82">
        <f t="shared" si="42"/>
        <v>43009</v>
      </c>
      <c r="D149" s="82">
        <f t="shared" si="43"/>
        <v>43100</v>
      </c>
      <c r="E149" s="81">
        <f t="shared" si="37"/>
        <v>92</v>
      </c>
      <c r="F149" s="83">
        <f>VLOOKUP(D149,'FERC Interest Rate'!$A:$B,2,TRUE)</f>
        <v>4.2099999999999999E-2</v>
      </c>
      <c r="G149" s="84">
        <f t="shared" si="38"/>
        <v>1087.230878986411</v>
      </c>
      <c r="H149" s="84">
        <v>0</v>
      </c>
      <c r="I149" s="109">
        <f t="shared" si="46"/>
        <v>43.61543949320459</v>
      </c>
      <c r="J149" s="85">
        <f t="shared" si="47"/>
        <v>11.537157919151143</v>
      </c>
      <c r="K149" s="129">
        <f t="shared" si="39"/>
        <v>55.152597412355732</v>
      </c>
      <c r="L149" s="85">
        <f t="shared" si="48"/>
        <v>500</v>
      </c>
      <c r="M149" s="130">
        <f t="shared" si="40"/>
        <v>555.1525974123557</v>
      </c>
      <c r="N149" s="8">
        <f t="shared" si="41"/>
        <v>1098.7680369055622</v>
      </c>
      <c r="O149" s="84">
        <f t="shared" si="36"/>
        <v>543.6154394932064</v>
      </c>
    </row>
    <row r="150" spans="1:15" x14ac:dyDescent="0.2">
      <c r="A150" s="96" t="s">
        <v>70</v>
      </c>
      <c r="B150" s="81" t="str">
        <f t="shared" si="49"/>
        <v>Q1/2018</v>
      </c>
      <c r="C150" s="82">
        <f t="shared" si="42"/>
        <v>43101</v>
      </c>
      <c r="D150" s="82">
        <f t="shared" si="43"/>
        <v>43190</v>
      </c>
      <c r="E150" s="81">
        <f t="shared" si="37"/>
        <v>90</v>
      </c>
      <c r="F150" s="83">
        <f>VLOOKUP(D150,'FERC Interest Rate'!$A:$B,2,TRUE)</f>
        <v>4.2500000000000003E-2</v>
      </c>
      <c r="G150" s="84">
        <f t="shared" si="38"/>
        <v>543.6154394932064</v>
      </c>
      <c r="H150" s="84">
        <v>0</v>
      </c>
      <c r="I150" s="109">
        <f t="shared" si="46"/>
        <v>43.61543949320459</v>
      </c>
      <c r="J150" s="85">
        <f t="shared" si="47"/>
        <v>5.696791934415109</v>
      </c>
      <c r="K150" s="129">
        <f t="shared" si="39"/>
        <v>49.3122314276197</v>
      </c>
      <c r="L150" s="85">
        <f t="shared" si="48"/>
        <v>500</v>
      </c>
      <c r="M150" s="130">
        <f t="shared" si="40"/>
        <v>549.31223142761974</v>
      </c>
      <c r="N150" s="8">
        <f t="shared" si="41"/>
        <v>549.31223142762155</v>
      </c>
      <c r="O150" s="84">
        <f t="shared" si="36"/>
        <v>1.8047785488306545E-12</v>
      </c>
    </row>
    <row r="151" spans="1:15" x14ac:dyDescent="0.2">
      <c r="A151" s="96"/>
      <c r="B151" s="81"/>
      <c r="C151" s="82"/>
      <c r="D151" s="82"/>
      <c r="E151" s="81"/>
      <c r="F151" s="83"/>
      <c r="G151" s="84"/>
      <c r="H151" s="84"/>
      <c r="I151" s="109"/>
      <c r="J151" s="85"/>
      <c r="K151" s="129"/>
      <c r="L151" s="85"/>
      <c r="M151" s="130"/>
      <c r="N151" s="8"/>
      <c r="O151" s="84"/>
    </row>
    <row r="152" spans="1:15" ht="13.5" thickBot="1" x14ac:dyDescent="0.25">
      <c r="A152" s="151"/>
      <c r="B152" s="152"/>
      <c r="C152" s="153"/>
      <c r="D152" s="153"/>
      <c r="E152" s="154"/>
      <c r="F152" s="152"/>
      <c r="G152" s="137">
        <f>SUM(G124:G151)</f>
        <v>187955.78649120935</v>
      </c>
      <c r="H152" s="137">
        <f>SUM(H124:H151)</f>
        <v>872.30878986409186</v>
      </c>
      <c r="I152" s="138">
        <f t="shared" ref="I152:O152" si="50">SUM(I124:I151)</f>
        <v>872.30878986409164</v>
      </c>
      <c r="J152" s="137">
        <f t="shared" si="50"/>
        <v>618.82915000901482</v>
      </c>
      <c r="K152" s="137">
        <f t="shared" si="50"/>
        <v>1491.1379398731067</v>
      </c>
      <c r="L152" s="137">
        <f t="shared" si="50"/>
        <v>10000</v>
      </c>
      <c r="M152" s="139">
        <f t="shared" si="50"/>
        <v>11491.137939873108</v>
      </c>
      <c r="N152" s="137">
        <f t="shared" si="50"/>
        <v>189446.92443108247</v>
      </c>
      <c r="O152" s="137">
        <f t="shared" si="50"/>
        <v>177955.78649120941</v>
      </c>
    </row>
    <row r="153" spans="1:15" ht="13.5" thickTop="1" x14ac:dyDescent="0.2">
      <c r="B153" s="117"/>
      <c r="C153" s="117"/>
      <c r="D153" s="117"/>
      <c r="E153" s="117"/>
      <c r="F153" s="117"/>
      <c r="G153" s="117"/>
      <c r="H153" s="117"/>
      <c r="I153" s="116"/>
      <c r="J153" s="117"/>
      <c r="K153" s="117"/>
      <c r="L153" s="117"/>
      <c r="M153" s="131"/>
      <c r="O153" s="117"/>
    </row>
    <row r="154" spans="1:15" ht="38.25" x14ac:dyDescent="0.2">
      <c r="A154" s="90" t="s">
        <v>53</v>
      </c>
      <c r="B154" s="90" t="s">
        <v>3</v>
      </c>
      <c r="C154" s="90" t="s">
        <v>4</v>
      </c>
      <c r="D154" s="90" t="s">
        <v>5</v>
      </c>
      <c r="E154" s="90" t="s">
        <v>6</v>
      </c>
      <c r="F154" s="90" t="s">
        <v>7</v>
      </c>
      <c r="G154" s="90" t="s">
        <v>93</v>
      </c>
      <c r="H154" s="90" t="s">
        <v>94</v>
      </c>
      <c r="I154" s="105" t="s">
        <v>95</v>
      </c>
      <c r="J154" s="106" t="s">
        <v>96</v>
      </c>
      <c r="K154" s="106" t="s">
        <v>97</v>
      </c>
      <c r="L154" s="106" t="s">
        <v>98</v>
      </c>
      <c r="M154" s="107" t="s">
        <v>99</v>
      </c>
      <c r="N154" s="90" t="s">
        <v>100</v>
      </c>
      <c r="O154" s="90" t="s">
        <v>101</v>
      </c>
    </row>
    <row r="155" spans="1:15" x14ac:dyDescent="0.2">
      <c r="A155" s="275" t="s">
        <v>15</v>
      </c>
      <c r="B155" s="275"/>
      <c r="C155" s="282">
        <f>VLOOKUP(B156,A$1:F$33,2,FALSE)</f>
        <v>40820</v>
      </c>
      <c r="D155" s="282">
        <f>DATE(YEAR(C155),IF(MONTH(C155)&lt;=3,3,IF(MONTH(C155)&lt;=6,6,IF(MONTH(C155)&lt;=9,9,12))),IF(OR(MONTH(C155)&lt;=3,MONTH(C155)&gt;=10),31,30))</f>
        <v>40908</v>
      </c>
      <c r="E155" s="283">
        <f>D155-C155+1</f>
        <v>89</v>
      </c>
      <c r="F155" s="284">
        <f>VLOOKUP(D155,'FERC Interest Rate'!$A:$B,2,TRUE)</f>
        <v>3.2500000000000001E-2</v>
      </c>
      <c r="G155" s="167">
        <f>VLOOKUP(B156,$A$1:$F$33,5,FALSE)</f>
        <v>20000</v>
      </c>
      <c r="H155" s="167">
        <f t="shared" ref="H155:H164" si="51">G155*F155*(E155/(DATE(YEAR(D155),12,31)-DATE(YEAR(D155),1,1)+1))</f>
        <v>158.49315068493149</v>
      </c>
      <c r="I155" s="291">
        <v>0</v>
      </c>
      <c r="J155" s="286">
        <v>0</v>
      </c>
      <c r="K155" s="288">
        <f t="shared" ref="K155:K180" si="52">+SUM(I155:J155)</f>
        <v>0</v>
      </c>
      <c r="L155" s="286">
        <v>0</v>
      </c>
      <c r="M155" s="289">
        <f t="shared" ref="M155:M180" si="53">+SUM(K155:L155)</f>
        <v>0</v>
      </c>
      <c r="N155" s="290">
        <f t="shared" ref="N155:N180" si="54">+G155+H155+J155</f>
        <v>20158.493150684932</v>
      </c>
      <c r="O155" s="167">
        <f t="shared" ref="O155:O180" si="55">G155+H155-L155-I155</f>
        <v>20158.493150684932</v>
      </c>
    </row>
    <row r="156" spans="1:15" x14ac:dyDescent="0.2">
      <c r="A156" s="275" t="s">
        <v>38</v>
      </c>
      <c r="B156" s="276" t="s">
        <v>71</v>
      </c>
      <c r="C156" s="282">
        <f>D155+1</f>
        <v>40909</v>
      </c>
      <c r="D156" s="282">
        <f>EOMONTH(D155,3)</f>
        <v>40999</v>
      </c>
      <c r="E156" s="283">
        <f t="shared" ref="E156:E180" si="56">D156-C156+1</f>
        <v>91</v>
      </c>
      <c r="F156" s="284">
        <f>VLOOKUP(D156,'FERC Interest Rate'!$A:$B,2,TRUE)</f>
        <v>3.2500000000000001E-2</v>
      </c>
      <c r="G156" s="167">
        <f t="shared" ref="G156:G180" si="57">O155</f>
        <v>20158.493150684932</v>
      </c>
      <c r="H156" s="167">
        <f t="shared" si="51"/>
        <v>162.89274178456472</v>
      </c>
      <c r="I156" s="291">
        <v>0</v>
      </c>
      <c r="J156" s="286">
        <v>0</v>
      </c>
      <c r="K156" s="288">
        <f t="shared" si="52"/>
        <v>0</v>
      </c>
      <c r="L156" s="286">
        <v>0</v>
      </c>
      <c r="M156" s="289">
        <f t="shared" si="53"/>
        <v>0</v>
      </c>
      <c r="N156" s="290">
        <f t="shared" si="54"/>
        <v>20321.385892469498</v>
      </c>
      <c r="O156" s="167">
        <f t="shared" si="55"/>
        <v>20321.385892469498</v>
      </c>
    </row>
    <row r="157" spans="1:15" x14ac:dyDescent="0.2">
      <c r="A157" s="292"/>
      <c r="B157" s="283"/>
      <c r="C157" s="282">
        <f t="shared" ref="C157:C180" si="58">D156+1</f>
        <v>41000</v>
      </c>
      <c r="D157" s="282">
        <f t="shared" ref="D157:D180" si="59">EOMONTH(D156,3)</f>
        <v>41090</v>
      </c>
      <c r="E157" s="283">
        <f t="shared" si="56"/>
        <v>91</v>
      </c>
      <c r="F157" s="284">
        <f>VLOOKUP(D157,'FERC Interest Rate'!$A:$B,2,TRUE)</f>
        <v>3.2500000000000001E-2</v>
      </c>
      <c r="G157" s="167">
        <f t="shared" si="57"/>
        <v>20321.385892469498</v>
      </c>
      <c r="H157" s="167">
        <f t="shared" si="51"/>
        <v>164.20901305185393</v>
      </c>
      <c r="I157" s="291">
        <v>0</v>
      </c>
      <c r="J157" s="286">
        <v>0</v>
      </c>
      <c r="K157" s="288">
        <f t="shared" si="52"/>
        <v>0</v>
      </c>
      <c r="L157" s="286">
        <v>0</v>
      </c>
      <c r="M157" s="289">
        <f t="shared" si="53"/>
        <v>0</v>
      </c>
      <c r="N157" s="290">
        <f t="shared" si="54"/>
        <v>20485.594905521353</v>
      </c>
      <c r="O157" s="167">
        <f t="shared" si="55"/>
        <v>20485.594905521353</v>
      </c>
    </row>
    <row r="158" spans="1:15" x14ac:dyDescent="0.2">
      <c r="A158" s="292"/>
      <c r="B158" s="283"/>
      <c r="C158" s="282">
        <f t="shared" si="58"/>
        <v>41091</v>
      </c>
      <c r="D158" s="282">
        <f t="shared" si="59"/>
        <v>41182</v>
      </c>
      <c r="E158" s="283">
        <f t="shared" si="56"/>
        <v>92</v>
      </c>
      <c r="F158" s="284">
        <f>VLOOKUP(D158,'FERC Interest Rate'!$A:$B,2,TRUE)</f>
        <v>3.2500000000000001E-2</v>
      </c>
      <c r="G158" s="167">
        <f t="shared" si="57"/>
        <v>20485.594905521353</v>
      </c>
      <c r="H158" s="167">
        <f t="shared" si="51"/>
        <v>167.35499663253782</v>
      </c>
      <c r="I158" s="291">
        <v>0</v>
      </c>
      <c r="J158" s="286">
        <v>0</v>
      </c>
      <c r="K158" s="288">
        <f t="shared" si="52"/>
        <v>0</v>
      </c>
      <c r="L158" s="286">
        <v>0</v>
      </c>
      <c r="M158" s="289">
        <f t="shared" si="53"/>
        <v>0</v>
      </c>
      <c r="N158" s="290">
        <f t="shared" si="54"/>
        <v>20652.94990215389</v>
      </c>
      <c r="O158" s="167">
        <f t="shared" si="55"/>
        <v>20652.94990215389</v>
      </c>
    </row>
    <row r="159" spans="1:15" x14ac:dyDescent="0.2">
      <c r="A159" s="292"/>
      <c r="B159" s="283"/>
      <c r="C159" s="282">
        <f t="shared" si="58"/>
        <v>41183</v>
      </c>
      <c r="D159" s="282">
        <f t="shared" si="59"/>
        <v>41274</v>
      </c>
      <c r="E159" s="283">
        <f t="shared" si="56"/>
        <v>92</v>
      </c>
      <c r="F159" s="284">
        <f>VLOOKUP(D159,'FERC Interest Rate'!$A:$B,2,TRUE)</f>
        <v>3.2500000000000001E-2</v>
      </c>
      <c r="G159" s="167">
        <f t="shared" si="57"/>
        <v>20652.94990215389</v>
      </c>
      <c r="H159" s="167">
        <f t="shared" si="51"/>
        <v>168.72218635912606</v>
      </c>
      <c r="I159" s="291">
        <v>0</v>
      </c>
      <c r="J159" s="286">
        <v>0</v>
      </c>
      <c r="K159" s="288">
        <f t="shared" si="52"/>
        <v>0</v>
      </c>
      <c r="L159" s="286">
        <v>0</v>
      </c>
      <c r="M159" s="289">
        <f t="shared" si="53"/>
        <v>0</v>
      </c>
      <c r="N159" s="290">
        <f t="shared" si="54"/>
        <v>20821.672088513016</v>
      </c>
      <c r="O159" s="167">
        <f t="shared" si="55"/>
        <v>20821.672088513016</v>
      </c>
    </row>
    <row r="160" spans="1:15" x14ac:dyDescent="0.2">
      <c r="A160" s="292"/>
      <c r="B160" s="283"/>
      <c r="C160" s="282">
        <f t="shared" si="58"/>
        <v>41275</v>
      </c>
      <c r="D160" s="282">
        <f t="shared" si="59"/>
        <v>41364</v>
      </c>
      <c r="E160" s="283">
        <f t="shared" si="56"/>
        <v>90</v>
      </c>
      <c r="F160" s="284">
        <f>VLOOKUP(D160,'FERC Interest Rate'!$A:$B,2,TRUE)</f>
        <v>3.2500000000000001E-2</v>
      </c>
      <c r="G160" s="167">
        <f t="shared" si="57"/>
        <v>20821.672088513016</v>
      </c>
      <c r="H160" s="167">
        <f t="shared" si="51"/>
        <v>166.85860509287829</v>
      </c>
      <c r="I160" s="291">
        <v>0</v>
      </c>
      <c r="J160" s="286">
        <v>0</v>
      </c>
      <c r="K160" s="288">
        <f t="shared" si="52"/>
        <v>0</v>
      </c>
      <c r="L160" s="286">
        <v>0</v>
      </c>
      <c r="M160" s="289">
        <f t="shared" si="53"/>
        <v>0</v>
      </c>
      <c r="N160" s="290">
        <f t="shared" si="54"/>
        <v>20988.530693605895</v>
      </c>
      <c r="O160" s="167">
        <f t="shared" si="55"/>
        <v>20988.530693605895</v>
      </c>
    </row>
    <row r="161" spans="1:15" x14ac:dyDescent="0.2">
      <c r="A161" s="292"/>
      <c r="B161" s="283"/>
      <c r="C161" s="282">
        <f t="shared" ref="C161:C169" si="60">D160+1</f>
        <v>41365</v>
      </c>
      <c r="D161" s="282">
        <f t="shared" si="59"/>
        <v>41455</v>
      </c>
      <c r="E161" s="283">
        <f t="shared" ref="E161:E169" si="61">D161-C161+1</f>
        <v>91</v>
      </c>
      <c r="F161" s="284">
        <f>VLOOKUP(D161,'FERC Interest Rate'!$A:$B,2,TRUE)</f>
        <v>3.2500000000000001E-2</v>
      </c>
      <c r="G161" s="167">
        <f t="shared" si="57"/>
        <v>20988.530693605895</v>
      </c>
      <c r="H161" s="167">
        <f t="shared" si="51"/>
        <v>170.06460144202586</v>
      </c>
      <c r="I161" s="291">
        <v>0</v>
      </c>
      <c r="J161" s="286">
        <v>0</v>
      </c>
      <c r="K161" s="288">
        <f t="shared" si="52"/>
        <v>0</v>
      </c>
      <c r="L161" s="286">
        <v>0</v>
      </c>
      <c r="M161" s="289">
        <f t="shared" si="53"/>
        <v>0</v>
      </c>
      <c r="N161" s="290">
        <f t="shared" si="54"/>
        <v>21158.595295047922</v>
      </c>
      <c r="O161" s="167">
        <f t="shared" si="55"/>
        <v>21158.595295047922</v>
      </c>
    </row>
    <row r="162" spans="1:15" x14ac:dyDescent="0.2">
      <c r="A162" s="292"/>
      <c r="B162" s="283"/>
      <c r="C162" s="282">
        <f t="shared" si="60"/>
        <v>41456</v>
      </c>
      <c r="D162" s="282">
        <f t="shared" si="59"/>
        <v>41547</v>
      </c>
      <c r="E162" s="283">
        <f t="shared" si="61"/>
        <v>92</v>
      </c>
      <c r="F162" s="284">
        <f>VLOOKUP(D162,'FERC Interest Rate'!$A:$B,2,TRUE)</f>
        <v>3.2500000000000001E-2</v>
      </c>
      <c r="G162" s="167">
        <f t="shared" si="57"/>
        <v>21158.595295047922</v>
      </c>
      <c r="H162" s="167">
        <f t="shared" si="51"/>
        <v>173.32657515669396</v>
      </c>
      <c r="I162" s="291">
        <v>0</v>
      </c>
      <c r="J162" s="286">
        <v>0</v>
      </c>
      <c r="K162" s="288">
        <f t="shared" si="52"/>
        <v>0</v>
      </c>
      <c r="L162" s="286">
        <v>0</v>
      </c>
      <c r="M162" s="289">
        <f t="shared" si="53"/>
        <v>0</v>
      </c>
      <c r="N162" s="290">
        <f t="shared" si="54"/>
        <v>21331.921870204616</v>
      </c>
      <c r="O162" s="167">
        <f t="shared" si="55"/>
        <v>21331.921870204616</v>
      </c>
    </row>
    <row r="163" spans="1:15" x14ac:dyDescent="0.2">
      <c r="A163" s="292"/>
      <c r="B163" s="283"/>
      <c r="C163" s="282">
        <f t="shared" si="60"/>
        <v>41548</v>
      </c>
      <c r="D163" s="282">
        <f t="shared" si="59"/>
        <v>41639</v>
      </c>
      <c r="E163" s="283">
        <f t="shared" si="61"/>
        <v>92</v>
      </c>
      <c r="F163" s="284">
        <f>VLOOKUP(D163,'FERC Interest Rate'!$A:$B,2,TRUE)</f>
        <v>3.2500000000000001E-2</v>
      </c>
      <c r="G163" s="167">
        <f t="shared" si="57"/>
        <v>21331.921870204616</v>
      </c>
      <c r="H163" s="167">
        <f t="shared" si="51"/>
        <v>174.74642847099128</v>
      </c>
      <c r="I163" s="291">
        <v>0</v>
      </c>
      <c r="J163" s="286">
        <v>0</v>
      </c>
      <c r="K163" s="288">
        <f t="shared" si="52"/>
        <v>0</v>
      </c>
      <c r="L163" s="286">
        <v>0</v>
      </c>
      <c r="M163" s="289">
        <f t="shared" si="53"/>
        <v>0</v>
      </c>
      <c r="N163" s="290">
        <f t="shared" si="54"/>
        <v>21506.668298675606</v>
      </c>
      <c r="O163" s="167">
        <f t="shared" si="55"/>
        <v>21506.668298675606</v>
      </c>
    </row>
    <row r="164" spans="1:15" x14ac:dyDescent="0.2">
      <c r="A164" s="96" t="s">
        <v>54</v>
      </c>
      <c r="B164" s="81" t="str">
        <f>+IF(MONTH(C164)&lt;4,"Q1",IF(MONTH(C164)&lt;7,"Q2",IF(MONTH(C164)&lt;10,"Q3","Q4")))&amp;"/"&amp;YEAR(C164)</f>
        <v>Q1/2014</v>
      </c>
      <c r="C164" s="82">
        <f t="shared" si="60"/>
        <v>41640</v>
      </c>
      <c r="D164" s="82">
        <f t="shared" si="59"/>
        <v>41729</v>
      </c>
      <c r="E164" s="81">
        <f t="shared" si="61"/>
        <v>90</v>
      </c>
      <c r="F164" s="83">
        <f>VLOOKUP(D164,'FERC Interest Rate'!$A:$B,2,TRUE)</f>
        <v>3.2500000000000001E-2</v>
      </c>
      <c r="G164" s="84">
        <f t="shared" si="57"/>
        <v>21506.668298675606</v>
      </c>
      <c r="H164" s="167">
        <f t="shared" si="51"/>
        <v>172.34795828390725</v>
      </c>
      <c r="I164" s="109">
        <f>(SUM($H$155:$H$180)/20)*4</f>
        <v>335.80325139190211</v>
      </c>
      <c r="J164" s="85">
        <v>0</v>
      </c>
      <c r="K164" s="129">
        <f t="shared" si="52"/>
        <v>335.80325139190211</v>
      </c>
      <c r="L164" s="85">
        <f>($G$155/20)*4</f>
        <v>4000</v>
      </c>
      <c r="M164" s="130">
        <f t="shared" si="53"/>
        <v>4335.8032513919024</v>
      </c>
      <c r="N164" s="8">
        <f t="shared" si="54"/>
        <v>21679.016256959512</v>
      </c>
      <c r="O164" s="84">
        <f t="shared" si="55"/>
        <v>17343.21300556761</v>
      </c>
    </row>
    <row r="165" spans="1:15" x14ac:dyDescent="0.2">
      <c r="A165" s="96" t="s">
        <v>55</v>
      </c>
      <c r="B165" s="81" t="str">
        <f>+IF(MONTH(C165)&lt;4,"Q1",IF(MONTH(C165)&lt;7,"Q2",IF(MONTH(C165)&lt;10,"Q3","Q4")))&amp;"/"&amp;YEAR(C165)</f>
        <v>Q2/2014</v>
      </c>
      <c r="C165" s="82">
        <f t="shared" si="60"/>
        <v>41730</v>
      </c>
      <c r="D165" s="82">
        <f t="shared" si="59"/>
        <v>41820</v>
      </c>
      <c r="E165" s="81">
        <f t="shared" si="61"/>
        <v>91</v>
      </c>
      <c r="F165" s="83">
        <f>VLOOKUP(D165,'FERC Interest Rate'!$A:$B,2,TRUE)</f>
        <v>3.2500000000000001E-2</v>
      </c>
      <c r="G165" s="84">
        <f t="shared" si="57"/>
        <v>17343.21300556761</v>
      </c>
      <c r="H165" s="84">
        <v>0</v>
      </c>
      <c r="I165" s="109">
        <f t="shared" ref="I165:I180" si="62">SUM($H$155:$H$180)/20</f>
        <v>83.950812847975527</v>
      </c>
      <c r="J165" s="85">
        <f t="shared" ref="J165:J180" si="63">G165*F165*(E165/(DATE(YEAR(D165),12,31)-DATE(YEAR(D165),1,1)+1))</f>
        <v>140.5275409971677</v>
      </c>
      <c r="K165" s="129">
        <f t="shared" si="52"/>
        <v>224.47835384514323</v>
      </c>
      <c r="L165" s="85">
        <f t="shared" ref="L165:L180" si="64">$G$155/20</f>
        <v>1000</v>
      </c>
      <c r="M165" s="130">
        <f t="shared" si="53"/>
        <v>1224.4783538451431</v>
      </c>
      <c r="N165" s="8">
        <f t="shared" si="54"/>
        <v>17483.740546564779</v>
      </c>
      <c r="O165" s="84">
        <f t="shared" si="55"/>
        <v>16259.262192719634</v>
      </c>
    </row>
    <row r="166" spans="1:15" x14ac:dyDescent="0.2">
      <c r="A166" s="96" t="s">
        <v>56</v>
      </c>
      <c r="B166" s="81" t="str">
        <f t="shared" ref="B166:B180" si="65">+IF(MONTH(C166)&lt;4,"Q1",IF(MONTH(C166)&lt;7,"Q2",IF(MONTH(C166)&lt;10,"Q3","Q4")))&amp;"/"&amp;YEAR(C166)</f>
        <v>Q3/2014</v>
      </c>
      <c r="C166" s="82">
        <f t="shared" si="60"/>
        <v>41821</v>
      </c>
      <c r="D166" s="82">
        <f t="shared" si="59"/>
        <v>41912</v>
      </c>
      <c r="E166" s="81">
        <f t="shared" si="61"/>
        <v>92</v>
      </c>
      <c r="F166" s="83">
        <f>VLOOKUP(D166,'FERC Interest Rate'!$A:$B,2,TRUE)</f>
        <v>3.2500000000000001E-2</v>
      </c>
      <c r="G166" s="84">
        <f t="shared" si="57"/>
        <v>16259.262192719634</v>
      </c>
      <c r="H166" s="84">
        <v>0</v>
      </c>
      <c r="I166" s="109">
        <f t="shared" si="62"/>
        <v>83.950812847975527</v>
      </c>
      <c r="J166" s="85">
        <f t="shared" si="63"/>
        <v>133.19231220885402</v>
      </c>
      <c r="K166" s="129">
        <f t="shared" si="52"/>
        <v>217.14312505682955</v>
      </c>
      <c r="L166" s="85">
        <f t="shared" si="64"/>
        <v>1000</v>
      </c>
      <c r="M166" s="130">
        <f t="shared" si="53"/>
        <v>1217.1431250568296</v>
      </c>
      <c r="N166" s="8">
        <f t="shared" si="54"/>
        <v>16392.45450492849</v>
      </c>
      <c r="O166" s="84">
        <f t="shared" si="55"/>
        <v>15175.311379871659</v>
      </c>
    </row>
    <row r="167" spans="1:15" x14ac:dyDescent="0.2">
      <c r="A167" s="96" t="s">
        <v>57</v>
      </c>
      <c r="B167" s="81" t="str">
        <f t="shared" si="65"/>
        <v>Q4/2014</v>
      </c>
      <c r="C167" s="82">
        <f t="shared" si="60"/>
        <v>41913</v>
      </c>
      <c r="D167" s="82">
        <f t="shared" si="59"/>
        <v>42004</v>
      </c>
      <c r="E167" s="81">
        <f t="shared" si="61"/>
        <v>92</v>
      </c>
      <c r="F167" s="83">
        <f>VLOOKUP(D167,'FERC Interest Rate'!$A:$B,2,TRUE)</f>
        <v>3.2500000000000001E-2</v>
      </c>
      <c r="G167" s="84">
        <f t="shared" si="57"/>
        <v>15175.311379871659</v>
      </c>
      <c r="H167" s="84">
        <v>0</v>
      </c>
      <c r="I167" s="109">
        <f t="shared" si="62"/>
        <v>83.950812847975527</v>
      </c>
      <c r="J167" s="85">
        <f t="shared" si="63"/>
        <v>124.31282472826373</v>
      </c>
      <c r="K167" s="129">
        <f t="shared" si="52"/>
        <v>208.26363757623926</v>
      </c>
      <c r="L167" s="85">
        <f t="shared" si="64"/>
        <v>1000</v>
      </c>
      <c r="M167" s="130">
        <f t="shared" si="53"/>
        <v>1208.2636375762393</v>
      </c>
      <c r="N167" s="8">
        <f t="shared" si="54"/>
        <v>15299.624204599922</v>
      </c>
      <c r="O167" s="84">
        <f t="shared" si="55"/>
        <v>14091.360567023683</v>
      </c>
    </row>
    <row r="168" spans="1:15" x14ac:dyDescent="0.2">
      <c r="A168" s="96" t="s">
        <v>58</v>
      </c>
      <c r="B168" s="81" t="str">
        <f t="shared" si="65"/>
        <v>Q1/2015</v>
      </c>
      <c r="C168" s="82">
        <f t="shared" si="60"/>
        <v>42005</v>
      </c>
      <c r="D168" s="82">
        <f t="shared" si="59"/>
        <v>42094</v>
      </c>
      <c r="E168" s="81">
        <f t="shared" si="61"/>
        <v>90</v>
      </c>
      <c r="F168" s="83">
        <f>VLOOKUP(D168,'FERC Interest Rate'!$A:$B,2,TRUE)</f>
        <v>3.2500000000000001E-2</v>
      </c>
      <c r="G168" s="84">
        <f t="shared" si="57"/>
        <v>14091.360567023683</v>
      </c>
      <c r="H168" s="84">
        <v>0</v>
      </c>
      <c r="I168" s="109">
        <f t="shared" si="62"/>
        <v>83.950812847975527</v>
      </c>
      <c r="J168" s="85">
        <f t="shared" si="63"/>
        <v>112.92391687272404</v>
      </c>
      <c r="K168" s="129">
        <f t="shared" si="52"/>
        <v>196.87472972069958</v>
      </c>
      <c r="L168" s="85">
        <f t="shared" si="64"/>
        <v>1000</v>
      </c>
      <c r="M168" s="130">
        <f t="shared" si="53"/>
        <v>1196.8747297206996</v>
      </c>
      <c r="N168" s="8">
        <f t="shared" si="54"/>
        <v>14204.284483896407</v>
      </c>
      <c r="O168" s="84">
        <f t="shared" si="55"/>
        <v>13007.409754175707</v>
      </c>
    </row>
    <row r="169" spans="1:15" x14ac:dyDescent="0.2">
      <c r="A169" s="96" t="s">
        <v>59</v>
      </c>
      <c r="B169" s="81" t="str">
        <f t="shared" si="65"/>
        <v>Q2/2015</v>
      </c>
      <c r="C169" s="82">
        <f t="shared" si="60"/>
        <v>42095</v>
      </c>
      <c r="D169" s="82">
        <f t="shared" si="59"/>
        <v>42185</v>
      </c>
      <c r="E169" s="81">
        <f t="shared" si="61"/>
        <v>91</v>
      </c>
      <c r="F169" s="83">
        <f>VLOOKUP(D169,'FERC Interest Rate'!$A:$B,2,TRUE)</f>
        <v>3.2500000000000001E-2</v>
      </c>
      <c r="G169" s="84">
        <f t="shared" si="57"/>
        <v>13007.409754175707</v>
      </c>
      <c r="H169" s="84">
        <v>0</v>
      </c>
      <c r="I169" s="109">
        <f t="shared" si="62"/>
        <v>83.950812847975527</v>
      </c>
      <c r="J169" s="85">
        <f t="shared" si="63"/>
        <v>105.39565574787576</v>
      </c>
      <c r="K169" s="129">
        <f t="shared" si="52"/>
        <v>189.34646859585129</v>
      </c>
      <c r="L169" s="85">
        <f t="shared" si="64"/>
        <v>1000</v>
      </c>
      <c r="M169" s="130">
        <f t="shared" si="53"/>
        <v>1189.3464685958513</v>
      </c>
      <c r="N169" s="8">
        <f t="shared" si="54"/>
        <v>13112.805409923583</v>
      </c>
      <c r="O169" s="84">
        <f t="shared" si="55"/>
        <v>11923.458941327732</v>
      </c>
    </row>
    <row r="170" spans="1:15" x14ac:dyDescent="0.2">
      <c r="A170" s="96" t="s">
        <v>60</v>
      </c>
      <c r="B170" s="81" t="str">
        <f t="shared" si="65"/>
        <v>Q3/2015</v>
      </c>
      <c r="C170" s="82">
        <f t="shared" si="58"/>
        <v>42186</v>
      </c>
      <c r="D170" s="82">
        <f t="shared" si="59"/>
        <v>42277</v>
      </c>
      <c r="E170" s="81">
        <f t="shared" si="56"/>
        <v>92</v>
      </c>
      <c r="F170" s="83">
        <f>VLOOKUP(D170,'FERC Interest Rate'!$A:$B,2,TRUE)</f>
        <v>3.2500000000000001E-2</v>
      </c>
      <c r="G170" s="84">
        <f t="shared" si="57"/>
        <v>11923.458941327732</v>
      </c>
      <c r="H170" s="84">
        <v>0</v>
      </c>
      <c r="I170" s="109">
        <f t="shared" si="62"/>
        <v>83.950812847975527</v>
      </c>
      <c r="J170" s="85">
        <f t="shared" si="63"/>
        <v>97.674362286492936</v>
      </c>
      <c r="K170" s="129">
        <f t="shared" si="52"/>
        <v>181.62517513446846</v>
      </c>
      <c r="L170" s="85">
        <f t="shared" si="64"/>
        <v>1000</v>
      </c>
      <c r="M170" s="130">
        <f t="shared" si="53"/>
        <v>1181.6251751344685</v>
      </c>
      <c r="N170" s="8">
        <f t="shared" si="54"/>
        <v>12021.133303614224</v>
      </c>
      <c r="O170" s="84">
        <f t="shared" si="55"/>
        <v>10839.508128479756</v>
      </c>
    </row>
    <row r="171" spans="1:15" x14ac:dyDescent="0.2">
      <c r="A171" s="96" t="s">
        <v>61</v>
      </c>
      <c r="B171" s="81" t="str">
        <f t="shared" si="65"/>
        <v>Q4/2015</v>
      </c>
      <c r="C171" s="82">
        <f t="shared" si="58"/>
        <v>42278</v>
      </c>
      <c r="D171" s="82">
        <f t="shared" si="59"/>
        <v>42369</v>
      </c>
      <c r="E171" s="81">
        <f t="shared" si="56"/>
        <v>92</v>
      </c>
      <c r="F171" s="83">
        <f>VLOOKUP(D171,'FERC Interest Rate'!$A:$B,2,TRUE)</f>
        <v>3.2500000000000001E-2</v>
      </c>
      <c r="G171" s="84">
        <f t="shared" si="57"/>
        <v>10839.508128479756</v>
      </c>
      <c r="H171" s="84">
        <v>0</v>
      </c>
      <c r="I171" s="109">
        <f t="shared" si="62"/>
        <v>83.950812847975527</v>
      </c>
      <c r="J171" s="85">
        <f t="shared" si="63"/>
        <v>88.794874805902666</v>
      </c>
      <c r="K171" s="129">
        <f t="shared" si="52"/>
        <v>172.74568765387818</v>
      </c>
      <c r="L171" s="85">
        <f t="shared" si="64"/>
        <v>1000</v>
      </c>
      <c r="M171" s="130">
        <f t="shared" si="53"/>
        <v>1172.7456876538781</v>
      </c>
      <c r="N171" s="8">
        <f t="shared" si="54"/>
        <v>10928.303003285659</v>
      </c>
      <c r="O171" s="84">
        <f t="shared" si="55"/>
        <v>9755.5573156317805</v>
      </c>
    </row>
    <row r="172" spans="1:15" x14ac:dyDescent="0.2">
      <c r="A172" s="96" t="s">
        <v>62</v>
      </c>
      <c r="B172" s="81" t="str">
        <f t="shared" si="65"/>
        <v>Q1/2016</v>
      </c>
      <c r="C172" s="82">
        <f t="shared" si="58"/>
        <v>42370</v>
      </c>
      <c r="D172" s="82">
        <f t="shared" si="59"/>
        <v>42460</v>
      </c>
      <c r="E172" s="81">
        <f t="shared" si="56"/>
        <v>91</v>
      </c>
      <c r="F172" s="83">
        <f>VLOOKUP(D172,'FERC Interest Rate'!$A:$B,2,TRUE)</f>
        <v>3.2500000000000001E-2</v>
      </c>
      <c r="G172" s="84">
        <f t="shared" si="57"/>
        <v>9755.5573156317805</v>
      </c>
      <c r="H172" s="84">
        <v>0</v>
      </c>
      <c r="I172" s="109">
        <f t="shared" si="62"/>
        <v>83.950812847975527</v>
      </c>
      <c r="J172" s="85">
        <f t="shared" si="63"/>
        <v>78.830767106505434</v>
      </c>
      <c r="K172" s="129">
        <f t="shared" si="52"/>
        <v>162.78157995448095</v>
      </c>
      <c r="L172" s="85">
        <f t="shared" si="64"/>
        <v>1000</v>
      </c>
      <c r="M172" s="130">
        <f t="shared" si="53"/>
        <v>1162.781579954481</v>
      </c>
      <c r="N172" s="8">
        <f t="shared" si="54"/>
        <v>9834.3880827382854</v>
      </c>
      <c r="O172" s="84">
        <f t="shared" si="55"/>
        <v>8671.6065027838049</v>
      </c>
    </row>
    <row r="173" spans="1:15" x14ac:dyDescent="0.2">
      <c r="A173" s="96" t="s">
        <v>63</v>
      </c>
      <c r="B173" s="81" t="str">
        <f t="shared" si="65"/>
        <v>Q2/2016</v>
      </c>
      <c r="C173" s="82">
        <f t="shared" si="58"/>
        <v>42461</v>
      </c>
      <c r="D173" s="82">
        <f t="shared" si="59"/>
        <v>42551</v>
      </c>
      <c r="E173" s="81">
        <f t="shared" si="56"/>
        <v>91</v>
      </c>
      <c r="F173" s="83">
        <f>VLOOKUP(D173,'FERC Interest Rate'!$A:$B,2,TRUE)</f>
        <v>3.4599999999999999E-2</v>
      </c>
      <c r="G173" s="84">
        <f t="shared" si="57"/>
        <v>8671.6065027838049</v>
      </c>
      <c r="H173" s="84">
        <v>0</v>
      </c>
      <c r="I173" s="109">
        <f t="shared" si="62"/>
        <v>83.950812847975527</v>
      </c>
      <c r="J173" s="85">
        <f t="shared" si="63"/>
        <v>74.599508837882752</v>
      </c>
      <c r="K173" s="129">
        <f t="shared" si="52"/>
        <v>158.55032168585828</v>
      </c>
      <c r="L173" s="85">
        <f t="shared" si="64"/>
        <v>1000</v>
      </c>
      <c r="M173" s="130">
        <f t="shared" si="53"/>
        <v>1158.5503216858583</v>
      </c>
      <c r="N173" s="8">
        <f t="shared" si="54"/>
        <v>8746.2060116216871</v>
      </c>
      <c r="O173" s="84">
        <f t="shared" si="55"/>
        <v>7587.6556899358293</v>
      </c>
    </row>
    <row r="174" spans="1:15" x14ac:dyDescent="0.2">
      <c r="A174" s="96" t="s">
        <v>64</v>
      </c>
      <c r="B174" s="81" t="str">
        <f t="shared" si="65"/>
        <v>Q3/2016</v>
      </c>
      <c r="C174" s="82">
        <f t="shared" si="58"/>
        <v>42552</v>
      </c>
      <c r="D174" s="82">
        <f t="shared" si="59"/>
        <v>42643</v>
      </c>
      <c r="E174" s="81">
        <f t="shared" si="56"/>
        <v>92</v>
      </c>
      <c r="F174" s="83">
        <f>VLOOKUP(D174,'FERC Interest Rate'!$A:$B,2,TRUE)</f>
        <v>3.5000000000000003E-2</v>
      </c>
      <c r="G174" s="84">
        <f t="shared" si="57"/>
        <v>7587.6556899358293</v>
      </c>
      <c r="H174" s="84">
        <v>0</v>
      </c>
      <c r="I174" s="109">
        <f t="shared" si="62"/>
        <v>83.950812847975527</v>
      </c>
      <c r="J174" s="85">
        <f t="shared" si="63"/>
        <v>66.75478503167588</v>
      </c>
      <c r="K174" s="129">
        <f t="shared" si="52"/>
        <v>150.70559787965141</v>
      </c>
      <c r="L174" s="85">
        <f t="shared" si="64"/>
        <v>1000</v>
      </c>
      <c r="M174" s="130">
        <f t="shared" si="53"/>
        <v>1150.7055978796514</v>
      </c>
      <c r="N174" s="8">
        <f t="shared" si="54"/>
        <v>7654.4104749675053</v>
      </c>
      <c r="O174" s="84">
        <f t="shared" si="55"/>
        <v>6503.7048770878537</v>
      </c>
    </row>
    <row r="175" spans="1:15" x14ac:dyDescent="0.2">
      <c r="A175" s="96" t="s">
        <v>65</v>
      </c>
      <c r="B175" s="81" t="str">
        <f t="shared" si="65"/>
        <v>Q4/2016</v>
      </c>
      <c r="C175" s="82">
        <f t="shared" si="58"/>
        <v>42644</v>
      </c>
      <c r="D175" s="82">
        <f t="shared" si="59"/>
        <v>42735</v>
      </c>
      <c r="E175" s="81">
        <f t="shared" si="56"/>
        <v>92</v>
      </c>
      <c r="F175" s="83">
        <f>VLOOKUP(D175,'FERC Interest Rate'!$A:$B,2,TRUE)</f>
        <v>3.5000000000000003E-2</v>
      </c>
      <c r="G175" s="84">
        <f t="shared" si="57"/>
        <v>6503.7048770878537</v>
      </c>
      <c r="H175" s="84">
        <v>0</v>
      </c>
      <c r="I175" s="109">
        <f t="shared" si="62"/>
        <v>83.950812847975527</v>
      </c>
      <c r="J175" s="85">
        <f t="shared" si="63"/>
        <v>57.218387170007901</v>
      </c>
      <c r="K175" s="129">
        <f t="shared" si="52"/>
        <v>141.16920001798343</v>
      </c>
      <c r="L175" s="85">
        <f t="shared" si="64"/>
        <v>1000</v>
      </c>
      <c r="M175" s="130">
        <f t="shared" si="53"/>
        <v>1141.1692000179835</v>
      </c>
      <c r="N175" s="8">
        <f t="shared" si="54"/>
        <v>6560.9232642578618</v>
      </c>
      <c r="O175" s="84">
        <f t="shared" si="55"/>
        <v>5419.7540642398781</v>
      </c>
    </row>
    <row r="176" spans="1:15" x14ac:dyDescent="0.2">
      <c r="A176" s="96" t="s">
        <v>66</v>
      </c>
      <c r="B176" s="81" t="str">
        <f t="shared" si="65"/>
        <v>Q1/2017</v>
      </c>
      <c r="C176" s="82">
        <f t="shared" si="58"/>
        <v>42736</v>
      </c>
      <c r="D176" s="82">
        <f t="shared" si="59"/>
        <v>42825</v>
      </c>
      <c r="E176" s="81">
        <f t="shared" si="56"/>
        <v>90</v>
      </c>
      <c r="F176" s="83">
        <f>VLOOKUP(D176,'FERC Interest Rate'!$A:$B,2,TRUE)</f>
        <v>3.5000000000000003E-2</v>
      </c>
      <c r="G176" s="84">
        <f t="shared" si="57"/>
        <v>5419.7540642398781</v>
      </c>
      <c r="H176" s="84">
        <v>0</v>
      </c>
      <c r="I176" s="109">
        <f t="shared" si="62"/>
        <v>83.950812847975527</v>
      </c>
      <c r="J176" s="85">
        <f t="shared" si="63"/>
        <v>46.773220006453741</v>
      </c>
      <c r="K176" s="129">
        <f t="shared" si="52"/>
        <v>130.72403285442925</v>
      </c>
      <c r="L176" s="85">
        <f t="shared" si="64"/>
        <v>1000</v>
      </c>
      <c r="M176" s="130">
        <f t="shared" si="53"/>
        <v>1130.7240328544292</v>
      </c>
      <c r="N176" s="8">
        <f t="shared" si="54"/>
        <v>5466.5272842463319</v>
      </c>
      <c r="O176" s="84">
        <f t="shared" si="55"/>
        <v>4335.8032513919024</v>
      </c>
    </row>
    <row r="177" spans="1:15" x14ac:dyDescent="0.2">
      <c r="A177" s="96" t="s">
        <v>67</v>
      </c>
      <c r="B177" s="81" t="str">
        <f t="shared" si="65"/>
        <v>Q2/2017</v>
      </c>
      <c r="C177" s="82">
        <f t="shared" si="58"/>
        <v>42826</v>
      </c>
      <c r="D177" s="82">
        <f t="shared" si="59"/>
        <v>42916</v>
      </c>
      <c r="E177" s="81">
        <f t="shared" si="56"/>
        <v>91</v>
      </c>
      <c r="F177" s="83">
        <f>VLOOKUP(D177,'FERC Interest Rate'!$A:$B,2,TRUE)</f>
        <v>3.7100000000000001E-2</v>
      </c>
      <c r="G177" s="84">
        <f t="shared" si="57"/>
        <v>4335.8032513919024</v>
      </c>
      <c r="H177" s="84">
        <v>0</v>
      </c>
      <c r="I177" s="109">
        <f t="shared" si="62"/>
        <v>83.950812847975527</v>
      </c>
      <c r="J177" s="85">
        <f t="shared" si="63"/>
        <v>40.104398238422476</v>
      </c>
      <c r="K177" s="129">
        <f t="shared" si="52"/>
        <v>124.055211086398</v>
      </c>
      <c r="L177" s="85">
        <f t="shared" si="64"/>
        <v>1000</v>
      </c>
      <c r="M177" s="130">
        <f t="shared" si="53"/>
        <v>1124.055211086398</v>
      </c>
      <c r="N177" s="8">
        <f t="shared" si="54"/>
        <v>4375.9076496303251</v>
      </c>
      <c r="O177" s="84">
        <f t="shared" si="55"/>
        <v>3251.8524385439268</v>
      </c>
    </row>
    <row r="178" spans="1:15" x14ac:dyDescent="0.2">
      <c r="A178" s="96" t="s">
        <v>68</v>
      </c>
      <c r="B178" s="81" t="str">
        <f t="shared" si="65"/>
        <v>Q3/2017</v>
      </c>
      <c r="C178" s="82">
        <f t="shared" si="58"/>
        <v>42917</v>
      </c>
      <c r="D178" s="82">
        <f t="shared" si="59"/>
        <v>43008</v>
      </c>
      <c r="E178" s="81">
        <f t="shared" si="56"/>
        <v>92</v>
      </c>
      <c r="F178" s="83">
        <f>VLOOKUP(D178,'FERC Interest Rate'!$A:$B,2,TRUE)</f>
        <v>3.9600000000000003E-2</v>
      </c>
      <c r="G178" s="84">
        <f t="shared" si="57"/>
        <v>3251.8524385439268</v>
      </c>
      <c r="H178" s="84">
        <v>0</v>
      </c>
      <c r="I178" s="109">
        <f t="shared" si="62"/>
        <v>83.950812847975527</v>
      </c>
      <c r="J178" s="85">
        <f t="shared" si="63"/>
        <v>32.457941929049966</v>
      </c>
      <c r="K178" s="129">
        <f t="shared" si="52"/>
        <v>116.40875477702549</v>
      </c>
      <c r="L178" s="85">
        <f t="shared" si="64"/>
        <v>1000</v>
      </c>
      <c r="M178" s="130">
        <f t="shared" si="53"/>
        <v>1116.4087547770255</v>
      </c>
      <c r="N178" s="8">
        <f t="shared" si="54"/>
        <v>3284.3103804729767</v>
      </c>
      <c r="O178" s="84">
        <f t="shared" si="55"/>
        <v>2167.9016256959512</v>
      </c>
    </row>
    <row r="179" spans="1:15" x14ac:dyDescent="0.2">
      <c r="A179" s="96" t="s">
        <v>69</v>
      </c>
      <c r="B179" s="81" t="str">
        <f t="shared" si="65"/>
        <v>Q4/2017</v>
      </c>
      <c r="C179" s="82">
        <f t="shared" si="58"/>
        <v>43009</v>
      </c>
      <c r="D179" s="82">
        <f t="shared" si="59"/>
        <v>43100</v>
      </c>
      <c r="E179" s="81">
        <f t="shared" si="56"/>
        <v>92</v>
      </c>
      <c r="F179" s="83">
        <f>VLOOKUP(D179,'FERC Interest Rate'!$A:$B,2,TRUE)</f>
        <v>4.2099999999999999E-2</v>
      </c>
      <c r="G179" s="84">
        <f t="shared" si="57"/>
        <v>2167.9016256959512</v>
      </c>
      <c r="H179" s="84">
        <v>0</v>
      </c>
      <c r="I179" s="109">
        <f t="shared" si="62"/>
        <v>83.950812847975527</v>
      </c>
      <c r="J179" s="85">
        <f t="shared" si="63"/>
        <v>23.00470294971386</v>
      </c>
      <c r="K179" s="129">
        <f t="shared" si="52"/>
        <v>106.95551579768939</v>
      </c>
      <c r="L179" s="85">
        <f t="shared" si="64"/>
        <v>1000</v>
      </c>
      <c r="M179" s="130">
        <f t="shared" si="53"/>
        <v>1106.9555157976895</v>
      </c>
      <c r="N179" s="8">
        <f t="shared" si="54"/>
        <v>2190.9063286456649</v>
      </c>
      <c r="O179" s="84">
        <f t="shared" si="55"/>
        <v>1083.9508128479756</v>
      </c>
    </row>
    <row r="180" spans="1:15" x14ac:dyDescent="0.2">
      <c r="A180" s="96" t="s">
        <v>70</v>
      </c>
      <c r="B180" s="81" t="str">
        <f t="shared" si="65"/>
        <v>Q1/2018</v>
      </c>
      <c r="C180" s="82">
        <f t="shared" si="58"/>
        <v>43101</v>
      </c>
      <c r="D180" s="82">
        <f t="shared" si="59"/>
        <v>43190</v>
      </c>
      <c r="E180" s="81">
        <f t="shared" si="56"/>
        <v>90</v>
      </c>
      <c r="F180" s="83">
        <f>VLOOKUP(D180,'FERC Interest Rate'!$A:$B,2,TRUE)</f>
        <v>4.2500000000000003E-2</v>
      </c>
      <c r="G180" s="84">
        <f t="shared" si="57"/>
        <v>1083.9508128479756</v>
      </c>
      <c r="H180" s="84">
        <v>0</v>
      </c>
      <c r="I180" s="109">
        <f t="shared" si="62"/>
        <v>83.950812847975527</v>
      </c>
      <c r="J180" s="85">
        <f t="shared" si="63"/>
        <v>11.359210572995909</v>
      </c>
      <c r="K180" s="129">
        <f t="shared" si="52"/>
        <v>95.310023420971433</v>
      </c>
      <c r="L180" s="85">
        <f t="shared" si="64"/>
        <v>1000</v>
      </c>
      <c r="M180" s="130">
        <f t="shared" si="53"/>
        <v>1095.3100234209714</v>
      </c>
      <c r="N180" s="8">
        <f t="shared" si="54"/>
        <v>1095.3100234209714</v>
      </c>
      <c r="O180" s="84">
        <f t="shared" si="55"/>
        <v>0</v>
      </c>
    </row>
    <row r="181" spans="1:15" x14ac:dyDescent="0.2">
      <c r="A181" s="96"/>
      <c r="B181" s="81"/>
      <c r="C181" s="82"/>
      <c r="D181" s="82"/>
      <c r="E181" s="81"/>
      <c r="F181" s="83"/>
      <c r="G181" s="84"/>
      <c r="H181" s="84"/>
      <c r="I181" s="109"/>
      <c r="J181" s="85"/>
      <c r="K181" s="129"/>
      <c r="L181" s="85"/>
      <c r="M181" s="130"/>
      <c r="N181" s="8"/>
      <c r="O181" s="84"/>
    </row>
    <row r="182" spans="1:15" ht="13.5" thickBot="1" x14ac:dyDescent="0.25">
      <c r="A182" s="151"/>
      <c r="B182" s="152"/>
      <c r="C182" s="153"/>
      <c r="D182" s="153"/>
      <c r="E182" s="154"/>
      <c r="F182" s="152"/>
      <c r="G182" s="137">
        <f>SUM(G155:G181)</f>
        <v>354843.12264420144</v>
      </c>
      <c r="H182" s="137">
        <f>SUM(H155:H181)</f>
        <v>1679.0162569595107</v>
      </c>
      <c r="I182" s="138">
        <f t="shared" ref="I182:O182" si="66">SUM(I155:I181)</f>
        <v>1679.0162569595109</v>
      </c>
      <c r="J182" s="137">
        <f t="shared" si="66"/>
        <v>1233.9244094899886</v>
      </c>
      <c r="K182" s="137">
        <f t="shared" si="66"/>
        <v>2912.9406664494995</v>
      </c>
      <c r="L182" s="137">
        <f t="shared" si="66"/>
        <v>20000</v>
      </c>
      <c r="M182" s="139">
        <f t="shared" si="66"/>
        <v>22912.940666449496</v>
      </c>
      <c r="N182" s="137">
        <f t="shared" si="66"/>
        <v>357756.06331065088</v>
      </c>
      <c r="O182" s="137">
        <f t="shared" si="66"/>
        <v>334843.12264420144</v>
      </c>
    </row>
    <row r="183" spans="1:15" ht="13.5" thickTop="1" x14ac:dyDescent="0.2">
      <c r="B183" s="117"/>
      <c r="C183" s="117"/>
      <c r="D183" s="117"/>
      <c r="E183" s="117"/>
      <c r="F183" s="117"/>
      <c r="G183" s="117"/>
      <c r="H183" s="117"/>
      <c r="I183" s="116"/>
      <c r="J183" s="117"/>
      <c r="K183" s="117"/>
      <c r="L183" s="117"/>
      <c r="M183" s="131"/>
      <c r="O183" s="117"/>
    </row>
    <row r="184" spans="1:15" ht="38.25" x14ac:dyDescent="0.2">
      <c r="A184" s="90" t="s">
        <v>53</v>
      </c>
      <c r="B184" s="90" t="s">
        <v>3</v>
      </c>
      <c r="C184" s="90" t="s">
        <v>4</v>
      </c>
      <c r="D184" s="90" t="s">
        <v>5</v>
      </c>
      <c r="E184" s="90" t="s">
        <v>6</v>
      </c>
      <c r="F184" s="90" t="s">
        <v>7</v>
      </c>
      <c r="G184" s="90" t="s">
        <v>93</v>
      </c>
      <c r="H184" s="90" t="s">
        <v>94</v>
      </c>
      <c r="I184" s="105" t="s">
        <v>95</v>
      </c>
      <c r="J184" s="106" t="s">
        <v>96</v>
      </c>
      <c r="K184" s="106" t="s">
        <v>97</v>
      </c>
      <c r="L184" s="106" t="s">
        <v>98</v>
      </c>
      <c r="M184" s="107" t="s">
        <v>99</v>
      </c>
      <c r="N184" s="90" t="s">
        <v>100</v>
      </c>
      <c r="O184" s="90" t="s">
        <v>101</v>
      </c>
    </row>
    <row r="185" spans="1:15" x14ac:dyDescent="0.2">
      <c r="A185" s="275" t="s">
        <v>15</v>
      </c>
      <c r="B185" s="275"/>
      <c r="C185" s="282">
        <f>VLOOKUP(B186,A$1:F$33,2,FALSE)</f>
        <v>40848</v>
      </c>
      <c r="D185" s="282">
        <f>DATE(YEAR(C185),IF(MONTH(C185)&lt;=3,3,IF(MONTH(C185)&lt;=6,6,IF(MONTH(C185)&lt;=9,9,12))),IF(OR(MONTH(C185)&lt;=3,MONTH(C185)&gt;=10),31,30))</f>
        <v>40908</v>
      </c>
      <c r="E185" s="283">
        <f>D185-C185+1</f>
        <v>61</v>
      </c>
      <c r="F185" s="284">
        <f>VLOOKUP(D185,'FERC Interest Rate'!$A:$B,2,TRUE)</f>
        <v>3.2500000000000001E-2</v>
      </c>
      <c r="G185" s="167">
        <f>VLOOKUP(B186,$A$1:$F$33,5,FALSE)</f>
        <v>20000</v>
      </c>
      <c r="H185" s="167">
        <f t="shared" ref="H185:H194" si="67">G185*F185*(E185/(DATE(YEAR(D185),12,31)-DATE(YEAR(D185),1,1)+1))</f>
        <v>108.63013698630138</v>
      </c>
      <c r="I185" s="291">
        <v>0</v>
      </c>
      <c r="J185" s="286">
        <v>0</v>
      </c>
      <c r="K185" s="288">
        <f t="shared" ref="K185:K210" si="68">+SUM(I185:J185)</f>
        <v>0</v>
      </c>
      <c r="L185" s="286">
        <v>0</v>
      </c>
      <c r="M185" s="289">
        <f t="shared" ref="M185:M210" si="69">+SUM(K185:L185)</f>
        <v>0</v>
      </c>
      <c r="N185" s="290">
        <f t="shared" ref="N185:N210" si="70">+G185+H185+J185</f>
        <v>20108.630136986303</v>
      </c>
      <c r="O185" s="167">
        <f t="shared" ref="O185:O210" si="71">G185+H185-L185-I185</f>
        <v>20108.630136986303</v>
      </c>
    </row>
    <row r="186" spans="1:15" x14ac:dyDescent="0.2">
      <c r="A186" s="275" t="s">
        <v>38</v>
      </c>
      <c r="B186" s="276" t="s">
        <v>72</v>
      </c>
      <c r="C186" s="282">
        <f>D185+1</f>
        <v>40909</v>
      </c>
      <c r="D186" s="282">
        <f>EOMONTH(D185,3)</f>
        <v>40999</v>
      </c>
      <c r="E186" s="283">
        <f t="shared" ref="E186:E210" si="72">D186-C186+1</f>
        <v>91</v>
      </c>
      <c r="F186" s="284">
        <f>VLOOKUP(D186,'FERC Interest Rate'!$A:$B,2,TRUE)</f>
        <v>3.2500000000000001E-2</v>
      </c>
      <c r="G186" s="167">
        <f t="shared" ref="G186:G210" si="73">O185</f>
        <v>20108.630136986303</v>
      </c>
      <c r="H186" s="167">
        <f t="shared" si="67"/>
        <v>162.48981866157649</v>
      </c>
      <c r="I186" s="291">
        <v>0</v>
      </c>
      <c r="J186" s="286">
        <v>0</v>
      </c>
      <c r="K186" s="288">
        <f t="shared" si="68"/>
        <v>0</v>
      </c>
      <c r="L186" s="286">
        <v>0</v>
      </c>
      <c r="M186" s="289">
        <f t="shared" si="69"/>
        <v>0</v>
      </c>
      <c r="N186" s="290">
        <f t="shared" si="70"/>
        <v>20271.119955647879</v>
      </c>
      <c r="O186" s="167">
        <f t="shared" si="71"/>
        <v>20271.119955647879</v>
      </c>
    </row>
    <row r="187" spans="1:15" x14ac:dyDescent="0.2">
      <c r="A187" s="292"/>
      <c r="B187" s="283"/>
      <c r="C187" s="282">
        <f t="shared" ref="C187:C210" si="74">D186+1</f>
        <v>41000</v>
      </c>
      <c r="D187" s="282">
        <f t="shared" ref="D187:D210" si="75">EOMONTH(D186,3)</f>
        <v>41090</v>
      </c>
      <c r="E187" s="283">
        <f t="shared" si="72"/>
        <v>91</v>
      </c>
      <c r="F187" s="284">
        <f>VLOOKUP(D187,'FERC Interest Rate'!$A:$B,2,TRUE)</f>
        <v>3.2500000000000001E-2</v>
      </c>
      <c r="G187" s="167">
        <f t="shared" si="73"/>
        <v>20271.119955647879</v>
      </c>
      <c r="H187" s="167">
        <f t="shared" si="67"/>
        <v>163.80283406783772</v>
      </c>
      <c r="I187" s="291">
        <v>0</v>
      </c>
      <c r="J187" s="286">
        <v>0</v>
      </c>
      <c r="K187" s="288">
        <f t="shared" si="68"/>
        <v>0</v>
      </c>
      <c r="L187" s="286">
        <v>0</v>
      </c>
      <c r="M187" s="289">
        <f t="shared" si="69"/>
        <v>0</v>
      </c>
      <c r="N187" s="290">
        <f t="shared" si="70"/>
        <v>20434.922789715718</v>
      </c>
      <c r="O187" s="167">
        <f t="shared" si="71"/>
        <v>20434.922789715718</v>
      </c>
    </row>
    <row r="188" spans="1:15" x14ac:dyDescent="0.2">
      <c r="A188" s="292"/>
      <c r="B188" s="283"/>
      <c r="C188" s="282">
        <f t="shared" si="74"/>
        <v>41091</v>
      </c>
      <c r="D188" s="282">
        <f t="shared" si="75"/>
        <v>41182</v>
      </c>
      <c r="E188" s="283">
        <f t="shared" si="72"/>
        <v>92</v>
      </c>
      <c r="F188" s="284">
        <f>VLOOKUP(D188,'FERC Interest Rate'!$A:$B,2,TRUE)</f>
        <v>3.2500000000000001E-2</v>
      </c>
      <c r="G188" s="167">
        <f t="shared" si="73"/>
        <v>20434.922789715718</v>
      </c>
      <c r="H188" s="167">
        <f t="shared" si="67"/>
        <v>166.94103590505463</v>
      </c>
      <c r="I188" s="291">
        <v>0</v>
      </c>
      <c r="J188" s="286">
        <v>0</v>
      </c>
      <c r="K188" s="288">
        <f t="shared" si="68"/>
        <v>0</v>
      </c>
      <c r="L188" s="286">
        <v>0</v>
      </c>
      <c r="M188" s="289">
        <f t="shared" si="69"/>
        <v>0</v>
      </c>
      <c r="N188" s="290">
        <f t="shared" si="70"/>
        <v>20601.863825620774</v>
      </c>
      <c r="O188" s="167">
        <f t="shared" si="71"/>
        <v>20601.863825620774</v>
      </c>
    </row>
    <row r="189" spans="1:15" x14ac:dyDescent="0.2">
      <c r="A189" s="292"/>
      <c r="B189" s="283"/>
      <c r="C189" s="282">
        <f t="shared" si="74"/>
        <v>41183</v>
      </c>
      <c r="D189" s="282">
        <f t="shared" si="75"/>
        <v>41274</v>
      </c>
      <c r="E189" s="283">
        <f t="shared" si="72"/>
        <v>92</v>
      </c>
      <c r="F189" s="284">
        <f>VLOOKUP(D189,'FERC Interest Rate'!$A:$B,2,TRUE)</f>
        <v>3.2500000000000001E-2</v>
      </c>
      <c r="G189" s="167">
        <f t="shared" si="73"/>
        <v>20601.863825620774</v>
      </c>
      <c r="H189" s="167">
        <f t="shared" si="67"/>
        <v>168.30484382132818</v>
      </c>
      <c r="I189" s="291">
        <v>0</v>
      </c>
      <c r="J189" s="286">
        <v>0</v>
      </c>
      <c r="K189" s="288">
        <f t="shared" si="68"/>
        <v>0</v>
      </c>
      <c r="L189" s="286">
        <v>0</v>
      </c>
      <c r="M189" s="289">
        <f t="shared" si="69"/>
        <v>0</v>
      </c>
      <c r="N189" s="290">
        <f t="shared" si="70"/>
        <v>20770.168669442101</v>
      </c>
      <c r="O189" s="167">
        <f t="shared" si="71"/>
        <v>20770.168669442101</v>
      </c>
    </row>
    <row r="190" spans="1:15" x14ac:dyDescent="0.2">
      <c r="A190" s="292"/>
      <c r="B190" s="283"/>
      <c r="C190" s="282">
        <f t="shared" si="74"/>
        <v>41275</v>
      </c>
      <c r="D190" s="282">
        <f t="shared" si="75"/>
        <v>41364</v>
      </c>
      <c r="E190" s="283">
        <f t="shared" si="72"/>
        <v>90</v>
      </c>
      <c r="F190" s="284">
        <f>VLOOKUP(D190,'FERC Interest Rate'!$A:$B,2,TRUE)</f>
        <v>3.2500000000000001E-2</v>
      </c>
      <c r="G190" s="167">
        <f t="shared" si="73"/>
        <v>20770.168669442101</v>
      </c>
      <c r="H190" s="167">
        <f t="shared" si="67"/>
        <v>166.4458722140223</v>
      </c>
      <c r="I190" s="291">
        <v>0</v>
      </c>
      <c r="J190" s="286">
        <v>0</v>
      </c>
      <c r="K190" s="288">
        <f t="shared" si="68"/>
        <v>0</v>
      </c>
      <c r="L190" s="286">
        <v>0</v>
      </c>
      <c r="M190" s="289">
        <f t="shared" si="69"/>
        <v>0</v>
      </c>
      <c r="N190" s="290">
        <f t="shared" si="70"/>
        <v>20936.614541656123</v>
      </c>
      <c r="O190" s="167">
        <f t="shared" si="71"/>
        <v>20936.614541656123</v>
      </c>
    </row>
    <row r="191" spans="1:15" x14ac:dyDescent="0.2">
      <c r="A191" s="292"/>
      <c r="B191" s="283"/>
      <c r="C191" s="282">
        <f t="shared" ref="C191:C196" si="76">D190+1</f>
        <v>41365</v>
      </c>
      <c r="D191" s="282">
        <f t="shared" si="75"/>
        <v>41455</v>
      </c>
      <c r="E191" s="283">
        <f t="shared" ref="E191:E196" si="77">D191-C191+1</f>
        <v>91</v>
      </c>
      <c r="F191" s="284">
        <f>VLOOKUP(D191,'FERC Interest Rate'!$A:$B,2,TRUE)</f>
        <v>3.2500000000000001E-2</v>
      </c>
      <c r="G191" s="167">
        <f t="shared" si="73"/>
        <v>20936.614541656123</v>
      </c>
      <c r="H191" s="167">
        <f t="shared" si="67"/>
        <v>169.64393837519995</v>
      </c>
      <c r="I191" s="291">
        <v>0</v>
      </c>
      <c r="J191" s="286">
        <v>0</v>
      </c>
      <c r="K191" s="288">
        <f t="shared" si="68"/>
        <v>0</v>
      </c>
      <c r="L191" s="286">
        <v>0</v>
      </c>
      <c r="M191" s="289">
        <f t="shared" si="69"/>
        <v>0</v>
      </c>
      <c r="N191" s="290">
        <f t="shared" si="70"/>
        <v>21106.258480031323</v>
      </c>
      <c r="O191" s="167">
        <f t="shared" si="71"/>
        <v>21106.258480031323</v>
      </c>
    </row>
    <row r="192" spans="1:15" x14ac:dyDescent="0.2">
      <c r="A192" s="292"/>
      <c r="B192" s="283"/>
      <c r="C192" s="282">
        <f t="shared" si="76"/>
        <v>41456</v>
      </c>
      <c r="D192" s="282">
        <f t="shared" si="75"/>
        <v>41547</v>
      </c>
      <c r="E192" s="283">
        <f t="shared" si="77"/>
        <v>92</v>
      </c>
      <c r="F192" s="284">
        <f>VLOOKUP(D192,'FERC Interest Rate'!$A:$B,2,TRUE)</f>
        <v>3.2500000000000001E-2</v>
      </c>
      <c r="G192" s="167">
        <f t="shared" si="73"/>
        <v>21106.258480031323</v>
      </c>
      <c r="H192" s="167">
        <f t="shared" si="67"/>
        <v>172.89784343916074</v>
      </c>
      <c r="I192" s="291">
        <v>0</v>
      </c>
      <c r="J192" s="286">
        <v>0</v>
      </c>
      <c r="K192" s="288">
        <f t="shared" si="68"/>
        <v>0</v>
      </c>
      <c r="L192" s="286">
        <v>0</v>
      </c>
      <c r="M192" s="289">
        <f t="shared" si="69"/>
        <v>0</v>
      </c>
      <c r="N192" s="290">
        <f t="shared" si="70"/>
        <v>21279.156323470484</v>
      </c>
      <c r="O192" s="167">
        <f t="shared" si="71"/>
        <v>21279.156323470484</v>
      </c>
    </row>
    <row r="193" spans="1:15" x14ac:dyDescent="0.2">
      <c r="A193" s="292"/>
      <c r="B193" s="283"/>
      <c r="C193" s="282">
        <f t="shared" si="76"/>
        <v>41548</v>
      </c>
      <c r="D193" s="282">
        <f t="shared" si="75"/>
        <v>41639</v>
      </c>
      <c r="E193" s="283">
        <f t="shared" si="77"/>
        <v>92</v>
      </c>
      <c r="F193" s="284">
        <f>VLOOKUP(D193,'FERC Interest Rate'!$A:$B,2,TRUE)</f>
        <v>3.2500000000000001E-2</v>
      </c>
      <c r="G193" s="167">
        <f t="shared" si="73"/>
        <v>21279.156323470484</v>
      </c>
      <c r="H193" s="167">
        <f t="shared" si="67"/>
        <v>174.31418467719658</v>
      </c>
      <c r="I193" s="291">
        <v>0</v>
      </c>
      <c r="J193" s="286">
        <v>0</v>
      </c>
      <c r="K193" s="288">
        <f t="shared" si="68"/>
        <v>0</v>
      </c>
      <c r="L193" s="286">
        <v>0</v>
      </c>
      <c r="M193" s="289">
        <f t="shared" si="69"/>
        <v>0</v>
      </c>
      <c r="N193" s="290">
        <f t="shared" si="70"/>
        <v>21453.470508147682</v>
      </c>
      <c r="O193" s="167">
        <f t="shared" si="71"/>
        <v>21453.470508147682</v>
      </c>
    </row>
    <row r="194" spans="1:15" x14ac:dyDescent="0.2">
      <c r="A194" s="96" t="s">
        <v>54</v>
      </c>
      <c r="B194" s="81" t="str">
        <f>+IF(MONTH(C194)&lt;4,"Q1",IF(MONTH(C194)&lt;7,"Q2",IF(MONTH(C194)&lt;10,"Q3","Q4")))&amp;"/"&amp;YEAR(C194)</f>
        <v>Q1/2014</v>
      </c>
      <c r="C194" s="82">
        <f t="shared" si="76"/>
        <v>41640</v>
      </c>
      <c r="D194" s="82">
        <f t="shared" si="75"/>
        <v>41729</v>
      </c>
      <c r="E194" s="81">
        <f t="shared" si="77"/>
        <v>90</v>
      </c>
      <c r="F194" s="83">
        <f>VLOOKUP(D194,'FERC Interest Rate'!$A:$B,2,TRUE)</f>
        <v>3.2500000000000001E-2</v>
      </c>
      <c r="G194" s="84">
        <f t="shared" si="73"/>
        <v>21453.470508147682</v>
      </c>
      <c r="H194" s="167">
        <f t="shared" si="67"/>
        <v>171.92164722282732</v>
      </c>
      <c r="I194" s="109">
        <f>(SUM($H$185:$H$210)/20)*4</f>
        <v>325.07843107410105</v>
      </c>
      <c r="J194" s="85">
        <v>0</v>
      </c>
      <c r="K194" s="129">
        <f t="shared" si="68"/>
        <v>325.07843107410105</v>
      </c>
      <c r="L194" s="85">
        <f>($G$185/20)*4</f>
        <v>4000</v>
      </c>
      <c r="M194" s="130">
        <f t="shared" si="69"/>
        <v>4325.078431074101</v>
      </c>
      <c r="N194" s="8">
        <f t="shared" si="70"/>
        <v>21625.392155370511</v>
      </c>
      <c r="O194" s="84">
        <f t="shared" si="71"/>
        <v>17300.313724296411</v>
      </c>
    </row>
    <row r="195" spans="1:15" x14ac:dyDescent="0.2">
      <c r="A195" s="96" t="s">
        <v>55</v>
      </c>
      <c r="B195" s="81" t="str">
        <f>+IF(MONTH(C195)&lt;4,"Q1",IF(MONTH(C195)&lt;7,"Q2",IF(MONTH(C195)&lt;10,"Q3","Q4")))&amp;"/"&amp;YEAR(C195)</f>
        <v>Q2/2014</v>
      </c>
      <c r="C195" s="82">
        <f t="shared" si="76"/>
        <v>41730</v>
      </c>
      <c r="D195" s="82">
        <f t="shared" si="75"/>
        <v>41820</v>
      </c>
      <c r="E195" s="81">
        <f t="shared" si="77"/>
        <v>91</v>
      </c>
      <c r="F195" s="83">
        <f>VLOOKUP(D195,'FERC Interest Rate'!$A:$B,2,TRUE)</f>
        <v>3.2500000000000001E-2</v>
      </c>
      <c r="G195" s="84">
        <f t="shared" si="73"/>
        <v>17300.313724296411</v>
      </c>
      <c r="H195" s="84">
        <v>0</v>
      </c>
      <c r="I195" s="109">
        <f t="shared" ref="I195:I210" si="78">SUM($H$185:$H$210)/20</f>
        <v>81.269607768525262</v>
      </c>
      <c r="J195" s="85">
        <f t="shared" ref="J195:J210" si="79">G195*F195*(E195/(DATE(YEAR(D195),12,31)-DATE(YEAR(D195),1,1)+1))</f>
        <v>140.17993928659351</v>
      </c>
      <c r="K195" s="129">
        <f t="shared" si="68"/>
        <v>221.44954705511879</v>
      </c>
      <c r="L195" s="85">
        <f t="shared" ref="L195:L210" si="80">$G$185/20</f>
        <v>1000</v>
      </c>
      <c r="M195" s="130">
        <f t="shared" si="69"/>
        <v>1221.4495470551187</v>
      </c>
      <c r="N195" s="8">
        <f t="shared" si="70"/>
        <v>17440.493663583005</v>
      </c>
      <c r="O195" s="84">
        <f t="shared" si="71"/>
        <v>16219.044116527886</v>
      </c>
    </row>
    <row r="196" spans="1:15" x14ac:dyDescent="0.2">
      <c r="A196" s="96" t="s">
        <v>56</v>
      </c>
      <c r="B196" s="81" t="str">
        <f t="shared" ref="B196:B210" si="81">+IF(MONTH(C196)&lt;4,"Q1",IF(MONTH(C196)&lt;7,"Q2",IF(MONTH(C196)&lt;10,"Q3","Q4")))&amp;"/"&amp;YEAR(C196)</f>
        <v>Q3/2014</v>
      </c>
      <c r="C196" s="82">
        <f t="shared" si="76"/>
        <v>41821</v>
      </c>
      <c r="D196" s="82">
        <f t="shared" si="75"/>
        <v>41912</v>
      </c>
      <c r="E196" s="81">
        <f t="shared" si="77"/>
        <v>92</v>
      </c>
      <c r="F196" s="83">
        <f>VLOOKUP(D196,'FERC Interest Rate'!$A:$B,2,TRUE)</f>
        <v>3.2500000000000001E-2</v>
      </c>
      <c r="G196" s="84">
        <f t="shared" si="73"/>
        <v>16219.044116527886</v>
      </c>
      <c r="H196" s="84">
        <v>0</v>
      </c>
      <c r="I196" s="109">
        <f t="shared" si="78"/>
        <v>81.269607768525262</v>
      </c>
      <c r="J196" s="85">
        <f t="shared" si="79"/>
        <v>132.862854543612</v>
      </c>
      <c r="K196" s="129">
        <f t="shared" si="68"/>
        <v>214.13246231213725</v>
      </c>
      <c r="L196" s="85">
        <f t="shared" si="80"/>
        <v>1000</v>
      </c>
      <c r="M196" s="130">
        <f t="shared" si="69"/>
        <v>1214.1324623121372</v>
      </c>
      <c r="N196" s="8">
        <f t="shared" si="70"/>
        <v>16351.906971071498</v>
      </c>
      <c r="O196" s="84">
        <f t="shared" si="71"/>
        <v>15137.774508759361</v>
      </c>
    </row>
    <row r="197" spans="1:15" x14ac:dyDescent="0.2">
      <c r="A197" s="96" t="s">
        <v>57</v>
      </c>
      <c r="B197" s="81" t="str">
        <f t="shared" si="81"/>
        <v>Q4/2014</v>
      </c>
      <c r="C197" s="82">
        <f t="shared" si="74"/>
        <v>41913</v>
      </c>
      <c r="D197" s="82">
        <f t="shared" si="75"/>
        <v>42004</v>
      </c>
      <c r="E197" s="81">
        <f t="shared" si="72"/>
        <v>92</v>
      </c>
      <c r="F197" s="83">
        <f>VLOOKUP(D197,'FERC Interest Rate'!$A:$B,2,TRUE)</f>
        <v>3.2500000000000001E-2</v>
      </c>
      <c r="G197" s="84">
        <f t="shared" si="73"/>
        <v>15137.774508759361</v>
      </c>
      <c r="H197" s="84">
        <v>0</v>
      </c>
      <c r="I197" s="109">
        <f t="shared" si="78"/>
        <v>81.269607768525262</v>
      </c>
      <c r="J197" s="85">
        <f t="shared" si="79"/>
        <v>124.00533090737122</v>
      </c>
      <c r="K197" s="129">
        <f t="shared" si="68"/>
        <v>205.27493867589646</v>
      </c>
      <c r="L197" s="85">
        <f t="shared" si="80"/>
        <v>1000</v>
      </c>
      <c r="M197" s="130">
        <f t="shared" si="69"/>
        <v>1205.2749386758965</v>
      </c>
      <c r="N197" s="8">
        <f t="shared" si="70"/>
        <v>15261.779839666733</v>
      </c>
      <c r="O197" s="84">
        <f t="shared" si="71"/>
        <v>14056.504900990836</v>
      </c>
    </row>
    <row r="198" spans="1:15" x14ac:dyDescent="0.2">
      <c r="A198" s="96" t="s">
        <v>58</v>
      </c>
      <c r="B198" s="81" t="str">
        <f t="shared" si="81"/>
        <v>Q1/2015</v>
      </c>
      <c r="C198" s="82">
        <f t="shared" si="74"/>
        <v>42005</v>
      </c>
      <c r="D198" s="82">
        <f t="shared" si="75"/>
        <v>42094</v>
      </c>
      <c r="E198" s="81">
        <f t="shared" si="72"/>
        <v>90</v>
      </c>
      <c r="F198" s="83">
        <f>VLOOKUP(D198,'FERC Interest Rate'!$A:$B,2,TRUE)</f>
        <v>3.2500000000000001E-2</v>
      </c>
      <c r="G198" s="84">
        <f t="shared" si="73"/>
        <v>14056.504900990836</v>
      </c>
      <c r="H198" s="84">
        <v>0</v>
      </c>
      <c r="I198" s="109">
        <f t="shared" si="78"/>
        <v>81.269607768525262</v>
      </c>
      <c r="J198" s="85">
        <f t="shared" si="79"/>
        <v>112.64459406958409</v>
      </c>
      <c r="K198" s="129">
        <f t="shared" si="68"/>
        <v>193.91420183810936</v>
      </c>
      <c r="L198" s="85">
        <f t="shared" si="80"/>
        <v>1000</v>
      </c>
      <c r="M198" s="130">
        <f t="shared" si="69"/>
        <v>1193.9142018381094</v>
      </c>
      <c r="N198" s="8">
        <f t="shared" si="70"/>
        <v>14169.149495060421</v>
      </c>
      <c r="O198" s="84">
        <f t="shared" si="71"/>
        <v>12975.235293222311</v>
      </c>
    </row>
    <row r="199" spans="1:15" x14ac:dyDescent="0.2">
      <c r="A199" s="96" t="s">
        <v>59</v>
      </c>
      <c r="B199" s="81" t="str">
        <f t="shared" si="81"/>
        <v>Q2/2015</v>
      </c>
      <c r="C199" s="82">
        <f t="shared" si="74"/>
        <v>42095</v>
      </c>
      <c r="D199" s="82">
        <f t="shared" si="75"/>
        <v>42185</v>
      </c>
      <c r="E199" s="81">
        <f t="shared" si="72"/>
        <v>91</v>
      </c>
      <c r="F199" s="83">
        <f>VLOOKUP(D199,'FERC Interest Rate'!$A:$B,2,TRUE)</f>
        <v>3.2500000000000001E-2</v>
      </c>
      <c r="G199" s="84">
        <f t="shared" si="73"/>
        <v>12975.235293222311</v>
      </c>
      <c r="H199" s="84">
        <v>0</v>
      </c>
      <c r="I199" s="109">
        <f t="shared" si="78"/>
        <v>81.269607768525262</v>
      </c>
      <c r="J199" s="85">
        <f t="shared" si="79"/>
        <v>105.13495446494518</v>
      </c>
      <c r="K199" s="129">
        <f t="shared" si="68"/>
        <v>186.40456223347044</v>
      </c>
      <c r="L199" s="85">
        <f t="shared" si="80"/>
        <v>1000</v>
      </c>
      <c r="M199" s="130">
        <f t="shared" si="69"/>
        <v>1186.4045622334704</v>
      </c>
      <c r="N199" s="8">
        <f t="shared" si="70"/>
        <v>13080.370247687257</v>
      </c>
      <c r="O199" s="84">
        <f t="shared" si="71"/>
        <v>11893.965685453786</v>
      </c>
    </row>
    <row r="200" spans="1:15" x14ac:dyDescent="0.2">
      <c r="A200" s="96" t="s">
        <v>60</v>
      </c>
      <c r="B200" s="81" t="str">
        <f t="shared" si="81"/>
        <v>Q3/2015</v>
      </c>
      <c r="C200" s="82">
        <f t="shared" si="74"/>
        <v>42186</v>
      </c>
      <c r="D200" s="82">
        <f t="shared" si="75"/>
        <v>42277</v>
      </c>
      <c r="E200" s="81">
        <f t="shared" si="72"/>
        <v>92</v>
      </c>
      <c r="F200" s="83">
        <f>VLOOKUP(D200,'FERC Interest Rate'!$A:$B,2,TRUE)</f>
        <v>3.2500000000000001E-2</v>
      </c>
      <c r="G200" s="84">
        <f t="shared" si="73"/>
        <v>11893.965685453786</v>
      </c>
      <c r="H200" s="84">
        <v>0</v>
      </c>
      <c r="I200" s="109">
        <f t="shared" si="78"/>
        <v>81.269607768525262</v>
      </c>
      <c r="J200" s="85">
        <f t="shared" si="79"/>
        <v>97.432759998648834</v>
      </c>
      <c r="K200" s="129">
        <f t="shared" si="68"/>
        <v>178.70236776717411</v>
      </c>
      <c r="L200" s="85">
        <f t="shared" si="80"/>
        <v>1000</v>
      </c>
      <c r="M200" s="130">
        <f t="shared" si="69"/>
        <v>1178.7023677671741</v>
      </c>
      <c r="N200" s="8">
        <f t="shared" si="70"/>
        <v>11991.398445452434</v>
      </c>
      <c r="O200" s="84">
        <f t="shared" si="71"/>
        <v>10812.696077685261</v>
      </c>
    </row>
    <row r="201" spans="1:15" x14ac:dyDescent="0.2">
      <c r="A201" s="96" t="s">
        <v>61</v>
      </c>
      <c r="B201" s="81" t="str">
        <f t="shared" si="81"/>
        <v>Q4/2015</v>
      </c>
      <c r="C201" s="82">
        <f t="shared" si="74"/>
        <v>42278</v>
      </c>
      <c r="D201" s="82">
        <f t="shared" si="75"/>
        <v>42369</v>
      </c>
      <c r="E201" s="81">
        <f t="shared" si="72"/>
        <v>92</v>
      </c>
      <c r="F201" s="83">
        <f>VLOOKUP(D201,'FERC Interest Rate'!$A:$B,2,TRUE)</f>
        <v>3.2500000000000001E-2</v>
      </c>
      <c r="G201" s="84">
        <f t="shared" si="73"/>
        <v>10812.696077685261</v>
      </c>
      <c r="H201" s="84">
        <v>0</v>
      </c>
      <c r="I201" s="109">
        <f t="shared" si="78"/>
        <v>81.269607768525262</v>
      </c>
      <c r="J201" s="85">
        <f t="shared" si="79"/>
        <v>88.575236362408035</v>
      </c>
      <c r="K201" s="129">
        <f t="shared" si="68"/>
        <v>169.8448441309333</v>
      </c>
      <c r="L201" s="85">
        <f t="shared" si="80"/>
        <v>1000</v>
      </c>
      <c r="M201" s="130">
        <f t="shared" si="69"/>
        <v>1169.8448441309333</v>
      </c>
      <c r="N201" s="8">
        <f t="shared" si="70"/>
        <v>10901.27131404767</v>
      </c>
      <c r="O201" s="84">
        <f t="shared" si="71"/>
        <v>9731.4264699167361</v>
      </c>
    </row>
    <row r="202" spans="1:15" x14ac:dyDescent="0.2">
      <c r="A202" s="96" t="s">
        <v>62</v>
      </c>
      <c r="B202" s="81" t="str">
        <f t="shared" si="81"/>
        <v>Q1/2016</v>
      </c>
      <c r="C202" s="82">
        <f t="shared" si="74"/>
        <v>42370</v>
      </c>
      <c r="D202" s="82">
        <f t="shared" si="75"/>
        <v>42460</v>
      </c>
      <c r="E202" s="81">
        <f t="shared" si="72"/>
        <v>91</v>
      </c>
      <c r="F202" s="83">
        <f>VLOOKUP(D202,'FERC Interest Rate'!$A:$B,2,TRUE)</f>
        <v>3.2500000000000001E-2</v>
      </c>
      <c r="G202" s="84">
        <f t="shared" si="73"/>
        <v>9731.4264699167361</v>
      </c>
      <c r="H202" s="84">
        <v>0</v>
      </c>
      <c r="I202" s="109">
        <f t="shared" si="78"/>
        <v>81.269607768525262</v>
      </c>
      <c r="J202" s="85">
        <f t="shared" si="79"/>
        <v>78.635775368247934</v>
      </c>
      <c r="K202" s="129">
        <f t="shared" si="68"/>
        <v>159.9053831367732</v>
      </c>
      <c r="L202" s="85">
        <f t="shared" si="80"/>
        <v>1000</v>
      </c>
      <c r="M202" s="130">
        <f t="shared" si="69"/>
        <v>1159.9053831367733</v>
      </c>
      <c r="N202" s="8">
        <f t="shared" si="70"/>
        <v>9810.0622452849839</v>
      </c>
      <c r="O202" s="84">
        <f t="shared" si="71"/>
        <v>8650.1568621482111</v>
      </c>
    </row>
    <row r="203" spans="1:15" x14ac:dyDescent="0.2">
      <c r="A203" s="96" t="s">
        <v>63</v>
      </c>
      <c r="B203" s="81" t="str">
        <f t="shared" si="81"/>
        <v>Q2/2016</v>
      </c>
      <c r="C203" s="82">
        <f t="shared" si="74"/>
        <v>42461</v>
      </c>
      <c r="D203" s="82">
        <f t="shared" si="75"/>
        <v>42551</v>
      </c>
      <c r="E203" s="81">
        <f t="shared" si="72"/>
        <v>91</v>
      </c>
      <c r="F203" s="83">
        <f>VLOOKUP(D203,'FERC Interest Rate'!$A:$B,2,TRUE)</f>
        <v>3.4599999999999999E-2</v>
      </c>
      <c r="G203" s="84">
        <f t="shared" si="73"/>
        <v>8650.1568621482111</v>
      </c>
      <c r="H203" s="84">
        <v>0</v>
      </c>
      <c r="I203" s="109">
        <f t="shared" si="78"/>
        <v>81.269607768525262</v>
      </c>
      <c r="J203" s="85">
        <f t="shared" si="79"/>
        <v>74.414983322841138</v>
      </c>
      <c r="K203" s="129">
        <f t="shared" si="68"/>
        <v>155.6845910913664</v>
      </c>
      <c r="L203" s="85">
        <f t="shared" si="80"/>
        <v>1000</v>
      </c>
      <c r="M203" s="130">
        <f t="shared" si="69"/>
        <v>1155.6845910913664</v>
      </c>
      <c r="N203" s="8">
        <f t="shared" si="70"/>
        <v>8724.5718454710513</v>
      </c>
      <c r="O203" s="84">
        <f t="shared" si="71"/>
        <v>7568.8872543796861</v>
      </c>
    </row>
    <row r="204" spans="1:15" x14ac:dyDescent="0.2">
      <c r="A204" s="96" t="s">
        <v>64</v>
      </c>
      <c r="B204" s="81" t="str">
        <f t="shared" si="81"/>
        <v>Q3/2016</v>
      </c>
      <c r="C204" s="82">
        <f t="shared" si="74"/>
        <v>42552</v>
      </c>
      <c r="D204" s="82">
        <f t="shared" si="75"/>
        <v>42643</v>
      </c>
      <c r="E204" s="81">
        <f t="shared" si="72"/>
        <v>92</v>
      </c>
      <c r="F204" s="83">
        <f>VLOOKUP(D204,'FERC Interest Rate'!$A:$B,2,TRUE)</f>
        <v>3.5000000000000003E-2</v>
      </c>
      <c r="G204" s="84">
        <f t="shared" si="73"/>
        <v>7568.8872543796861</v>
      </c>
      <c r="H204" s="84">
        <v>0</v>
      </c>
      <c r="I204" s="109">
        <f t="shared" si="78"/>
        <v>81.269607768525262</v>
      </c>
      <c r="J204" s="85">
        <f t="shared" si="79"/>
        <v>66.58966382268467</v>
      </c>
      <c r="K204" s="129">
        <f t="shared" si="68"/>
        <v>147.85927159120993</v>
      </c>
      <c r="L204" s="85">
        <f t="shared" si="80"/>
        <v>1000</v>
      </c>
      <c r="M204" s="130">
        <f t="shared" si="69"/>
        <v>1147.85927159121</v>
      </c>
      <c r="N204" s="8">
        <f t="shared" si="70"/>
        <v>7635.4769182023711</v>
      </c>
      <c r="O204" s="84">
        <f t="shared" si="71"/>
        <v>6487.617646611161</v>
      </c>
    </row>
    <row r="205" spans="1:15" x14ac:dyDescent="0.2">
      <c r="A205" s="96" t="s">
        <v>65</v>
      </c>
      <c r="B205" s="81" t="str">
        <f t="shared" si="81"/>
        <v>Q4/2016</v>
      </c>
      <c r="C205" s="82">
        <f t="shared" si="74"/>
        <v>42644</v>
      </c>
      <c r="D205" s="82">
        <f t="shared" si="75"/>
        <v>42735</v>
      </c>
      <c r="E205" s="81">
        <f t="shared" si="72"/>
        <v>92</v>
      </c>
      <c r="F205" s="83">
        <f>VLOOKUP(D205,'FERC Interest Rate'!$A:$B,2,TRUE)</f>
        <v>3.5000000000000003E-2</v>
      </c>
      <c r="G205" s="84">
        <f t="shared" si="73"/>
        <v>6487.617646611161</v>
      </c>
      <c r="H205" s="84">
        <v>0</v>
      </c>
      <c r="I205" s="109">
        <f t="shared" si="78"/>
        <v>81.269607768525262</v>
      </c>
      <c r="J205" s="85">
        <f t="shared" si="79"/>
        <v>57.076854705158311</v>
      </c>
      <c r="K205" s="129">
        <f t="shared" si="68"/>
        <v>138.34646247368357</v>
      </c>
      <c r="L205" s="85">
        <f t="shared" si="80"/>
        <v>1000</v>
      </c>
      <c r="M205" s="130">
        <f t="shared" si="69"/>
        <v>1138.3464624736835</v>
      </c>
      <c r="N205" s="8">
        <f t="shared" si="70"/>
        <v>6544.6945013163195</v>
      </c>
      <c r="O205" s="84">
        <f t="shared" si="71"/>
        <v>5406.348038842636</v>
      </c>
    </row>
    <row r="206" spans="1:15" x14ac:dyDescent="0.2">
      <c r="A206" s="96" t="s">
        <v>66</v>
      </c>
      <c r="B206" s="81" t="str">
        <f t="shared" si="81"/>
        <v>Q1/2017</v>
      </c>
      <c r="C206" s="82">
        <f t="shared" si="74"/>
        <v>42736</v>
      </c>
      <c r="D206" s="82">
        <f t="shared" si="75"/>
        <v>42825</v>
      </c>
      <c r="E206" s="81">
        <f t="shared" si="72"/>
        <v>90</v>
      </c>
      <c r="F206" s="83">
        <f>VLOOKUP(D206,'FERC Interest Rate'!$A:$B,2,TRUE)</f>
        <v>3.5000000000000003E-2</v>
      </c>
      <c r="G206" s="84">
        <f t="shared" si="73"/>
        <v>5406.348038842636</v>
      </c>
      <c r="H206" s="84">
        <v>0</v>
      </c>
      <c r="I206" s="109">
        <f t="shared" si="78"/>
        <v>81.269607768525262</v>
      </c>
      <c r="J206" s="85">
        <f t="shared" si="79"/>
        <v>46.65752417083371</v>
      </c>
      <c r="K206" s="129">
        <f t="shared" si="68"/>
        <v>127.92713193935897</v>
      </c>
      <c r="L206" s="85">
        <f t="shared" si="80"/>
        <v>1000</v>
      </c>
      <c r="M206" s="130">
        <f t="shared" si="69"/>
        <v>1127.927131939359</v>
      </c>
      <c r="N206" s="8">
        <f t="shared" si="70"/>
        <v>5453.0055630134693</v>
      </c>
      <c r="O206" s="84">
        <f t="shared" si="71"/>
        <v>4325.078431074111</v>
      </c>
    </row>
    <row r="207" spans="1:15" x14ac:dyDescent="0.2">
      <c r="A207" s="96" t="s">
        <v>67</v>
      </c>
      <c r="B207" s="81" t="str">
        <f t="shared" si="81"/>
        <v>Q2/2017</v>
      </c>
      <c r="C207" s="82">
        <f t="shared" si="74"/>
        <v>42826</v>
      </c>
      <c r="D207" s="82">
        <f t="shared" si="75"/>
        <v>42916</v>
      </c>
      <c r="E207" s="81">
        <f t="shared" si="72"/>
        <v>91</v>
      </c>
      <c r="F207" s="83">
        <f>VLOOKUP(D207,'FERC Interest Rate'!$A:$B,2,TRUE)</f>
        <v>3.7100000000000001E-2</v>
      </c>
      <c r="G207" s="84">
        <f t="shared" si="73"/>
        <v>4325.078431074111</v>
      </c>
      <c r="H207" s="84">
        <v>0</v>
      </c>
      <c r="I207" s="109">
        <f t="shared" si="78"/>
        <v>81.269607768525262</v>
      </c>
      <c r="J207" s="85">
        <f t="shared" si="79"/>
        <v>40.005198057943311</v>
      </c>
      <c r="K207" s="129">
        <f t="shared" si="68"/>
        <v>121.27480582646857</v>
      </c>
      <c r="L207" s="85">
        <f t="shared" si="80"/>
        <v>1000</v>
      </c>
      <c r="M207" s="130">
        <f t="shared" si="69"/>
        <v>1121.2748058264685</v>
      </c>
      <c r="N207" s="8">
        <f t="shared" si="70"/>
        <v>4365.0836291320547</v>
      </c>
      <c r="O207" s="84">
        <f t="shared" si="71"/>
        <v>3243.8088233055855</v>
      </c>
    </row>
    <row r="208" spans="1:15" x14ac:dyDescent="0.2">
      <c r="A208" s="96" t="s">
        <v>68</v>
      </c>
      <c r="B208" s="81" t="str">
        <f t="shared" si="81"/>
        <v>Q3/2017</v>
      </c>
      <c r="C208" s="82">
        <f t="shared" si="74"/>
        <v>42917</v>
      </c>
      <c r="D208" s="82">
        <f t="shared" si="75"/>
        <v>43008</v>
      </c>
      <c r="E208" s="81">
        <f t="shared" si="72"/>
        <v>92</v>
      </c>
      <c r="F208" s="83">
        <f>VLOOKUP(D208,'FERC Interest Rate'!$A:$B,2,TRUE)</f>
        <v>3.9600000000000003E-2</v>
      </c>
      <c r="G208" s="84">
        <f t="shared" si="73"/>
        <v>3243.8088233055855</v>
      </c>
      <c r="H208" s="84">
        <v>0</v>
      </c>
      <c r="I208" s="109">
        <f t="shared" si="78"/>
        <v>81.269607768525262</v>
      </c>
      <c r="J208" s="85">
        <f t="shared" si="79"/>
        <v>32.377655630320305</v>
      </c>
      <c r="K208" s="129">
        <f t="shared" si="68"/>
        <v>113.64726339884557</v>
      </c>
      <c r="L208" s="85">
        <f t="shared" si="80"/>
        <v>1000</v>
      </c>
      <c r="M208" s="130">
        <f t="shared" si="69"/>
        <v>1113.6472633988456</v>
      </c>
      <c r="N208" s="8">
        <f t="shared" si="70"/>
        <v>3276.1864789359061</v>
      </c>
      <c r="O208" s="84">
        <f t="shared" si="71"/>
        <v>2162.53921553706</v>
      </c>
    </row>
    <row r="209" spans="1:15" x14ac:dyDescent="0.2">
      <c r="A209" s="96" t="s">
        <v>69</v>
      </c>
      <c r="B209" s="81" t="str">
        <f t="shared" si="81"/>
        <v>Q4/2017</v>
      </c>
      <c r="C209" s="82">
        <f t="shared" si="74"/>
        <v>43009</v>
      </c>
      <c r="D209" s="82">
        <f t="shared" si="75"/>
        <v>43100</v>
      </c>
      <c r="E209" s="81">
        <f t="shared" si="72"/>
        <v>92</v>
      </c>
      <c r="F209" s="83">
        <f>VLOOKUP(D209,'FERC Interest Rate'!$A:$B,2,TRUE)</f>
        <v>4.2099999999999999E-2</v>
      </c>
      <c r="G209" s="84">
        <f t="shared" si="73"/>
        <v>2162.53921553706</v>
      </c>
      <c r="H209" s="84">
        <v>0</v>
      </c>
      <c r="I209" s="109">
        <f t="shared" si="78"/>
        <v>81.269607768525262</v>
      </c>
      <c r="J209" s="85">
        <f t="shared" si="79"/>
        <v>22.94779969758395</v>
      </c>
      <c r="K209" s="129">
        <f t="shared" si="68"/>
        <v>104.21740746610921</v>
      </c>
      <c r="L209" s="85">
        <f t="shared" si="80"/>
        <v>1000</v>
      </c>
      <c r="M209" s="130">
        <f t="shared" si="69"/>
        <v>1104.2174074661093</v>
      </c>
      <c r="N209" s="8">
        <f t="shared" si="70"/>
        <v>2185.4870152346439</v>
      </c>
      <c r="O209" s="84">
        <f t="shared" si="71"/>
        <v>1081.2696077685348</v>
      </c>
    </row>
    <row r="210" spans="1:15" x14ac:dyDescent="0.2">
      <c r="A210" s="96" t="s">
        <v>70</v>
      </c>
      <c r="B210" s="81" t="str">
        <f t="shared" si="81"/>
        <v>Q1/2018</v>
      </c>
      <c r="C210" s="82">
        <f t="shared" si="74"/>
        <v>43101</v>
      </c>
      <c r="D210" s="82">
        <f t="shared" si="75"/>
        <v>43190</v>
      </c>
      <c r="E210" s="81">
        <f t="shared" si="72"/>
        <v>90</v>
      </c>
      <c r="F210" s="83">
        <f>VLOOKUP(D210,'FERC Interest Rate'!$A:$B,2,TRUE)</f>
        <v>4.2500000000000003E-2</v>
      </c>
      <c r="G210" s="84">
        <f t="shared" si="73"/>
        <v>1081.2696077685348</v>
      </c>
      <c r="H210" s="84">
        <v>0</v>
      </c>
      <c r="I210" s="109">
        <f t="shared" si="78"/>
        <v>81.269607768525262</v>
      </c>
      <c r="J210" s="85">
        <f t="shared" si="79"/>
        <v>11.331113012916838</v>
      </c>
      <c r="K210" s="129">
        <f t="shared" si="68"/>
        <v>92.600720781442106</v>
      </c>
      <c r="L210" s="85">
        <f t="shared" si="80"/>
        <v>1000</v>
      </c>
      <c r="M210" s="130">
        <f t="shared" si="69"/>
        <v>1092.6007207814421</v>
      </c>
      <c r="N210" s="8">
        <f t="shared" si="70"/>
        <v>1092.6007207814516</v>
      </c>
      <c r="O210" s="84">
        <f t="shared" si="71"/>
        <v>9.5354835139005445E-12</v>
      </c>
    </row>
    <row r="211" spans="1:15" x14ac:dyDescent="0.2">
      <c r="A211" s="96"/>
      <c r="B211" s="81"/>
      <c r="C211" s="82"/>
      <c r="D211" s="82"/>
      <c r="E211" s="81"/>
      <c r="F211" s="83"/>
      <c r="G211" s="84"/>
      <c r="H211" s="84"/>
      <c r="I211" s="109"/>
      <c r="J211" s="85"/>
      <c r="K211" s="129"/>
      <c r="L211" s="85"/>
      <c r="M211" s="130"/>
      <c r="N211" s="8"/>
      <c r="O211" s="84"/>
    </row>
    <row r="212" spans="1:15" ht="13.5" thickBot="1" x14ac:dyDescent="0.25">
      <c r="A212" s="151"/>
      <c r="B212" s="152"/>
      <c r="C212" s="153"/>
      <c r="D212" s="153"/>
      <c r="E212" s="154"/>
      <c r="F212" s="152"/>
      <c r="G212" s="137">
        <f>SUM(G185:G211)</f>
        <v>354014.87188723794</v>
      </c>
      <c r="H212" s="137">
        <f>SUM(H185:H211)</f>
        <v>1625.3921553705052</v>
      </c>
      <c r="I212" s="138">
        <f t="shared" ref="I212:O212" si="82">SUM(I185:I211)</f>
        <v>1625.3921553705052</v>
      </c>
      <c r="J212" s="137">
        <f t="shared" si="82"/>
        <v>1230.8722374216932</v>
      </c>
      <c r="K212" s="137">
        <f t="shared" si="82"/>
        <v>2856.2643927921986</v>
      </c>
      <c r="L212" s="137">
        <f t="shared" si="82"/>
        <v>20000</v>
      </c>
      <c r="M212" s="139">
        <f t="shared" si="82"/>
        <v>22856.2643927922</v>
      </c>
      <c r="N212" s="137">
        <f t="shared" si="82"/>
        <v>356871.13628003013</v>
      </c>
      <c r="O212" s="137">
        <f t="shared" si="82"/>
        <v>334014.87188723794</v>
      </c>
    </row>
    <row r="213" spans="1:15" ht="13.5" thickTop="1" x14ac:dyDescent="0.2">
      <c r="B213" s="117"/>
      <c r="C213" s="117"/>
      <c r="D213" s="117"/>
      <c r="E213" s="117"/>
      <c r="F213" s="117"/>
      <c r="G213" s="117"/>
      <c r="H213" s="117"/>
      <c r="I213" s="116"/>
      <c r="J213" s="117"/>
      <c r="K213" s="117"/>
      <c r="L213" s="117"/>
      <c r="M213" s="131"/>
      <c r="O213" s="117"/>
    </row>
    <row r="214" spans="1:15" ht="38.25" x14ac:dyDescent="0.2">
      <c r="A214" s="90" t="s">
        <v>53</v>
      </c>
      <c r="B214" s="90" t="s">
        <v>3</v>
      </c>
      <c r="C214" s="90" t="s">
        <v>4</v>
      </c>
      <c r="D214" s="90" t="s">
        <v>5</v>
      </c>
      <c r="E214" s="90" t="s">
        <v>6</v>
      </c>
      <c r="F214" s="90" t="s">
        <v>7</v>
      </c>
      <c r="G214" s="90" t="s">
        <v>93</v>
      </c>
      <c r="H214" s="90" t="s">
        <v>94</v>
      </c>
      <c r="I214" s="105" t="s">
        <v>95</v>
      </c>
      <c r="J214" s="106" t="s">
        <v>96</v>
      </c>
      <c r="K214" s="106" t="s">
        <v>97</v>
      </c>
      <c r="L214" s="106" t="s">
        <v>98</v>
      </c>
      <c r="M214" s="107" t="s">
        <v>99</v>
      </c>
      <c r="N214" s="90" t="s">
        <v>100</v>
      </c>
      <c r="O214" s="90" t="s">
        <v>101</v>
      </c>
    </row>
    <row r="215" spans="1:15" x14ac:dyDescent="0.2">
      <c r="A215" s="275" t="s">
        <v>15</v>
      </c>
      <c r="B215" s="275"/>
      <c r="C215" s="282">
        <f>VLOOKUP(B216,A$1:F$33,2,FALSE)</f>
        <v>40892</v>
      </c>
      <c r="D215" s="282">
        <f>DATE(YEAR(C215),IF(MONTH(C215)&lt;=3,3,IF(MONTH(C215)&lt;=6,6,IF(MONTH(C215)&lt;=9,9,12))),IF(OR(MONTH(C215)&lt;=3,MONTH(C215)&gt;=10),31,30))</f>
        <v>40908</v>
      </c>
      <c r="E215" s="283">
        <f>D215-C215+1</f>
        <v>17</v>
      </c>
      <c r="F215" s="284">
        <f>VLOOKUP(D215,'FERC Interest Rate'!$A:$B,2,TRUE)</f>
        <v>3.2500000000000001E-2</v>
      </c>
      <c r="G215" s="167">
        <f>VLOOKUP(B216,$A$1:$F$33,5,FALSE)</f>
        <v>20000</v>
      </c>
      <c r="H215" s="167">
        <f t="shared" ref="H215:H224" si="83">G215*F215*(E215/(DATE(YEAR(D215),12,31)-DATE(YEAR(D215),1,1)+1))</f>
        <v>30.273972602739729</v>
      </c>
      <c r="I215" s="291">
        <v>0</v>
      </c>
      <c r="J215" s="286">
        <v>0</v>
      </c>
      <c r="K215" s="129">
        <f t="shared" ref="K215:K240" si="84">+SUM(I215:J215)</f>
        <v>0</v>
      </c>
      <c r="L215" s="286">
        <v>0</v>
      </c>
      <c r="M215" s="130">
        <f t="shared" ref="M215:M240" si="85">+SUM(K215:L215)</f>
        <v>0</v>
      </c>
      <c r="N215" s="8">
        <f t="shared" ref="N215:N240" si="86">+G215+H215+J215</f>
        <v>20030.273972602739</v>
      </c>
      <c r="O215" s="167">
        <f t="shared" ref="O215:O240" si="87">G215+H215-L215-I215</f>
        <v>20030.273972602739</v>
      </c>
    </row>
    <row r="216" spans="1:15" x14ac:dyDescent="0.2">
      <c r="A216" s="275" t="s">
        <v>38</v>
      </c>
      <c r="B216" s="276" t="s">
        <v>73</v>
      </c>
      <c r="C216" s="282">
        <f>D215+1</f>
        <v>40909</v>
      </c>
      <c r="D216" s="282">
        <f>EOMONTH(D215,3)</f>
        <v>40999</v>
      </c>
      <c r="E216" s="283">
        <f t="shared" ref="E216:E240" si="88">D216-C216+1</f>
        <v>91</v>
      </c>
      <c r="F216" s="284">
        <f>VLOOKUP(D216,'FERC Interest Rate'!$A:$B,2,TRUE)</f>
        <v>3.2500000000000001E-2</v>
      </c>
      <c r="G216" s="167">
        <f t="shared" ref="G216:G240" si="89">O215</f>
        <v>20030.273972602739</v>
      </c>
      <c r="H216" s="167">
        <f t="shared" si="83"/>
        <v>161.85665375402351</v>
      </c>
      <c r="I216" s="291">
        <v>0</v>
      </c>
      <c r="J216" s="286">
        <v>0</v>
      </c>
      <c r="K216" s="129">
        <f t="shared" si="84"/>
        <v>0</v>
      </c>
      <c r="L216" s="286">
        <v>0</v>
      </c>
      <c r="M216" s="130">
        <f t="shared" si="85"/>
        <v>0</v>
      </c>
      <c r="N216" s="8">
        <f t="shared" si="86"/>
        <v>20192.130626356764</v>
      </c>
      <c r="O216" s="167">
        <f t="shared" si="87"/>
        <v>20192.130626356764</v>
      </c>
    </row>
    <row r="217" spans="1:15" x14ac:dyDescent="0.2">
      <c r="A217" s="292"/>
      <c r="B217" s="283"/>
      <c r="C217" s="282">
        <f t="shared" ref="C217:C240" si="90">D216+1</f>
        <v>41000</v>
      </c>
      <c r="D217" s="282">
        <f t="shared" ref="D217:D240" si="91">EOMONTH(D216,3)</f>
        <v>41090</v>
      </c>
      <c r="E217" s="283">
        <f t="shared" si="88"/>
        <v>91</v>
      </c>
      <c r="F217" s="284">
        <f>VLOOKUP(D217,'FERC Interest Rate'!$A:$B,2,TRUE)</f>
        <v>3.2500000000000001E-2</v>
      </c>
      <c r="G217" s="167">
        <f t="shared" si="89"/>
        <v>20192.130626356764</v>
      </c>
      <c r="H217" s="167">
        <f t="shared" si="83"/>
        <v>163.1645528072408</v>
      </c>
      <c r="I217" s="291">
        <v>0</v>
      </c>
      <c r="J217" s="286">
        <v>0</v>
      </c>
      <c r="K217" s="129">
        <f t="shared" si="84"/>
        <v>0</v>
      </c>
      <c r="L217" s="286">
        <v>0</v>
      </c>
      <c r="M217" s="130">
        <f t="shared" si="85"/>
        <v>0</v>
      </c>
      <c r="N217" s="8">
        <f t="shared" si="86"/>
        <v>20355.295179164004</v>
      </c>
      <c r="O217" s="167">
        <f t="shared" si="87"/>
        <v>20355.295179164004</v>
      </c>
    </row>
    <row r="218" spans="1:15" x14ac:dyDescent="0.2">
      <c r="A218" s="292"/>
      <c r="B218" s="283"/>
      <c r="C218" s="282">
        <f t="shared" si="90"/>
        <v>41091</v>
      </c>
      <c r="D218" s="282">
        <f t="shared" si="91"/>
        <v>41182</v>
      </c>
      <c r="E218" s="283">
        <f t="shared" si="88"/>
        <v>92</v>
      </c>
      <c r="F218" s="284">
        <f>VLOOKUP(D218,'FERC Interest Rate'!$A:$B,2,TRUE)</f>
        <v>3.2500000000000001E-2</v>
      </c>
      <c r="G218" s="167">
        <f t="shared" si="89"/>
        <v>20355.295179164004</v>
      </c>
      <c r="H218" s="167">
        <f t="shared" si="83"/>
        <v>166.29052619043819</v>
      </c>
      <c r="I218" s="291">
        <v>0</v>
      </c>
      <c r="J218" s="286">
        <v>0</v>
      </c>
      <c r="K218" s="129">
        <f t="shared" si="84"/>
        <v>0</v>
      </c>
      <c r="L218" s="286">
        <v>0</v>
      </c>
      <c r="M218" s="130">
        <f t="shared" si="85"/>
        <v>0</v>
      </c>
      <c r="N218" s="8">
        <f t="shared" si="86"/>
        <v>20521.585705354442</v>
      </c>
      <c r="O218" s="167">
        <f t="shared" si="87"/>
        <v>20521.585705354442</v>
      </c>
    </row>
    <row r="219" spans="1:15" x14ac:dyDescent="0.2">
      <c r="A219" s="292"/>
      <c r="B219" s="283"/>
      <c r="C219" s="282">
        <f t="shared" si="90"/>
        <v>41183</v>
      </c>
      <c r="D219" s="282">
        <f t="shared" si="91"/>
        <v>41274</v>
      </c>
      <c r="E219" s="283">
        <f t="shared" si="88"/>
        <v>92</v>
      </c>
      <c r="F219" s="284">
        <f>VLOOKUP(D219,'FERC Interest Rate'!$A:$B,2,TRUE)</f>
        <v>3.2500000000000001E-2</v>
      </c>
      <c r="G219" s="167">
        <f t="shared" si="89"/>
        <v>20521.585705354442</v>
      </c>
      <c r="H219" s="167">
        <f t="shared" si="83"/>
        <v>167.64901983336009</v>
      </c>
      <c r="I219" s="291">
        <v>0</v>
      </c>
      <c r="J219" s="286">
        <v>0</v>
      </c>
      <c r="K219" s="129">
        <f t="shared" si="84"/>
        <v>0</v>
      </c>
      <c r="L219" s="286">
        <v>0</v>
      </c>
      <c r="M219" s="130">
        <f t="shared" si="85"/>
        <v>0</v>
      </c>
      <c r="N219" s="8">
        <f t="shared" si="86"/>
        <v>20689.234725187802</v>
      </c>
      <c r="O219" s="167">
        <f t="shared" si="87"/>
        <v>20689.234725187802</v>
      </c>
    </row>
    <row r="220" spans="1:15" x14ac:dyDescent="0.2">
      <c r="A220" s="292"/>
      <c r="B220" s="283"/>
      <c r="C220" s="282">
        <f t="shared" si="90"/>
        <v>41275</v>
      </c>
      <c r="D220" s="282">
        <f t="shared" si="91"/>
        <v>41364</v>
      </c>
      <c r="E220" s="283">
        <f t="shared" si="88"/>
        <v>90</v>
      </c>
      <c r="F220" s="284">
        <f>VLOOKUP(D220,'FERC Interest Rate'!$A:$B,2,TRUE)</f>
        <v>3.2500000000000001E-2</v>
      </c>
      <c r="G220" s="167">
        <f t="shared" si="89"/>
        <v>20689.234725187802</v>
      </c>
      <c r="H220" s="167">
        <f t="shared" si="83"/>
        <v>165.79729197582006</v>
      </c>
      <c r="I220" s="291">
        <v>0</v>
      </c>
      <c r="J220" s="286">
        <v>0</v>
      </c>
      <c r="K220" s="129">
        <f t="shared" si="84"/>
        <v>0</v>
      </c>
      <c r="L220" s="286">
        <v>0</v>
      </c>
      <c r="M220" s="130">
        <f t="shared" si="85"/>
        <v>0</v>
      </c>
      <c r="N220" s="8">
        <f t="shared" si="86"/>
        <v>20855.032017163623</v>
      </c>
      <c r="O220" s="167">
        <f t="shared" si="87"/>
        <v>20855.032017163623</v>
      </c>
    </row>
    <row r="221" spans="1:15" x14ac:dyDescent="0.2">
      <c r="A221" s="292"/>
      <c r="B221" s="283"/>
      <c r="C221" s="82">
        <f>D220+1</f>
        <v>41365</v>
      </c>
      <c r="D221" s="82">
        <f t="shared" si="91"/>
        <v>41455</v>
      </c>
      <c r="E221" s="81">
        <f>D221-C221+1</f>
        <v>91</v>
      </c>
      <c r="F221" s="83">
        <f>VLOOKUP(D221,'FERC Interest Rate'!$A:$B,2,TRUE)</f>
        <v>3.2500000000000001E-2</v>
      </c>
      <c r="G221" s="84">
        <f t="shared" si="89"/>
        <v>20855.032017163623</v>
      </c>
      <c r="H221" s="167">
        <f t="shared" si="83"/>
        <v>168.98289641304498</v>
      </c>
      <c r="I221" s="291">
        <v>0</v>
      </c>
      <c r="J221" s="286">
        <v>0</v>
      </c>
      <c r="K221" s="129">
        <f t="shared" si="84"/>
        <v>0</v>
      </c>
      <c r="L221" s="286">
        <v>0</v>
      </c>
      <c r="M221" s="130">
        <f t="shared" si="85"/>
        <v>0</v>
      </c>
      <c r="N221" s="8">
        <f t="shared" si="86"/>
        <v>21024.01491357667</v>
      </c>
      <c r="O221" s="84">
        <f t="shared" si="87"/>
        <v>21024.01491357667</v>
      </c>
    </row>
    <row r="222" spans="1:15" x14ac:dyDescent="0.2">
      <c r="A222" s="292"/>
      <c r="B222" s="283"/>
      <c r="C222" s="82">
        <f>D221+1</f>
        <v>41456</v>
      </c>
      <c r="D222" s="82">
        <f t="shared" si="91"/>
        <v>41547</v>
      </c>
      <c r="E222" s="81">
        <f>D222-C222+1</f>
        <v>92</v>
      </c>
      <c r="F222" s="83">
        <f>VLOOKUP(D222,'FERC Interest Rate'!$A:$B,2,TRUE)</f>
        <v>3.2500000000000001E-2</v>
      </c>
      <c r="G222" s="84">
        <f t="shared" si="89"/>
        <v>21024.01491357667</v>
      </c>
      <c r="H222" s="167">
        <f t="shared" si="83"/>
        <v>172.22412216875136</v>
      </c>
      <c r="I222" s="291">
        <v>0</v>
      </c>
      <c r="J222" s="286">
        <v>0</v>
      </c>
      <c r="K222" s="129">
        <f t="shared" si="84"/>
        <v>0</v>
      </c>
      <c r="L222" s="286">
        <v>0</v>
      </c>
      <c r="M222" s="130">
        <f t="shared" si="85"/>
        <v>0</v>
      </c>
      <c r="N222" s="8">
        <f t="shared" si="86"/>
        <v>21196.239035745421</v>
      </c>
      <c r="O222" s="84">
        <f t="shared" si="87"/>
        <v>21196.239035745421</v>
      </c>
    </row>
    <row r="223" spans="1:15" x14ac:dyDescent="0.2">
      <c r="A223" s="292"/>
      <c r="B223" s="283"/>
      <c r="C223" s="82">
        <f>D222+1</f>
        <v>41548</v>
      </c>
      <c r="D223" s="82">
        <f t="shared" si="91"/>
        <v>41639</v>
      </c>
      <c r="E223" s="81">
        <f>D223-C223+1</f>
        <v>92</v>
      </c>
      <c r="F223" s="83">
        <f>VLOOKUP(D223,'FERC Interest Rate'!$A:$B,2,TRUE)</f>
        <v>3.2500000000000001E-2</v>
      </c>
      <c r="G223" s="84">
        <f t="shared" si="89"/>
        <v>21196.239035745421</v>
      </c>
      <c r="H223" s="167">
        <f t="shared" si="83"/>
        <v>173.63494442980499</v>
      </c>
      <c r="I223" s="291">
        <v>0</v>
      </c>
      <c r="J223" s="286">
        <v>0</v>
      </c>
      <c r="K223" s="129">
        <f t="shared" si="84"/>
        <v>0</v>
      </c>
      <c r="L223" s="286">
        <v>0</v>
      </c>
      <c r="M223" s="130">
        <f t="shared" si="85"/>
        <v>0</v>
      </c>
      <c r="N223" s="8">
        <f t="shared" si="86"/>
        <v>21369.873980175227</v>
      </c>
      <c r="O223" s="84">
        <f t="shared" si="87"/>
        <v>21369.873980175227</v>
      </c>
    </row>
    <row r="224" spans="1:15" x14ac:dyDescent="0.2">
      <c r="A224" s="96" t="s">
        <v>54</v>
      </c>
      <c r="B224" s="81" t="str">
        <f>+IF(MONTH(C224)&lt;4,"Q1",IF(MONTH(C224)&lt;7,"Q2",IF(MONTH(C224)&lt;10,"Q3","Q4")))&amp;"/"&amp;YEAR(C224)</f>
        <v>Q1/2014</v>
      </c>
      <c r="C224" s="82">
        <f>D223+1</f>
        <v>41640</v>
      </c>
      <c r="D224" s="82">
        <f t="shared" si="91"/>
        <v>41729</v>
      </c>
      <c r="E224" s="81">
        <f>D224-C224+1</f>
        <v>90</v>
      </c>
      <c r="F224" s="83">
        <f>VLOOKUP(D224,'FERC Interest Rate'!$A:$B,2,TRUE)</f>
        <v>3.2500000000000001E-2</v>
      </c>
      <c r="G224" s="84">
        <f t="shared" si="89"/>
        <v>21369.873980175227</v>
      </c>
      <c r="H224" s="167">
        <f t="shared" si="83"/>
        <v>171.25172984113024</v>
      </c>
      <c r="I224" s="109">
        <f>(SUM($H$215:$H$240)/20)*4</f>
        <v>308.22514200327083</v>
      </c>
      <c r="J224" s="85">
        <v>0</v>
      </c>
      <c r="K224" s="129">
        <f t="shared" si="84"/>
        <v>308.22514200327083</v>
      </c>
      <c r="L224" s="85">
        <f>($G$215/20)*4</f>
        <v>4000</v>
      </c>
      <c r="M224" s="130">
        <f t="shared" si="85"/>
        <v>4308.2251420032708</v>
      </c>
      <c r="N224" s="8">
        <f t="shared" si="86"/>
        <v>21541.125710016357</v>
      </c>
      <c r="O224" s="84">
        <f t="shared" si="87"/>
        <v>17232.900568013087</v>
      </c>
    </row>
    <row r="225" spans="1:15" x14ac:dyDescent="0.2">
      <c r="A225" s="96" t="s">
        <v>55</v>
      </c>
      <c r="B225" s="81" t="str">
        <f>+IF(MONTH(C225)&lt;4,"Q1",IF(MONTH(C225)&lt;7,"Q2",IF(MONTH(C225)&lt;10,"Q3","Q4")))&amp;"/"&amp;YEAR(C225)</f>
        <v>Q2/2014</v>
      </c>
      <c r="C225" s="82">
        <f t="shared" si="90"/>
        <v>41730</v>
      </c>
      <c r="D225" s="82">
        <f t="shared" si="91"/>
        <v>41820</v>
      </c>
      <c r="E225" s="81">
        <f t="shared" si="88"/>
        <v>91</v>
      </c>
      <c r="F225" s="83">
        <f>VLOOKUP(D225,'FERC Interest Rate'!$A:$B,2,TRUE)</f>
        <v>3.2500000000000001E-2</v>
      </c>
      <c r="G225" s="84">
        <f t="shared" si="89"/>
        <v>17232.900568013087</v>
      </c>
      <c r="H225" s="84">
        <v>0</v>
      </c>
      <c r="I225" s="109">
        <f t="shared" ref="I225:I240" si="92">SUM($H$215:$H$240)/20</f>
        <v>77.056285500817708</v>
      </c>
      <c r="J225" s="85">
        <f t="shared" ref="J225:J240" si="93">G225*F225*(E225/(DATE(YEAR(D225),12,31)-DATE(YEAR(D225),1,1)+1))</f>
        <v>139.63370802711972</v>
      </c>
      <c r="K225" s="129">
        <f t="shared" si="84"/>
        <v>216.68999352793742</v>
      </c>
      <c r="L225" s="85">
        <f t="shared" ref="L225:L240" si="94">$G$215/20</f>
        <v>1000</v>
      </c>
      <c r="M225" s="130">
        <f t="shared" si="85"/>
        <v>1216.6899935279375</v>
      </c>
      <c r="N225" s="8">
        <f t="shared" si="86"/>
        <v>17372.534276040205</v>
      </c>
      <c r="O225" s="84">
        <f t="shared" si="87"/>
        <v>16155.844282512269</v>
      </c>
    </row>
    <row r="226" spans="1:15" x14ac:dyDescent="0.2">
      <c r="A226" s="96" t="s">
        <v>56</v>
      </c>
      <c r="B226" s="81" t="str">
        <f t="shared" ref="B226:B240" si="95">+IF(MONTH(C226)&lt;4,"Q1",IF(MONTH(C226)&lt;7,"Q2",IF(MONTH(C226)&lt;10,"Q3","Q4")))&amp;"/"&amp;YEAR(C226)</f>
        <v>Q3/2014</v>
      </c>
      <c r="C226" s="82">
        <f t="shared" si="90"/>
        <v>41821</v>
      </c>
      <c r="D226" s="82">
        <f t="shared" si="91"/>
        <v>41912</v>
      </c>
      <c r="E226" s="81">
        <f t="shared" si="88"/>
        <v>92</v>
      </c>
      <c r="F226" s="83">
        <f>VLOOKUP(D226,'FERC Interest Rate'!$A:$B,2,TRUE)</f>
        <v>3.2500000000000001E-2</v>
      </c>
      <c r="G226" s="84">
        <f t="shared" si="89"/>
        <v>16155.844282512269</v>
      </c>
      <c r="H226" s="84">
        <v>0</v>
      </c>
      <c r="I226" s="109">
        <f t="shared" si="92"/>
        <v>77.056285500817708</v>
      </c>
      <c r="J226" s="85">
        <f t="shared" si="93"/>
        <v>132.34513535537451</v>
      </c>
      <c r="K226" s="129">
        <f t="shared" si="84"/>
        <v>209.4014208561922</v>
      </c>
      <c r="L226" s="85">
        <f t="shared" si="94"/>
        <v>1000</v>
      </c>
      <c r="M226" s="130">
        <f t="shared" si="85"/>
        <v>1209.4014208561921</v>
      </c>
      <c r="N226" s="8">
        <f t="shared" si="86"/>
        <v>16288.189417867643</v>
      </c>
      <c r="O226" s="84">
        <f t="shared" si="87"/>
        <v>15078.787997011452</v>
      </c>
    </row>
    <row r="227" spans="1:15" x14ac:dyDescent="0.2">
      <c r="A227" s="96" t="s">
        <v>57</v>
      </c>
      <c r="B227" s="81" t="str">
        <f t="shared" si="95"/>
        <v>Q4/2014</v>
      </c>
      <c r="C227" s="82">
        <f t="shared" si="90"/>
        <v>41913</v>
      </c>
      <c r="D227" s="82">
        <f t="shared" si="91"/>
        <v>42004</v>
      </c>
      <c r="E227" s="81">
        <f t="shared" si="88"/>
        <v>92</v>
      </c>
      <c r="F227" s="83">
        <f>VLOOKUP(D227,'FERC Interest Rate'!$A:$B,2,TRUE)</f>
        <v>3.2500000000000001E-2</v>
      </c>
      <c r="G227" s="84">
        <f t="shared" si="89"/>
        <v>15078.787997011452</v>
      </c>
      <c r="H227" s="84">
        <v>0</v>
      </c>
      <c r="I227" s="109">
        <f t="shared" si="92"/>
        <v>77.056285500817708</v>
      </c>
      <c r="J227" s="85">
        <f t="shared" si="93"/>
        <v>123.52212633168287</v>
      </c>
      <c r="K227" s="129">
        <f t="shared" si="84"/>
        <v>200.57841183250059</v>
      </c>
      <c r="L227" s="85">
        <f t="shared" si="94"/>
        <v>1000</v>
      </c>
      <c r="M227" s="130">
        <f t="shared" si="85"/>
        <v>1200.5784118325005</v>
      </c>
      <c r="N227" s="8">
        <f t="shared" si="86"/>
        <v>15202.310123343135</v>
      </c>
      <c r="O227" s="84">
        <f t="shared" si="87"/>
        <v>14001.731711510634</v>
      </c>
    </row>
    <row r="228" spans="1:15" x14ac:dyDescent="0.2">
      <c r="A228" s="96" t="s">
        <v>58</v>
      </c>
      <c r="B228" s="81" t="str">
        <f t="shared" si="95"/>
        <v>Q1/2015</v>
      </c>
      <c r="C228" s="82">
        <f t="shared" si="90"/>
        <v>42005</v>
      </c>
      <c r="D228" s="82">
        <f t="shared" si="91"/>
        <v>42094</v>
      </c>
      <c r="E228" s="81">
        <f t="shared" si="88"/>
        <v>90</v>
      </c>
      <c r="F228" s="83">
        <f>VLOOKUP(D228,'FERC Interest Rate'!$A:$B,2,TRUE)</f>
        <v>3.2500000000000001E-2</v>
      </c>
      <c r="G228" s="84">
        <f t="shared" si="89"/>
        <v>14001.731711510634</v>
      </c>
      <c r="H228" s="84">
        <v>0</v>
      </c>
      <c r="I228" s="109">
        <f t="shared" si="92"/>
        <v>77.056285500817708</v>
      </c>
      <c r="J228" s="85">
        <f t="shared" si="93"/>
        <v>112.20565823607836</v>
      </c>
      <c r="K228" s="129">
        <f t="shared" si="84"/>
        <v>189.26194373689606</v>
      </c>
      <c r="L228" s="85">
        <f t="shared" si="94"/>
        <v>1000</v>
      </c>
      <c r="M228" s="130">
        <f t="shared" si="85"/>
        <v>1189.261943736896</v>
      </c>
      <c r="N228" s="8">
        <f t="shared" si="86"/>
        <v>14113.937369746713</v>
      </c>
      <c r="O228" s="84">
        <f t="shared" si="87"/>
        <v>12924.675426009817</v>
      </c>
    </row>
    <row r="229" spans="1:15" x14ac:dyDescent="0.2">
      <c r="A229" s="96" t="s">
        <v>59</v>
      </c>
      <c r="B229" s="81" t="str">
        <f t="shared" si="95"/>
        <v>Q2/2015</v>
      </c>
      <c r="C229" s="82">
        <f t="shared" si="90"/>
        <v>42095</v>
      </c>
      <c r="D229" s="82">
        <f t="shared" si="91"/>
        <v>42185</v>
      </c>
      <c r="E229" s="81">
        <f t="shared" si="88"/>
        <v>91</v>
      </c>
      <c r="F229" s="83">
        <f>VLOOKUP(D229,'FERC Interest Rate'!$A:$B,2,TRUE)</f>
        <v>3.2500000000000001E-2</v>
      </c>
      <c r="G229" s="84">
        <f t="shared" si="89"/>
        <v>12924.675426009817</v>
      </c>
      <c r="H229" s="84">
        <v>0</v>
      </c>
      <c r="I229" s="109">
        <f t="shared" si="92"/>
        <v>77.056285500817708</v>
      </c>
      <c r="J229" s="85">
        <f t="shared" si="93"/>
        <v>104.72528102033982</v>
      </c>
      <c r="K229" s="129">
        <f t="shared" si="84"/>
        <v>181.78156652115752</v>
      </c>
      <c r="L229" s="85">
        <f t="shared" si="94"/>
        <v>1000</v>
      </c>
      <c r="M229" s="130">
        <f t="shared" si="85"/>
        <v>1181.7815665211574</v>
      </c>
      <c r="N229" s="8">
        <f t="shared" si="86"/>
        <v>13029.400707030156</v>
      </c>
      <c r="O229" s="84">
        <f t="shared" si="87"/>
        <v>11847.619140508999</v>
      </c>
    </row>
    <row r="230" spans="1:15" x14ac:dyDescent="0.2">
      <c r="A230" s="96" t="s">
        <v>60</v>
      </c>
      <c r="B230" s="81" t="str">
        <f t="shared" si="95"/>
        <v>Q3/2015</v>
      </c>
      <c r="C230" s="82">
        <f t="shared" si="90"/>
        <v>42186</v>
      </c>
      <c r="D230" s="82">
        <f t="shared" si="91"/>
        <v>42277</v>
      </c>
      <c r="E230" s="81">
        <f t="shared" si="88"/>
        <v>92</v>
      </c>
      <c r="F230" s="83">
        <f>VLOOKUP(D230,'FERC Interest Rate'!$A:$B,2,TRUE)</f>
        <v>3.2500000000000001E-2</v>
      </c>
      <c r="G230" s="84">
        <f t="shared" si="89"/>
        <v>11847.619140508999</v>
      </c>
      <c r="H230" s="84">
        <v>0</v>
      </c>
      <c r="I230" s="109">
        <f t="shared" si="92"/>
        <v>77.056285500817708</v>
      </c>
      <c r="J230" s="85">
        <f t="shared" si="93"/>
        <v>97.053099260607979</v>
      </c>
      <c r="K230" s="129">
        <f t="shared" si="84"/>
        <v>174.1093847614257</v>
      </c>
      <c r="L230" s="85">
        <f t="shared" si="94"/>
        <v>1000</v>
      </c>
      <c r="M230" s="130">
        <f t="shared" si="85"/>
        <v>1174.1093847614256</v>
      </c>
      <c r="N230" s="8">
        <f t="shared" si="86"/>
        <v>11944.672239769607</v>
      </c>
      <c r="O230" s="84">
        <f t="shared" si="87"/>
        <v>10770.562855008182</v>
      </c>
    </row>
    <row r="231" spans="1:15" x14ac:dyDescent="0.2">
      <c r="A231" s="96" t="s">
        <v>61</v>
      </c>
      <c r="B231" s="81" t="str">
        <f t="shared" si="95"/>
        <v>Q4/2015</v>
      </c>
      <c r="C231" s="82">
        <f t="shared" si="90"/>
        <v>42278</v>
      </c>
      <c r="D231" s="82">
        <f t="shared" si="91"/>
        <v>42369</v>
      </c>
      <c r="E231" s="81">
        <f t="shared" si="88"/>
        <v>92</v>
      </c>
      <c r="F231" s="83">
        <f>VLOOKUP(D231,'FERC Interest Rate'!$A:$B,2,TRUE)</f>
        <v>3.2500000000000001E-2</v>
      </c>
      <c r="G231" s="84">
        <f t="shared" si="89"/>
        <v>10770.562855008182</v>
      </c>
      <c r="H231" s="84">
        <v>0</v>
      </c>
      <c r="I231" s="109">
        <f t="shared" si="92"/>
        <v>77.056285500817708</v>
      </c>
      <c r="J231" s="85">
        <f t="shared" si="93"/>
        <v>88.230090236916354</v>
      </c>
      <c r="K231" s="129">
        <f t="shared" si="84"/>
        <v>165.28637573773406</v>
      </c>
      <c r="L231" s="85">
        <f t="shared" si="94"/>
        <v>1000</v>
      </c>
      <c r="M231" s="130">
        <f t="shared" si="85"/>
        <v>1165.286375737734</v>
      </c>
      <c r="N231" s="8">
        <f t="shared" si="86"/>
        <v>10858.792945245099</v>
      </c>
      <c r="O231" s="84">
        <f t="shared" si="87"/>
        <v>9693.5065695073645</v>
      </c>
    </row>
    <row r="232" spans="1:15" x14ac:dyDescent="0.2">
      <c r="A232" s="96" t="s">
        <v>62</v>
      </c>
      <c r="B232" s="81" t="str">
        <f t="shared" si="95"/>
        <v>Q1/2016</v>
      </c>
      <c r="C232" s="82">
        <f t="shared" si="90"/>
        <v>42370</v>
      </c>
      <c r="D232" s="82">
        <f t="shared" si="91"/>
        <v>42460</v>
      </c>
      <c r="E232" s="81">
        <f t="shared" si="88"/>
        <v>91</v>
      </c>
      <c r="F232" s="83">
        <f>VLOOKUP(D232,'FERC Interest Rate'!$A:$B,2,TRUE)</f>
        <v>3.2500000000000001E-2</v>
      </c>
      <c r="G232" s="84">
        <f t="shared" si="89"/>
        <v>9693.5065695073645</v>
      </c>
      <c r="H232" s="84">
        <v>0</v>
      </c>
      <c r="I232" s="109">
        <f t="shared" si="92"/>
        <v>77.056285500817708</v>
      </c>
      <c r="J232" s="85">
        <f t="shared" si="93"/>
        <v>78.329359779557464</v>
      </c>
      <c r="K232" s="129">
        <f t="shared" si="84"/>
        <v>155.38564528037517</v>
      </c>
      <c r="L232" s="85">
        <f t="shared" si="94"/>
        <v>1000</v>
      </c>
      <c r="M232" s="130">
        <f t="shared" si="85"/>
        <v>1155.3856452803752</v>
      </c>
      <c r="N232" s="8">
        <f t="shared" si="86"/>
        <v>9771.8359292869227</v>
      </c>
      <c r="O232" s="84">
        <f t="shared" si="87"/>
        <v>8616.450284006547</v>
      </c>
    </row>
    <row r="233" spans="1:15" x14ac:dyDescent="0.2">
      <c r="A233" s="96" t="s">
        <v>63</v>
      </c>
      <c r="B233" s="81" t="str">
        <f t="shared" si="95"/>
        <v>Q2/2016</v>
      </c>
      <c r="C233" s="82">
        <f t="shared" si="90"/>
        <v>42461</v>
      </c>
      <c r="D233" s="82">
        <f t="shared" si="91"/>
        <v>42551</v>
      </c>
      <c r="E233" s="81">
        <f t="shared" si="88"/>
        <v>91</v>
      </c>
      <c r="F233" s="83">
        <f>VLOOKUP(D233,'FERC Interest Rate'!$A:$B,2,TRUE)</f>
        <v>3.4599999999999999E-2</v>
      </c>
      <c r="G233" s="84">
        <f t="shared" si="89"/>
        <v>8616.450284006547</v>
      </c>
      <c r="H233" s="84">
        <v>0</v>
      </c>
      <c r="I233" s="109">
        <f t="shared" si="92"/>
        <v>77.056285500817708</v>
      </c>
      <c r="J233" s="85">
        <f t="shared" si="93"/>
        <v>74.125014656347034</v>
      </c>
      <c r="K233" s="129">
        <f t="shared" si="84"/>
        <v>151.18130015716474</v>
      </c>
      <c r="L233" s="85">
        <f t="shared" si="94"/>
        <v>1000</v>
      </c>
      <c r="M233" s="130">
        <f t="shared" si="85"/>
        <v>1151.1813001571647</v>
      </c>
      <c r="N233" s="8">
        <f t="shared" si="86"/>
        <v>8690.5752986628941</v>
      </c>
      <c r="O233" s="84">
        <f t="shared" si="87"/>
        <v>7539.3939985057295</v>
      </c>
    </row>
    <row r="234" spans="1:15" x14ac:dyDescent="0.2">
      <c r="A234" s="96" t="s">
        <v>64</v>
      </c>
      <c r="B234" s="81" t="str">
        <f t="shared" si="95"/>
        <v>Q3/2016</v>
      </c>
      <c r="C234" s="82">
        <f t="shared" si="90"/>
        <v>42552</v>
      </c>
      <c r="D234" s="82">
        <f t="shared" si="91"/>
        <v>42643</v>
      </c>
      <c r="E234" s="81">
        <f t="shared" si="88"/>
        <v>92</v>
      </c>
      <c r="F234" s="83">
        <f>VLOOKUP(D234,'FERC Interest Rate'!$A:$B,2,TRUE)</f>
        <v>3.5000000000000003E-2</v>
      </c>
      <c r="G234" s="84">
        <f t="shared" si="89"/>
        <v>7539.3939985057295</v>
      </c>
      <c r="H234" s="84">
        <v>0</v>
      </c>
      <c r="I234" s="109">
        <f t="shared" si="92"/>
        <v>77.056285500817708</v>
      </c>
      <c r="J234" s="85">
        <f t="shared" si="93"/>
        <v>66.330187637126926</v>
      </c>
      <c r="K234" s="129">
        <f t="shared" si="84"/>
        <v>143.38647313794462</v>
      </c>
      <c r="L234" s="85">
        <f t="shared" si="94"/>
        <v>1000</v>
      </c>
      <c r="M234" s="130">
        <f t="shared" si="85"/>
        <v>1143.3864731379447</v>
      </c>
      <c r="N234" s="8">
        <f t="shared" si="86"/>
        <v>7605.7241861428565</v>
      </c>
      <c r="O234" s="84">
        <f t="shared" si="87"/>
        <v>6462.3377130049121</v>
      </c>
    </row>
    <row r="235" spans="1:15" x14ac:dyDescent="0.2">
      <c r="A235" s="96" t="s">
        <v>65</v>
      </c>
      <c r="B235" s="81" t="str">
        <f t="shared" si="95"/>
        <v>Q4/2016</v>
      </c>
      <c r="C235" s="82">
        <f t="shared" si="90"/>
        <v>42644</v>
      </c>
      <c r="D235" s="82">
        <f t="shared" si="91"/>
        <v>42735</v>
      </c>
      <c r="E235" s="81">
        <f t="shared" si="88"/>
        <v>92</v>
      </c>
      <c r="F235" s="83">
        <f>VLOOKUP(D235,'FERC Interest Rate'!$A:$B,2,TRUE)</f>
        <v>3.5000000000000003E-2</v>
      </c>
      <c r="G235" s="84">
        <f t="shared" si="89"/>
        <v>6462.3377130049121</v>
      </c>
      <c r="H235" s="84">
        <v>0</v>
      </c>
      <c r="I235" s="109">
        <f t="shared" si="92"/>
        <v>77.056285500817708</v>
      </c>
      <c r="J235" s="85">
        <f t="shared" si="93"/>
        <v>56.85444654610879</v>
      </c>
      <c r="K235" s="129">
        <f t="shared" si="84"/>
        <v>133.91073204692651</v>
      </c>
      <c r="L235" s="85">
        <f t="shared" si="94"/>
        <v>1000</v>
      </c>
      <c r="M235" s="130">
        <f t="shared" si="85"/>
        <v>1133.9107320469266</v>
      </c>
      <c r="N235" s="8">
        <f t="shared" si="86"/>
        <v>6519.1921595510212</v>
      </c>
      <c r="O235" s="84">
        <f t="shared" si="87"/>
        <v>5385.2814275040946</v>
      </c>
    </row>
    <row r="236" spans="1:15" x14ac:dyDescent="0.2">
      <c r="A236" s="96" t="s">
        <v>66</v>
      </c>
      <c r="B236" s="81" t="str">
        <f t="shared" si="95"/>
        <v>Q1/2017</v>
      </c>
      <c r="C236" s="82">
        <f t="shared" si="90"/>
        <v>42736</v>
      </c>
      <c r="D236" s="82">
        <f t="shared" si="91"/>
        <v>42825</v>
      </c>
      <c r="E236" s="81">
        <f t="shared" si="88"/>
        <v>90</v>
      </c>
      <c r="F236" s="83">
        <f>VLOOKUP(D236,'FERC Interest Rate'!$A:$B,2,TRUE)</f>
        <v>3.5000000000000003E-2</v>
      </c>
      <c r="G236" s="84">
        <f t="shared" si="89"/>
        <v>5385.2814275040946</v>
      </c>
      <c r="H236" s="84">
        <v>0</v>
      </c>
      <c r="I236" s="109">
        <f t="shared" si="92"/>
        <v>77.056285500817708</v>
      </c>
      <c r="J236" s="85">
        <f t="shared" si="93"/>
        <v>46.475716429144924</v>
      </c>
      <c r="K236" s="129">
        <f t="shared" si="84"/>
        <v>123.53200192996263</v>
      </c>
      <c r="L236" s="85">
        <f t="shared" si="94"/>
        <v>1000</v>
      </c>
      <c r="M236" s="130">
        <f t="shared" si="85"/>
        <v>1123.5320019299627</v>
      </c>
      <c r="N236" s="8">
        <f t="shared" si="86"/>
        <v>5431.7571439332396</v>
      </c>
      <c r="O236" s="84">
        <f t="shared" si="87"/>
        <v>4308.2251420032771</v>
      </c>
    </row>
    <row r="237" spans="1:15" x14ac:dyDescent="0.2">
      <c r="A237" s="96" t="s">
        <v>67</v>
      </c>
      <c r="B237" s="81" t="str">
        <f t="shared" si="95"/>
        <v>Q2/2017</v>
      </c>
      <c r="C237" s="82">
        <f t="shared" si="90"/>
        <v>42826</v>
      </c>
      <c r="D237" s="82">
        <f t="shared" si="91"/>
        <v>42916</v>
      </c>
      <c r="E237" s="81">
        <f t="shared" si="88"/>
        <v>91</v>
      </c>
      <c r="F237" s="83">
        <f>VLOOKUP(D237,'FERC Interest Rate'!$A:$B,2,TRUE)</f>
        <v>3.7100000000000001E-2</v>
      </c>
      <c r="G237" s="84">
        <f t="shared" si="89"/>
        <v>4308.2251420032771</v>
      </c>
      <c r="H237" s="84">
        <v>0</v>
      </c>
      <c r="I237" s="109">
        <f t="shared" si="92"/>
        <v>77.056285500817708</v>
      </c>
      <c r="J237" s="85">
        <f t="shared" si="93"/>
        <v>39.849312060047303</v>
      </c>
      <c r="K237" s="129">
        <f t="shared" si="84"/>
        <v>116.905597560865</v>
      </c>
      <c r="L237" s="85">
        <f t="shared" si="94"/>
        <v>1000</v>
      </c>
      <c r="M237" s="130">
        <f t="shared" si="85"/>
        <v>1116.9055975608651</v>
      </c>
      <c r="N237" s="8">
        <f t="shared" si="86"/>
        <v>4348.0744540633241</v>
      </c>
      <c r="O237" s="84">
        <f t="shared" si="87"/>
        <v>3231.1688565024592</v>
      </c>
    </row>
    <row r="238" spans="1:15" x14ac:dyDescent="0.2">
      <c r="A238" s="96" t="s">
        <v>68</v>
      </c>
      <c r="B238" s="81" t="str">
        <f t="shared" si="95"/>
        <v>Q3/2017</v>
      </c>
      <c r="C238" s="82">
        <f t="shared" si="90"/>
        <v>42917</v>
      </c>
      <c r="D238" s="82">
        <f t="shared" si="91"/>
        <v>43008</v>
      </c>
      <c r="E238" s="81">
        <f t="shared" si="88"/>
        <v>92</v>
      </c>
      <c r="F238" s="83">
        <f>VLOOKUP(D238,'FERC Interest Rate'!$A:$B,2,TRUE)</f>
        <v>3.9600000000000003E-2</v>
      </c>
      <c r="G238" s="84">
        <f t="shared" si="89"/>
        <v>3231.1688565024592</v>
      </c>
      <c r="H238" s="84">
        <v>0</v>
      </c>
      <c r="I238" s="109">
        <f t="shared" si="92"/>
        <v>77.056285500817708</v>
      </c>
      <c r="J238" s="85">
        <f t="shared" si="93"/>
        <v>32.251491446602088</v>
      </c>
      <c r="K238" s="129">
        <f t="shared" si="84"/>
        <v>109.3077769474198</v>
      </c>
      <c r="L238" s="85">
        <f t="shared" si="94"/>
        <v>1000</v>
      </c>
      <c r="M238" s="130">
        <f t="shared" si="85"/>
        <v>1109.3077769474198</v>
      </c>
      <c r="N238" s="8">
        <f t="shared" si="86"/>
        <v>3263.4203479490611</v>
      </c>
      <c r="O238" s="84">
        <f t="shared" si="87"/>
        <v>2154.1125710016413</v>
      </c>
    </row>
    <row r="239" spans="1:15" x14ac:dyDescent="0.2">
      <c r="A239" s="96" t="s">
        <v>69</v>
      </c>
      <c r="B239" s="81" t="str">
        <f t="shared" si="95"/>
        <v>Q4/2017</v>
      </c>
      <c r="C239" s="82">
        <f t="shared" si="90"/>
        <v>43009</v>
      </c>
      <c r="D239" s="82">
        <f t="shared" si="91"/>
        <v>43100</v>
      </c>
      <c r="E239" s="81">
        <f t="shared" si="88"/>
        <v>92</v>
      </c>
      <c r="F239" s="83">
        <f>VLOOKUP(D239,'FERC Interest Rate'!$A:$B,2,TRUE)</f>
        <v>4.2099999999999999E-2</v>
      </c>
      <c r="G239" s="84">
        <f t="shared" si="89"/>
        <v>2154.1125710016413</v>
      </c>
      <c r="H239" s="84">
        <v>0</v>
      </c>
      <c r="I239" s="109">
        <f t="shared" si="92"/>
        <v>77.056285500817708</v>
      </c>
      <c r="J239" s="85">
        <f t="shared" si="93"/>
        <v>22.858380301379608</v>
      </c>
      <c r="K239" s="129">
        <f t="shared" si="84"/>
        <v>99.91466580219732</v>
      </c>
      <c r="L239" s="85">
        <f t="shared" si="94"/>
        <v>1000</v>
      </c>
      <c r="M239" s="130">
        <f t="shared" si="85"/>
        <v>1099.9146658021973</v>
      </c>
      <c r="N239" s="8">
        <f t="shared" si="86"/>
        <v>2176.9709513030207</v>
      </c>
      <c r="O239" s="84">
        <f t="shared" si="87"/>
        <v>1077.0562855008236</v>
      </c>
    </row>
    <row r="240" spans="1:15" x14ac:dyDescent="0.2">
      <c r="A240" s="96" t="s">
        <v>70</v>
      </c>
      <c r="B240" s="81" t="str">
        <f t="shared" si="95"/>
        <v>Q1/2018</v>
      </c>
      <c r="C240" s="82">
        <f t="shared" si="90"/>
        <v>43101</v>
      </c>
      <c r="D240" s="82">
        <f t="shared" si="91"/>
        <v>43190</v>
      </c>
      <c r="E240" s="81">
        <f t="shared" si="88"/>
        <v>90</v>
      </c>
      <c r="F240" s="83">
        <f>VLOOKUP(D240,'FERC Interest Rate'!$A:$B,2,TRUE)</f>
        <v>4.2500000000000003E-2</v>
      </c>
      <c r="G240" s="84">
        <f t="shared" si="89"/>
        <v>1077.0562855008236</v>
      </c>
      <c r="H240" s="84">
        <v>0</v>
      </c>
      <c r="I240" s="109">
        <f t="shared" si="92"/>
        <v>77.056285500817708</v>
      </c>
      <c r="J240" s="85">
        <f t="shared" si="93"/>
        <v>11.28695970422096</v>
      </c>
      <c r="K240" s="129">
        <f t="shared" si="84"/>
        <v>88.34324520503867</v>
      </c>
      <c r="L240" s="85">
        <f t="shared" si="94"/>
        <v>1000</v>
      </c>
      <c r="M240" s="130">
        <f t="shared" si="85"/>
        <v>1088.3432452050388</v>
      </c>
      <c r="N240" s="8">
        <f t="shared" si="86"/>
        <v>1088.3432452050445</v>
      </c>
      <c r="O240" s="84">
        <f t="shared" si="87"/>
        <v>5.8975047068088315E-12</v>
      </c>
    </row>
    <row r="241" spans="1:15" x14ac:dyDescent="0.2">
      <c r="A241" s="96"/>
      <c r="B241" s="81"/>
      <c r="C241" s="82"/>
      <c r="D241" s="82"/>
      <c r="E241" s="81"/>
      <c r="F241" s="83"/>
      <c r="G241" s="84"/>
      <c r="H241" s="84"/>
      <c r="I241" s="109"/>
      <c r="J241" s="85"/>
      <c r="K241" s="129"/>
      <c r="L241" s="85"/>
      <c r="M241" s="130"/>
      <c r="N241" s="8"/>
      <c r="O241" s="84"/>
    </row>
    <row r="242" spans="1:15" ht="13.5" thickBot="1" x14ac:dyDescent="0.25">
      <c r="A242" s="151"/>
      <c r="B242" s="152"/>
      <c r="C242" s="153"/>
      <c r="D242" s="153"/>
      <c r="E242" s="154"/>
      <c r="F242" s="152"/>
      <c r="G242" s="140">
        <f>+SUM(G215:G241)</f>
        <v>352713.3349834379</v>
      </c>
      <c r="H242" s="140">
        <f t="shared" ref="H242:O242" si="96">+SUM(H215:H241)</f>
        <v>1541.1257100163541</v>
      </c>
      <c r="I242" s="141">
        <f t="shared" si="96"/>
        <v>1541.1257100163541</v>
      </c>
      <c r="J242" s="140">
        <f t="shared" si="96"/>
        <v>1226.0759670286548</v>
      </c>
      <c r="K242" s="140">
        <f t="shared" si="96"/>
        <v>2767.2016770450086</v>
      </c>
      <c r="L242" s="140">
        <f t="shared" si="96"/>
        <v>20000</v>
      </c>
      <c r="M242" s="142">
        <f t="shared" si="96"/>
        <v>22767.201677045006</v>
      </c>
      <c r="N242" s="140">
        <f t="shared" si="96"/>
        <v>355480.53666048299</v>
      </c>
      <c r="O242" s="140">
        <f t="shared" si="96"/>
        <v>332713.3349834379</v>
      </c>
    </row>
    <row r="243" spans="1:15" ht="13.5" thickTop="1" x14ac:dyDescent="0.2">
      <c r="B243" s="117"/>
      <c r="C243" s="117"/>
      <c r="D243" s="117"/>
      <c r="E243" s="117"/>
      <c r="F243" s="117"/>
      <c r="G243" s="117"/>
      <c r="H243" s="117"/>
      <c r="I243" s="116"/>
      <c r="J243" s="117"/>
      <c r="K243" s="117"/>
      <c r="L243" s="117"/>
      <c r="M243" s="131"/>
      <c r="O243" s="117"/>
    </row>
    <row r="244" spans="1:15" ht="38.25" x14ac:dyDescent="0.2">
      <c r="A244" s="90" t="s">
        <v>53</v>
      </c>
      <c r="B244" s="90" t="s">
        <v>3</v>
      </c>
      <c r="C244" s="90" t="s">
        <v>4</v>
      </c>
      <c r="D244" s="90" t="s">
        <v>5</v>
      </c>
      <c r="E244" s="90" t="s">
        <v>6</v>
      </c>
      <c r="F244" s="90" t="s">
        <v>7</v>
      </c>
      <c r="G244" s="90" t="s">
        <v>93</v>
      </c>
      <c r="H244" s="90" t="s">
        <v>94</v>
      </c>
      <c r="I244" s="105" t="s">
        <v>95</v>
      </c>
      <c r="J244" s="106" t="s">
        <v>96</v>
      </c>
      <c r="K244" s="106" t="s">
        <v>97</v>
      </c>
      <c r="L244" s="106" t="s">
        <v>98</v>
      </c>
      <c r="M244" s="107" t="s">
        <v>99</v>
      </c>
      <c r="N244" s="90" t="s">
        <v>100</v>
      </c>
      <c r="O244" s="90" t="s">
        <v>101</v>
      </c>
    </row>
    <row r="245" spans="1:15" x14ac:dyDescent="0.2">
      <c r="A245" s="275" t="s">
        <v>15</v>
      </c>
      <c r="B245" s="275"/>
      <c r="C245" s="282">
        <f>VLOOKUP(B246,A$1:F$33,2,FALSE)</f>
        <v>40911</v>
      </c>
      <c r="D245" s="282">
        <f>DATE(YEAR(C245),IF(MONTH(C245)&lt;=3,3,IF(MONTH(C245)&lt;=6,6,IF(MONTH(C245)&lt;=9,9,12))),IF(OR(MONTH(C245)&lt;=3,MONTH(C245)&gt;=10),31,30))</f>
        <v>40999</v>
      </c>
      <c r="E245" s="283">
        <f>D245-C245+1</f>
        <v>89</v>
      </c>
      <c r="F245" s="284">
        <f>VLOOKUP(D245,'FERC Interest Rate'!$A:$B,2,TRUE)</f>
        <v>3.2500000000000001E-2</v>
      </c>
      <c r="G245" s="167">
        <f>VLOOKUP(B246,$A$1:$F$33,5,FALSE)</f>
        <v>20000</v>
      </c>
      <c r="H245" s="167">
        <f t="shared" ref="H245:H253" si="97">G245*F245*(E245/(DATE(YEAR(D245),12,31)-DATE(YEAR(D245),1,1)+1))</f>
        <v>158.06010928961749</v>
      </c>
      <c r="I245" s="291">
        <v>0</v>
      </c>
      <c r="J245" s="286">
        <v>0</v>
      </c>
      <c r="K245" s="288">
        <f t="shared" ref="K245:K269" si="98">+SUM(I245:J245)</f>
        <v>0</v>
      </c>
      <c r="L245" s="286">
        <v>0</v>
      </c>
      <c r="M245" s="289">
        <f t="shared" ref="M245:M269" si="99">+SUM(K245:L245)</f>
        <v>0</v>
      </c>
      <c r="N245" s="290">
        <f t="shared" ref="N245:N269" si="100">+G245+H245+J245</f>
        <v>20158.060109289618</v>
      </c>
      <c r="O245" s="167">
        <f t="shared" ref="O245:O269" si="101">G245+H245-L245-I245</f>
        <v>20158.060109289618</v>
      </c>
    </row>
    <row r="246" spans="1:15" x14ac:dyDescent="0.2">
      <c r="A246" s="275" t="s">
        <v>38</v>
      </c>
      <c r="B246" s="276" t="s">
        <v>76</v>
      </c>
      <c r="C246" s="282">
        <f>D245+1</f>
        <v>41000</v>
      </c>
      <c r="D246" s="282">
        <f>EOMONTH(D245,3)</f>
        <v>41090</v>
      </c>
      <c r="E246" s="283">
        <f t="shared" ref="E246:E269" si="102">D246-C246+1</f>
        <v>91</v>
      </c>
      <c r="F246" s="284">
        <f>VLOOKUP(D246,'FERC Interest Rate'!$A:$B,2,TRUE)</f>
        <v>3.2500000000000001E-2</v>
      </c>
      <c r="G246" s="167">
        <f t="shared" ref="G246:G269" si="103">O245</f>
        <v>20158.060109289618</v>
      </c>
      <c r="H246" s="167">
        <f t="shared" si="97"/>
        <v>162.88924254979247</v>
      </c>
      <c r="I246" s="291">
        <v>0</v>
      </c>
      <c r="J246" s="286">
        <v>0</v>
      </c>
      <c r="K246" s="288">
        <f t="shared" si="98"/>
        <v>0</v>
      </c>
      <c r="L246" s="286">
        <v>0</v>
      </c>
      <c r="M246" s="289">
        <f t="shared" si="99"/>
        <v>0</v>
      </c>
      <c r="N246" s="290">
        <f t="shared" si="100"/>
        <v>20320.949351839408</v>
      </c>
      <c r="O246" s="167">
        <f t="shared" si="101"/>
        <v>20320.949351839408</v>
      </c>
    </row>
    <row r="247" spans="1:15" x14ac:dyDescent="0.2">
      <c r="A247" s="292"/>
      <c r="B247" s="283"/>
      <c r="C247" s="282">
        <f t="shared" ref="C247:C269" si="104">D246+1</f>
        <v>41091</v>
      </c>
      <c r="D247" s="282">
        <f t="shared" ref="D247:D269" si="105">EOMONTH(D246,3)</f>
        <v>41182</v>
      </c>
      <c r="E247" s="283">
        <f t="shared" si="102"/>
        <v>92</v>
      </c>
      <c r="F247" s="284">
        <f>VLOOKUP(D247,'FERC Interest Rate'!$A:$B,2,TRUE)</f>
        <v>3.2500000000000001E-2</v>
      </c>
      <c r="G247" s="167">
        <f t="shared" si="103"/>
        <v>20320.949351839408</v>
      </c>
      <c r="H247" s="167">
        <f t="shared" si="97"/>
        <v>166.00994142622903</v>
      </c>
      <c r="I247" s="291">
        <v>0</v>
      </c>
      <c r="J247" s="286">
        <v>0</v>
      </c>
      <c r="K247" s="288">
        <f t="shared" si="98"/>
        <v>0</v>
      </c>
      <c r="L247" s="286">
        <v>0</v>
      </c>
      <c r="M247" s="289">
        <f t="shared" si="99"/>
        <v>0</v>
      </c>
      <c r="N247" s="290">
        <f t="shared" si="100"/>
        <v>20486.959293265638</v>
      </c>
      <c r="O247" s="167">
        <f t="shared" si="101"/>
        <v>20486.959293265638</v>
      </c>
    </row>
    <row r="248" spans="1:15" x14ac:dyDescent="0.2">
      <c r="A248" s="292"/>
      <c r="B248" s="283"/>
      <c r="C248" s="282">
        <f t="shared" si="104"/>
        <v>41183</v>
      </c>
      <c r="D248" s="282">
        <f t="shared" si="105"/>
        <v>41274</v>
      </c>
      <c r="E248" s="283">
        <f t="shared" si="102"/>
        <v>92</v>
      </c>
      <c r="F248" s="284">
        <f>VLOOKUP(D248,'FERC Interest Rate'!$A:$B,2,TRUE)</f>
        <v>3.2500000000000001E-2</v>
      </c>
      <c r="G248" s="167">
        <f t="shared" si="103"/>
        <v>20486.959293265638</v>
      </c>
      <c r="H248" s="167">
        <f t="shared" si="97"/>
        <v>167.36614286028487</v>
      </c>
      <c r="I248" s="291">
        <v>0</v>
      </c>
      <c r="J248" s="286">
        <v>0</v>
      </c>
      <c r="K248" s="288">
        <f t="shared" si="98"/>
        <v>0</v>
      </c>
      <c r="L248" s="286">
        <v>0</v>
      </c>
      <c r="M248" s="289">
        <f t="shared" si="99"/>
        <v>0</v>
      </c>
      <c r="N248" s="290">
        <f t="shared" si="100"/>
        <v>20654.325436125924</v>
      </c>
      <c r="O248" s="167">
        <f t="shared" si="101"/>
        <v>20654.325436125924</v>
      </c>
    </row>
    <row r="249" spans="1:15" x14ac:dyDescent="0.2">
      <c r="A249" s="292"/>
      <c r="B249" s="283"/>
      <c r="C249" s="282">
        <f t="shared" si="104"/>
        <v>41275</v>
      </c>
      <c r="D249" s="282">
        <f t="shared" si="105"/>
        <v>41364</v>
      </c>
      <c r="E249" s="283">
        <f t="shared" si="102"/>
        <v>90</v>
      </c>
      <c r="F249" s="284">
        <f>VLOOKUP(D249,'FERC Interest Rate'!$A:$B,2,TRUE)</f>
        <v>3.2500000000000001E-2</v>
      </c>
      <c r="G249" s="167">
        <f t="shared" si="103"/>
        <v>20654.325436125924</v>
      </c>
      <c r="H249" s="167">
        <f t="shared" si="97"/>
        <v>165.51753945388583</v>
      </c>
      <c r="I249" s="291">
        <v>0</v>
      </c>
      <c r="J249" s="286">
        <v>0</v>
      </c>
      <c r="K249" s="288">
        <f t="shared" si="98"/>
        <v>0</v>
      </c>
      <c r="L249" s="286">
        <v>0</v>
      </c>
      <c r="M249" s="289">
        <f t="shared" si="99"/>
        <v>0</v>
      </c>
      <c r="N249" s="290">
        <f t="shared" si="100"/>
        <v>20819.84297557981</v>
      </c>
      <c r="O249" s="167">
        <f t="shared" si="101"/>
        <v>20819.84297557981</v>
      </c>
    </row>
    <row r="250" spans="1:15" x14ac:dyDescent="0.2">
      <c r="A250" s="292"/>
      <c r="B250" s="283"/>
      <c r="C250" s="282">
        <f>D249+1</f>
        <v>41365</v>
      </c>
      <c r="D250" s="282">
        <f t="shared" si="105"/>
        <v>41455</v>
      </c>
      <c r="E250" s="283">
        <f>D250-C250+1</f>
        <v>91</v>
      </c>
      <c r="F250" s="284">
        <f>VLOOKUP(D250,'FERC Interest Rate'!$A:$B,2,TRUE)</f>
        <v>3.2500000000000001E-2</v>
      </c>
      <c r="G250" s="167">
        <f t="shared" si="103"/>
        <v>20819.84297557981</v>
      </c>
      <c r="H250" s="167">
        <f t="shared" si="97"/>
        <v>168.69776876788299</v>
      </c>
      <c r="I250" s="291">
        <v>0</v>
      </c>
      <c r="J250" s="286">
        <v>0</v>
      </c>
      <c r="K250" s="288">
        <f t="shared" si="98"/>
        <v>0</v>
      </c>
      <c r="L250" s="286">
        <v>0</v>
      </c>
      <c r="M250" s="289">
        <f t="shared" si="99"/>
        <v>0</v>
      </c>
      <c r="N250" s="290">
        <f t="shared" si="100"/>
        <v>20988.540744347694</v>
      </c>
      <c r="O250" s="167">
        <f t="shared" si="101"/>
        <v>20988.540744347694</v>
      </c>
    </row>
    <row r="251" spans="1:15" x14ac:dyDescent="0.2">
      <c r="A251" s="292"/>
      <c r="B251" s="283"/>
      <c r="C251" s="282">
        <f>D250+1</f>
        <v>41456</v>
      </c>
      <c r="D251" s="282">
        <f t="shared" si="105"/>
        <v>41547</v>
      </c>
      <c r="E251" s="283">
        <f>D251-C251+1</f>
        <v>92</v>
      </c>
      <c r="F251" s="284">
        <f>VLOOKUP(D251,'FERC Interest Rate'!$A:$B,2,TRUE)</f>
        <v>3.2500000000000001E-2</v>
      </c>
      <c r="G251" s="167">
        <f t="shared" si="103"/>
        <v>20988.540744347694</v>
      </c>
      <c r="H251" s="167">
        <f t="shared" si="97"/>
        <v>171.93352554958798</v>
      </c>
      <c r="I251" s="291">
        <v>0</v>
      </c>
      <c r="J251" s="286">
        <v>0</v>
      </c>
      <c r="K251" s="288">
        <f t="shared" si="98"/>
        <v>0</v>
      </c>
      <c r="L251" s="286">
        <v>0</v>
      </c>
      <c r="M251" s="289">
        <f t="shared" si="99"/>
        <v>0</v>
      </c>
      <c r="N251" s="290">
        <f t="shared" si="100"/>
        <v>21160.47426989728</v>
      </c>
      <c r="O251" s="167">
        <f t="shared" si="101"/>
        <v>21160.47426989728</v>
      </c>
    </row>
    <row r="252" spans="1:15" x14ac:dyDescent="0.2">
      <c r="A252" s="292"/>
      <c r="B252" s="283"/>
      <c r="C252" s="282">
        <f>D251+1</f>
        <v>41548</v>
      </c>
      <c r="D252" s="282">
        <f t="shared" si="105"/>
        <v>41639</v>
      </c>
      <c r="E252" s="283">
        <f>D252-C252+1</f>
        <v>92</v>
      </c>
      <c r="F252" s="284">
        <f>VLOOKUP(D252,'FERC Interest Rate'!$A:$B,2,TRUE)</f>
        <v>3.2500000000000001E-2</v>
      </c>
      <c r="G252" s="167">
        <f t="shared" si="103"/>
        <v>21160.47426989728</v>
      </c>
      <c r="H252" s="167">
        <f t="shared" si="97"/>
        <v>173.34196730682979</v>
      </c>
      <c r="I252" s="291">
        <v>0</v>
      </c>
      <c r="J252" s="286">
        <v>0</v>
      </c>
      <c r="K252" s="288">
        <f t="shared" si="98"/>
        <v>0</v>
      </c>
      <c r="L252" s="286">
        <v>0</v>
      </c>
      <c r="M252" s="289">
        <f t="shared" si="99"/>
        <v>0</v>
      </c>
      <c r="N252" s="290">
        <f t="shared" si="100"/>
        <v>21333.816237204112</v>
      </c>
      <c r="O252" s="167">
        <f t="shared" si="101"/>
        <v>21333.816237204112</v>
      </c>
    </row>
    <row r="253" spans="1:15" x14ac:dyDescent="0.2">
      <c r="A253" s="96" t="s">
        <v>54</v>
      </c>
      <c r="B253" s="81" t="str">
        <f>+IF(MONTH(C253)&lt;4,"Q1",IF(MONTH(C253)&lt;7,"Q2",IF(MONTH(C253)&lt;10,"Q3","Q4")))&amp;"/"&amp;YEAR(C253)</f>
        <v>Q1/2014</v>
      </c>
      <c r="C253" s="82">
        <f>D252+1</f>
        <v>41640</v>
      </c>
      <c r="D253" s="82">
        <f t="shared" si="105"/>
        <v>41729</v>
      </c>
      <c r="E253" s="81">
        <f>D253-C253+1</f>
        <v>90</v>
      </c>
      <c r="F253" s="83">
        <f>VLOOKUP(D253,'FERC Interest Rate'!$A:$B,2,TRUE)</f>
        <v>3.2500000000000001E-2</v>
      </c>
      <c r="G253" s="84">
        <f t="shared" si="103"/>
        <v>21333.816237204112</v>
      </c>
      <c r="H253" s="167">
        <f t="shared" si="97"/>
        <v>170.96277395567679</v>
      </c>
      <c r="I253" s="109">
        <f>(SUM($H$245:$H$269)/20)*4</f>
        <v>300.95580223195742</v>
      </c>
      <c r="J253" s="85">
        <v>0</v>
      </c>
      <c r="K253" s="129">
        <f t="shared" si="98"/>
        <v>300.95580223195742</v>
      </c>
      <c r="L253" s="85">
        <f>($G$245/20)*4</f>
        <v>4000</v>
      </c>
      <c r="M253" s="130">
        <f t="shared" si="99"/>
        <v>4300.955802231957</v>
      </c>
      <c r="N253" s="8">
        <f t="shared" si="100"/>
        <v>21504.77901115979</v>
      </c>
      <c r="O253" s="84">
        <f t="shared" si="101"/>
        <v>17203.823208927832</v>
      </c>
    </row>
    <row r="254" spans="1:15" x14ac:dyDescent="0.2">
      <c r="A254" s="96" t="s">
        <v>55</v>
      </c>
      <c r="B254" s="81" t="str">
        <f>+IF(MONTH(C254)&lt;4,"Q1",IF(MONTH(C254)&lt;7,"Q2",IF(MONTH(C254)&lt;10,"Q3","Q4")))&amp;"/"&amp;YEAR(C254)</f>
        <v>Q2/2014</v>
      </c>
      <c r="C254" s="82">
        <f>D253+1</f>
        <v>41730</v>
      </c>
      <c r="D254" s="82">
        <f t="shared" si="105"/>
        <v>41820</v>
      </c>
      <c r="E254" s="81">
        <f>D254-C254+1</f>
        <v>91</v>
      </c>
      <c r="F254" s="83">
        <f>VLOOKUP(D254,'FERC Interest Rate'!$A:$B,2,TRUE)</f>
        <v>3.2500000000000001E-2</v>
      </c>
      <c r="G254" s="84">
        <f t="shared" si="103"/>
        <v>17203.823208927832</v>
      </c>
      <c r="H254" s="84">
        <v>0</v>
      </c>
      <c r="I254" s="109">
        <f t="shared" ref="I254:I269" si="106">SUM($H$245:$H$269)/20</f>
        <v>75.238950557989355</v>
      </c>
      <c r="J254" s="85">
        <f t="shared" ref="J254:J269" si="107">G254*F254*(E254/(DATE(YEAR(D254),12,31)-DATE(YEAR(D254),1,1)+1))</f>
        <v>139.39810175453169</v>
      </c>
      <c r="K254" s="129">
        <f t="shared" si="98"/>
        <v>214.63705231252106</v>
      </c>
      <c r="L254" s="85">
        <f t="shared" ref="L254:L269" si="108">$G$245/20</f>
        <v>1000</v>
      </c>
      <c r="M254" s="130">
        <f t="shared" si="99"/>
        <v>1214.6370523125211</v>
      </c>
      <c r="N254" s="8">
        <f t="shared" si="100"/>
        <v>17343.221310682362</v>
      </c>
      <c r="O254" s="84">
        <f t="shared" si="101"/>
        <v>16128.584258369843</v>
      </c>
    </row>
    <row r="255" spans="1:15" x14ac:dyDescent="0.2">
      <c r="A255" s="96" t="s">
        <v>56</v>
      </c>
      <c r="B255" s="81" t="str">
        <f t="shared" ref="B255:B269" si="109">+IF(MONTH(C255)&lt;4,"Q1",IF(MONTH(C255)&lt;7,"Q2",IF(MONTH(C255)&lt;10,"Q3","Q4")))&amp;"/"&amp;YEAR(C255)</f>
        <v>Q3/2014</v>
      </c>
      <c r="C255" s="82">
        <f t="shared" si="104"/>
        <v>41821</v>
      </c>
      <c r="D255" s="82">
        <f t="shared" si="105"/>
        <v>41912</v>
      </c>
      <c r="E255" s="81">
        <f t="shared" si="102"/>
        <v>92</v>
      </c>
      <c r="F255" s="83">
        <f>VLOOKUP(D255,'FERC Interest Rate'!$A:$B,2,TRUE)</f>
        <v>3.2500000000000001E-2</v>
      </c>
      <c r="G255" s="84">
        <f t="shared" si="103"/>
        <v>16128.584258369843</v>
      </c>
      <c r="H255" s="84">
        <v>0</v>
      </c>
      <c r="I255" s="109">
        <f t="shared" si="106"/>
        <v>75.238950557989355</v>
      </c>
      <c r="J255" s="85">
        <f t="shared" si="107"/>
        <v>132.12182721239955</v>
      </c>
      <c r="K255" s="129">
        <f t="shared" si="98"/>
        <v>207.36077777038889</v>
      </c>
      <c r="L255" s="85">
        <f t="shared" si="108"/>
        <v>1000</v>
      </c>
      <c r="M255" s="130">
        <f t="shared" si="99"/>
        <v>1207.3607777703889</v>
      </c>
      <c r="N255" s="8">
        <f t="shared" si="100"/>
        <v>16260.706085582242</v>
      </c>
      <c r="O255" s="84">
        <f t="shared" si="101"/>
        <v>15053.345307811855</v>
      </c>
    </row>
    <row r="256" spans="1:15" x14ac:dyDescent="0.2">
      <c r="A256" s="96" t="s">
        <v>57</v>
      </c>
      <c r="B256" s="81" t="str">
        <f t="shared" si="109"/>
        <v>Q4/2014</v>
      </c>
      <c r="C256" s="82">
        <f t="shared" si="104"/>
        <v>41913</v>
      </c>
      <c r="D256" s="82">
        <f t="shared" si="105"/>
        <v>42004</v>
      </c>
      <c r="E256" s="81">
        <f t="shared" si="102"/>
        <v>92</v>
      </c>
      <c r="F256" s="83">
        <f>VLOOKUP(D256,'FERC Interest Rate'!$A:$B,2,TRUE)</f>
        <v>3.2500000000000001E-2</v>
      </c>
      <c r="G256" s="84">
        <f t="shared" si="103"/>
        <v>15053.345307811855</v>
      </c>
      <c r="H256" s="84">
        <v>0</v>
      </c>
      <c r="I256" s="109">
        <f t="shared" si="106"/>
        <v>75.238950557989355</v>
      </c>
      <c r="J256" s="85">
        <f t="shared" si="107"/>
        <v>123.31370539823959</v>
      </c>
      <c r="K256" s="129">
        <f t="shared" si="98"/>
        <v>198.55265595622893</v>
      </c>
      <c r="L256" s="85">
        <f t="shared" si="108"/>
        <v>1000</v>
      </c>
      <c r="M256" s="130">
        <f t="shared" si="99"/>
        <v>1198.552655956229</v>
      </c>
      <c r="N256" s="8">
        <f t="shared" si="100"/>
        <v>15176.659013210094</v>
      </c>
      <c r="O256" s="84">
        <f t="shared" si="101"/>
        <v>13978.106357253866</v>
      </c>
    </row>
    <row r="257" spans="1:15" x14ac:dyDescent="0.2">
      <c r="A257" s="96" t="s">
        <v>58</v>
      </c>
      <c r="B257" s="81" t="str">
        <f t="shared" si="109"/>
        <v>Q1/2015</v>
      </c>
      <c r="C257" s="82">
        <f t="shared" si="104"/>
        <v>42005</v>
      </c>
      <c r="D257" s="82">
        <f t="shared" si="105"/>
        <v>42094</v>
      </c>
      <c r="E257" s="81">
        <f t="shared" si="102"/>
        <v>90</v>
      </c>
      <c r="F257" s="83">
        <f>VLOOKUP(D257,'FERC Interest Rate'!$A:$B,2,TRUE)</f>
        <v>3.2500000000000001E-2</v>
      </c>
      <c r="G257" s="84">
        <f t="shared" si="103"/>
        <v>13978.106357253866</v>
      </c>
      <c r="H257" s="84">
        <v>0</v>
      </c>
      <c r="I257" s="109">
        <f t="shared" si="106"/>
        <v>75.238950557989355</v>
      </c>
      <c r="J257" s="85">
        <f t="shared" si="107"/>
        <v>112.0163317670344</v>
      </c>
      <c r="K257" s="129">
        <f t="shared" si="98"/>
        <v>187.25528232502376</v>
      </c>
      <c r="L257" s="85">
        <f t="shared" si="108"/>
        <v>1000</v>
      </c>
      <c r="M257" s="130">
        <f t="shared" si="99"/>
        <v>1187.2552823250237</v>
      </c>
      <c r="N257" s="8">
        <f t="shared" si="100"/>
        <v>14090.1226890209</v>
      </c>
      <c r="O257" s="84">
        <f t="shared" si="101"/>
        <v>12902.867406695877</v>
      </c>
    </row>
    <row r="258" spans="1:15" x14ac:dyDescent="0.2">
      <c r="A258" s="96" t="s">
        <v>59</v>
      </c>
      <c r="B258" s="81" t="str">
        <f t="shared" si="109"/>
        <v>Q2/2015</v>
      </c>
      <c r="C258" s="82">
        <f t="shared" si="104"/>
        <v>42095</v>
      </c>
      <c r="D258" s="82">
        <f t="shared" si="105"/>
        <v>42185</v>
      </c>
      <c r="E258" s="81">
        <f t="shared" si="102"/>
        <v>91</v>
      </c>
      <c r="F258" s="83">
        <f>VLOOKUP(D258,'FERC Interest Rate'!$A:$B,2,TRUE)</f>
        <v>3.2500000000000001E-2</v>
      </c>
      <c r="G258" s="84">
        <f t="shared" si="103"/>
        <v>12902.867406695877</v>
      </c>
      <c r="H258" s="84">
        <v>0</v>
      </c>
      <c r="I258" s="109">
        <f t="shared" si="106"/>
        <v>75.238950557989355</v>
      </c>
      <c r="J258" s="85">
        <f t="shared" si="107"/>
        <v>104.5485763158988</v>
      </c>
      <c r="K258" s="129">
        <f t="shared" si="98"/>
        <v>179.78752687388817</v>
      </c>
      <c r="L258" s="85">
        <f t="shared" si="108"/>
        <v>1000</v>
      </c>
      <c r="M258" s="130">
        <f t="shared" si="99"/>
        <v>1179.7875268738881</v>
      </c>
      <c r="N258" s="8">
        <f t="shared" si="100"/>
        <v>13007.415983011777</v>
      </c>
      <c r="O258" s="84">
        <f t="shared" si="101"/>
        <v>11827.628456137889</v>
      </c>
    </row>
    <row r="259" spans="1:15" x14ac:dyDescent="0.2">
      <c r="A259" s="96" t="s">
        <v>60</v>
      </c>
      <c r="B259" s="81" t="str">
        <f t="shared" si="109"/>
        <v>Q3/2015</v>
      </c>
      <c r="C259" s="82">
        <f t="shared" si="104"/>
        <v>42186</v>
      </c>
      <c r="D259" s="82">
        <f t="shared" si="105"/>
        <v>42277</v>
      </c>
      <c r="E259" s="81">
        <f t="shared" si="102"/>
        <v>92</v>
      </c>
      <c r="F259" s="83">
        <f>VLOOKUP(D259,'FERC Interest Rate'!$A:$B,2,TRUE)</f>
        <v>3.2500000000000001E-2</v>
      </c>
      <c r="G259" s="84">
        <f t="shared" si="103"/>
        <v>11827.628456137889</v>
      </c>
      <c r="H259" s="84">
        <v>0</v>
      </c>
      <c r="I259" s="109">
        <f t="shared" si="106"/>
        <v>75.238950557989355</v>
      </c>
      <c r="J259" s="85">
        <f t="shared" si="107"/>
        <v>96.889339955759695</v>
      </c>
      <c r="K259" s="129">
        <f t="shared" si="98"/>
        <v>172.12829051374905</v>
      </c>
      <c r="L259" s="85">
        <f t="shared" si="108"/>
        <v>1000</v>
      </c>
      <c r="M259" s="130">
        <f t="shared" si="99"/>
        <v>1172.1282905137491</v>
      </c>
      <c r="N259" s="8">
        <f t="shared" si="100"/>
        <v>11924.517796093649</v>
      </c>
      <c r="O259" s="84">
        <f t="shared" si="101"/>
        <v>10752.3895055799</v>
      </c>
    </row>
    <row r="260" spans="1:15" x14ac:dyDescent="0.2">
      <c r="A260" s="96" t="s">
        <v>61</v>
      </c>
      <c r="B260" s="81" t="str">
        <f t="shared" si="109"/>
        <v>Q4/2015</v>
      </c>
      <c r="C260" s="82">
        <f t="shared" si="104"/>
        <v>42278</v>
      </c>
      <c r="D260" s="82">
        <f t="shared" si="105"/>
        <v>42369</v>
      </c>
      <c r="E260" s="81">
        <f t="shared" si="102"/>
        <v>92</v>
      </c>
      <c r="F260" s="83">
        <f>VLOOKUP(D260,'FERC Interest Rate'!$A:$B,2,TRUE)</f>
        <v>3.2500000000000001E-2</v>
      </c>
      <c r="G260" s="84">
        <f t="shared" si="103"/>
        <v>10752.3895055799</v>
      </c>
      <c r="H260" s="84">
        <v>0</v>
      </c>
      <c r="I260" s="109">
        <f t="shared" si="106"/>
        <v>75.238950557989355</v>
      </c>
      <c r="J260" s="85">
        <f t="shared" si="107"/>
        <v>88.081218141599749</v>
      </c>
      <c r="K260" s="129">
        <f t="shared" si="98"/>
        <v>163.32016869958909</v>
      </c>
      <c r="L260" s="85">
        <f t="shared" si="108"/>
        <v>1000</v>
      </c>
      <c r="M260" s="130">
        <f t="shared" si="99"/>
        <v>1163.320168699589</v>
      </c>
      <c r="N260" s="8">
        <f t="shared" si="100"/>
        <v>10840.470723721501</v>
      </c>
      <c r="O260" s="84">
        <f t="shared" si="101"/>
        <v>9677.1505550219117</v>
      </c>
    </row>
    <row r="261" spans="1:15" x14ac:dyDescent="0.2">
      <c r="A261" s="96" t="s">
        <v>62</v>
      </c>
      <c r="B261" s="81" t="str">
        <f t="shared" si="109"/>
        <v>Q1/2016</v>
      </c>
      <c r="C261" s="82">
        <f t="shared" si="104"/>
        <v>42370</v>
      </c>
      <c r="D261" s="82">
        <f t="shared" si="105"/>
        <v>42460</v>
      </c>
      <c r="E261" s="81">
        <f t="shared" si="102"/>
        <v>91</v>
      </c>
      <c r="F261" s="83">
        <f>VLOOKUP(D261,'FERC Interest Rate'!$A:$B,2,TRUE)</f>
        <v>3.2500000000000001E-2</v>
      </c>
      <c r="G261" s="84">
        <f t="shared" si="103"/>
        <v>9677.1505550219117</v>
      </c>
      <c r="H261" s="84">
        <v>0</v>
      </c>
      <c r="I261" s="109">
        <f t="shared" si="106"/>
        <v>75.238950557989355</v>
      </c>
      <c r="J261" s="85">
        <f t="shared" si="107"/>
        <v>78.197193351030876</v>
      </c>
      <c r="K261" s="129">
        <f t="shared" si="98"/>
        <v>153.43614390902025</v>
      </c>
      <c r="L261" s="85">
        <f t="shared" si="108"/>
        <v>1000</v>
      </c>
      <c r="M261" s="130">
        <f t="shared" si="99"/>
        <v>1153.4361439090203</v>
      </c>
      <c r="N261" s="8">
        <f t="shared" si="100"/>
        <v>9755.3477483729421</v>
      </c>
      <c r="O261" s="84">
        <f t="shared" si="101"/>
        <v>8601.9116044639231</v>
      </c>
    </row>
    <row r="262" spans="1:15" x14ac:dyDescent="0.2">
      <c r="A262" s="96" t="s">
        <v>63</v>
      </c>
      <c r="B262" s="81" t="str">
        <f t="shared" si="109"/>
        <v>Q2/2016</v>
      </c>
      <c r="C262" s="82">
        <f t="shared" si="104"/>
        <v>42461</v>
      </c>
      <c r="D262" s="82">
        <f t="shared" si="105"/>
        <v>42551</v>
      </c>
      <c r="E262" s="81">
        <f t="shared" si="102"/>
        <v>91</v>
      </c>
      <c r="F262" s="83">
        <f>VLOOKUP(D262,'FERC Interest Rate'!$A:$B,2,TRUE)</f>
        <v>3.4599999999999999E-2</v>
      </c>
      <c r="G262" s="84">
        <f t="shared" si="103"/>
        <v>8601.9116044639231</v>
      </c>
      <c r="H262" s="84">
        <v>0</v>
      </c>
      <c r="I262" s="109">
        <f t="shared" si="106"/>
        <v>75.238950557989355</v>
      </c>
      <c r="J262" s="85">
        <f t="shared" si="107"/>
        <v>73.999942289112312</v>
      </c>
      <c r="K262" s="129">
        <f t="shared" si="98"/>
        <v>149.23889284710168</v>
      </c>
      <c r="L262" s="85">
        <f t="shared" si="108"/>
        <v>1000</v>
      </c>
      <c r="M262" s="130">
        <f t="shared" si="99"/>
        <v>1149.2388928471016</v>
      </c>
      <c r="N262" s="8">
        <f t="shared" si="100"/>
        <v>8675.9115467530355</v>
      </c>
      <c r="O262" s="84">
        <f t="shared" si="101"/>
        <v>7526.6726539059337</v>
      </c>
    </row>
    <row r="263" spans="1:15" x14ac:dyDescent="0.2">
      <c r="A263" s="96" t="s">
        <v>64</v>
      </c>
      <c r="B263" s="81" t="str">
        <f t="shared" si="109"/>
        <v>Q3/2016</v>
      </c>
      <c r="C263" s="82">
        <f t="shared" si="104"/>
        <v>42552</v>
      </c>
      <c r="D263" s="82">
        <f t="shared" si="105"/>
        <v>42643</v>
      </c>
      <c r="E263" s="81">
        <f t="shared" si="102"/>
        <v>92</v>
      </c>
      <c r="F263" s="83">
        <f>VLOOKUP(D263,'FERC Interest Rate'!$A:$B,2,TRUE)</f>
        <v>3.5000000000000003E-2</v>
      </c>
      <c r="G263" s="84">
        <f t="shared" si="103"/>
        <v>7526.6726539059337</v>
      </c>
      <c r="H263" s="84">
        <v>0</v>
      </c>
      <c r="I263" s="109">
        <f t="shared" si="106"/>
        <v>75.238950557989355</v>
      </c>
      <c r="J263" s="85">
        <f t="shared" si="107"/>
        <v>66.21826761086642</v>
      </c>
      <c r="K263" s="129">
        <f t="shared" si="98"/>
        <v>141.45721816885577</v>
      </c>
      <c r="L263" s="85">
        <f t="shared" si="108"/>
        <v>1000</v>
      </c>
      <c r="M263" s="130">
        <f t="shared" si="99"/>
        <v>1141.4572181688559</v>
      </c>
      <c r="N263" s="8">
        <f t="shared" si="100"/>
        <v>7592.8909215168005</v>
      </c>
      <c r="O263" s="84">
        <f t="shared" si="101"/>
        <v>6451.4337033479442</v>
      </c>
    </row>
    <row r="264" spans="1:15" x14ac:dyDescent="0.2">
      <c r="A264" s="96" t="s">
        <v>65</v>
      </c>
      <c r="B264" s="81" t="str">
        <f t="shared" si="109"/>
        <v>Q4/2016</v>
      </c>
      <c r="C264" s="82">
        <f t="shared" si="104"/>
        <v>42644</v>
      </c>
      <c r="D264" s="82">
        <f t="shared" si="105"/>
        <v>42735</v>
      </c>
      <c r="E264" s="81">
        <f t="shared" si="102"/>
        <v>92</v>
      </c>
      <c r="F264" s="83">
        <f>VLOOKUP(D264,'FERC Interest Rate'!$A:$B,2,TRUE)</f>
        <v>3.5000000000000003E-2</v>
      </c>
      <c r="G264" s="84">
        <f t="shared" si="103"/>
        <v>6451.4337033479442</v>
      </c>
      <c r="H264" s="84">
        <v>0</v>
      </c>
      <c r="I264" s="109">
        <f t="shared" si="106"/>
        <v>75.238950557989355</v>
      </c>
      <c r="J264" s="85">
        <f t="shared" si="107"/>
        <v>56.758515095028365</v>
      </c>
      <c r="K264" s="129">
        <f t="shared" si="98"/>
        <v>131.99746565301771</v>
      </c>
      <c r="L264" s="85">
        <f t="shared" si="108"/>
        <v>1000</v>
      </c>
      <c r="M264" s="130">
        <f t="shared" si="99"/>
        <v>1131.9974656530178</v>
      </c>
      <c r="N264" s="8">
        <f t="shared" si="100"/>
        <v>6508.1922184429723</v>
      </c>
      <c r="O264" s="84">
        <f t="shared" si="101"/>
        <v>5376.1947527899547</v>
      </c>
    </row>
    <row r="265" spans="1:15" x14ac:dyDescent="0.2">
      <c r="A265" s="96" t="s">
        <v>66</v>
      </c>
      <c r="B265" s="81" t="str">
        <f t="shared" si="109"/>
        <v>Q1/2017</v>
      </c>
      <c r="C265" s="82">
        <f t="shared" si="104"/>
        <v>42736</v>
      </c>
      <c r="D265" s="82">
        <f t="shared" si="105"/>
        <v>42825</v>
      </c>
      <c r="E265" s="81">
        <f t="shared" si="102"/>
        <v>90</v>
      </c>
      <c r="F265" s="83">
        <f>VLOOKUP(D265,'FERC Interest Rate'!$A:$B,2,TRUE)</f>
        <v>3.5000000000000003E-2</v>
      </c>
      <c r="G265" s="84">
        <f t="shared" si="103"/>
        <v>5376.1947527899547</v>
      </c>
      <c r="H265" s="84">
        <v>0</v>
      </c>
      <c r="I265" s="109">
        <f t="shared" si="106"/>
        <v>75.238950557989355</v>
      </c>
      <c r="J265" s="85">
        <f t="shared" si="107"/>
        <v>46.39729718161194</v>
      </c>
      <c r="K265" s="129">
        <f t="shared" si="98"/>
        <v>121.63624773960129</v>
      </c>
      <c r="L265" s="85">
        <f t="shared" si="108"/>
        <v>1000</v>
      </c>
      <c r="M265" s="130">
        <f t="shared" si="99"/>
        <v>1121.6362477396012</v>
      </c>
      <c r="N265" s="8">
        <f t="shared" si="100"/>
        <v>5422.5920499715667</v>
      </c>
      <c r="O265" s="84">
        <f t="shared" si="101"/>
        <v>4300.9558022319652</v>
      </c>
    </row>
    <row r="266" spans="1:15" x14ac:dyDescent="0.2">
      <c r="A266" s="96" t="s">
        <v>67</v>
      </c>
      <c r="B266" s="81" t="str">
        <f t="shared" si="109"/>
        <v>Q2/2017</v>
      </c>
      <c r="C266" s="82">
        <f t="shared" si="104"/>
        <v>42826</v>
      </c>
      <c r="D266" s="82">
        <f t="shared" si="105"/>
        <v>42916</v>
      </c>
      <c r="E266" s="81">
        <f t="shared" si="102"/>
        <v>91</v>
      </c>
      <c r="F266" s="83">
        <f>VLOOKUP(D266,'FERC Interest Rate'!$A:$B,2,TRUE)</f>
        <v>3.7100000000000001E-2</v>
      </c>
      <c r="G266" s="84">
        <f t="shared" si="103"/>
        <v>4300.9558022319652</v>
      </c>
      <c r="H266" s="84">
        <v>0</v>
      </c>
      <c r="I266" s="109">
        <f t="shared" si="106"/>
        <v>75.238950557989355</v>
      </c>
      <c r="J266" s="85">
        <f t="shared" si="107"/>
        <v>39.782073654562573</v>
      </c>
      <c r="K266" s="129">
        <f t="shared" si="98"/>
        <v>115.02102421255194</v>
      </c>
      <c r="L266" s="85">
        <f t="shared" si="108"/>
        <v>1000</v>
      </c>
      <c r="M266" s="130">
        <f t="shared" si="99"/>
        <v>1115.021024212552</v>
      </c>
      <c r="N266" s="8">
        <f t="shared" si="100"/>
        <v>4340.7378758865279</v>
      </c>
      <c r="O266" s="84">
        <f t="shared" si="101"/>
        <v>3225.7168516739757</v>
      </c>
    </row>
    <row r="267" spans="1:15" x14ac:dyDescent="0.2">
      <c r="A267" s="96" t="s">
        <v>68</v>
      </c>
      <c r="B267" s="81" t="str">
        <f t="shared" si="109"/>
        <v>Q3/2017</v>
      </c>
      <c r="C267" s="82">
        <f t="shared" si="104"/>
        <v>42917</v>
      </c>
      <c r="D267" s="82">
        <f t="shared" si="105"/>
        <v>43008</v>
      </c>
      <c r="E267" s="81">
        <f t="shared" si="102"/>
        <v>92</v>
      </c>
      <c r="F267" s="83">
        <f>VLOOKUP(D267,'FERC Interest Rate'!$A:$B,2,TRUE)</f>
        <v>3.9600000000000003E-2</v>
      </c>
      <c r="G267" s="84">
        <f t="shared" si="103"/>
        <v>3225.7168516739757</v>
      </c>
      <c r="H267" s="84">
        <v>0</v>
      </c>
      <c r="I267" s="109">
        <f t="shared" si="106"/>
        <v>75.238950557989355</v>
      </c>
      <c r="J267" s="85">
        <f t="shared" si="107"/>
        <v>32.197072969914053</v>
      </c>
      <c r="K267" s="129">
        <f t="shared" si="98"/>
        <v>107.43602352790342</v>
      </c>
      <c r="L267" s="85">
        <f t="shared" si="108"/>
        <v>1000</v>
      </c>
      <c r="M267" s="130">
        <f t="shared" si="99"/>
        <v>1107.4360235279034</v>
      </c>
      <c r="N267" s="8">
        <f t="shared" si="100"/>
        <v>3257.9139246438899</v>
      </c>
      <c r="O267" s="84">
        <f t="shared" si="101"/>
        <v>2150.4779011159862</v>
      </c>
    </row>
    <row r="268" spans="1:15" x14ac:dyDescent="0.2">
      <c r="A268" s="96" t="s">
        <v>69</v>
      </c>
      <c r="B268" s="81" t="str">
        <f t="shared" si="109"/>
        <v>Q4/2017</v>
      </c>
      <c r="C268" s="82">
        <f t="shared" si="104"/>
        <v>43009</v>
      </c>
      <c r="D268" s="82">
        <f t="shared" si="105"/>
        <v>43100</v>
      </c>
      <c r="E268" s="81">
        <f t="shared" si="102"/>
        <v>92</v>
      </c>
      <c r="F268" s="83">
        <f>VLOOKUP(D268,'FERC Interest Rate'!$A:$B,2,TRUE)</f>
        <v>4.2099999999999999E-2</v>
      </c>
      <c r="G268" s="84">
        <f t="shared" si="103"/>
        <v>2150.4779011159862</v>
      </c>
      <c r="H268" s="84">
        <v>0</v>
      </c>
      <c r="I268" s="109">
        <f t="shared" si="106"/>
        <v>75.238950557989355</v>
      </c>
      <c r="J268" s="85">
        <f t="shared" si="107"/>
        <v>22.819810976992979</v>
      </c>
      <c r="K268" s="129">
        <f t="shared" si="98"/>
        <v>98.058761534982338</v>
      </c>
      <c r="L268" s="85">
        <f t="shared" si="108"/>
        <v>1000</v>
      </c>
      <c r="M268" s="130">
        <f t="shared" si="99"/>
        <v>1098.0587615349823</v>
      </c>
      <c r="N268" s="8">
        <f t="shared" si="100"/>
        <v>2173.2977120929791</v>
      </c>
      <c r="O268" s="84">
        <f t="shared" si="101"/>
        <v>1075.238950557997</v>
      </c>
    </row>
    <row r="269" spans="1:15" x14ac:dyDescent="0.2">
      <c r="A269" s="96" t="s">
        <v>70</v>
      </c>
      <c r="B269" s="81" t="str">
        <f t="shared" si="109"/>
        <v>Q1/2018</v>
      </c>
      <c r="C269" s="82">
        <f t="shared" si="104"/>
        <v>43101</v>
      </c>
      <c r="D269" s="82">
        <f t="shared" si="105"/>
        <v>43190</v>
      </c>
      <c r="E269" s="81">
        <f t="shared" si="102"/>
        <v>90</v>
      </c>
      <c r="F269" s="83">
        <f>VLOOKUP(D269,'FERC Interest Rate'!$A:$B,2,TRUE)</f>
        <v>4.2500000000000003E-2</v>
      </c>
      <c r="G269" s="84">
        <f t="shared" si="103"/>
        <v>1075.238950557997</v>
      </c>
      <c r="H269" s="84">
        <v>0</v>
      </c>
      <c r="I269" s="109">
        <f t="shared" si="106"/>
        <v>75.238950557989355</v>
      </c>
      <c r="J269" s="85">
        <f t="shared" si="107"/>
        <v>11.267915029820104</v>
      </c>
      <c r="K269" s="129">
        <f t="shared" si="98"/>
        <v>86.506865587809457</v>
      </c>
      <c r="L269" s="85">
        <f t="shared" si="108"/>
        <v>1000</v>
      </c>
      <c r="M269" s="130">
        <f t="shared" si="99"/>
        <v>1086.5068655878094</v>
      </c>
      <c r="N269" s="8">
        <f t="shared" si="100"/>
        <v>1086.5068655878172</v>
      </c>
      <c r="O269" s="84">
        <f t="shared" si="101"/>
        <v>7.631228982063476E-12</v>
      </c>
    </row>
    <row r="270" spans="1:15" x14ac:dyDescent="0.2">
      <c r="A270" s="96"/>
      <c r="B270" s="81"/>
      <c r="C270" s="82"/>
      <c r="D270" s="82"/>
      <c r="E270" s="81"/>
      <c r="F270" s="83"/>
      <c r="G270" s="84"/>
      <c r="H270" s="84"/>
      <c r="I270" s="109"/>
      <c r="J270" s="85"/>
      <c r="K270" s="129"/>
      <c r="L270" s="85"/>
      <c r="M270" s="130"/>
      <c r="N270" s="8"/>
      <c r="O270" s="84"/>
    </row>
    <row r="271" spans="1:15" ht="13.5" thickBot="1" x14ac:dyDescent="0.25">
      <c r="A271" s="151"/>
      <c r="B271" s="152"/>
      <c r="C271" s="153"/>
      <c r="D271" s="153"/>
      <c r="E271" s="154"/>
      <c r="F271" s="152"/>
      <c r="G271" s="140">
        <f>+SUM(G245:G270)</f>
        <v>332155.46569343616</v>
      </c>
      <c r="H271" s="140">
        <f t="shared" ref="H271:O271" si="110">+SUM(H245:H270)</f>
        <v>1504.7790111597872</v>
      </c>
      <c r="I271" s="141">
        <f t="shared" si="110"/>
        <v>1504.7790111597865</v>
      </c>
      <c r="J271" s="140">
        <f t="shared" si="110"/>
        <v>1224.0071887044032</v>
      </c>
      <c r="K271" s="140">
        <f t="shared" si="110"/>
        <v>2728.7861998641897</v>
      </c>
      <c r="L271" s="140">
        <f t="shared" si="110"/>
        <v>20000</v>
      </c>
      <c r="M271" s="142">
        <f t="shared" si="110"/>
        <v>22728.786199864189</v>
      </c>
      <c r="N271" s="140">
        <f t="shared" si="110"/>
        <v>334884.25189330039</v>
      </c>
      <c r="O271" s="140">
        <f t="shared" si="110"/>
        <v>312155.46569343616</v>
      </c>
    </row>
    <row r="272" spans="1:15" ht="13.5" thickTop="1" x14ac:dyDescent="0.2">
      <c r="B272" s="117"/>
      <c r="C272" s="117"/>
      <c r="D272" s="117"/>
      <c r="E272" s="117"/>
      <c r="F272" s="117"/>
      <c r="G272" s="117"/>
      <c r="H272" s="117"/>
      <c r="I272" s="116"/>
      <c r="J272" s="117"/>
      <c r="K272" s="117"/>
      <c r="L272" s="117"/>
      <c r="M272" s="131"/>
      <c r="O272" s="117"/>
    </row>
    <row r="273" spans="1:15" ht="38.25" x14ac:dyDescent="0.2">
      <c r="A273" s="90" t="s">
        <v>53</v>
      </c>
      <c r="B273" s="90" t="s">
        <v>3</v>
      </c>
      <c r="C273" s="90" t="s">
        <v>4</v>
      </c>
      <c r="D273" s="90" t="s">
        <v>5</v>
      </c>
      <c r="E273" s="90" t="s">
        <v>6</v>
      </c>
      <c r="F273" s="90" t="s">
        <v>7</v>
      </c>
      <c r="G273" s="90" t="s">
        <v>93</v>
      </c>
      <c r="H273" s="90" t="s">
        <v>94</v>
      </c>
      <c r="I273" s="105" t="s">
        <v>95</v>
      </c>
      <c r="J273" s="106" t="s">
        <v>96</v>
      </c>
      <c r="K273" s="106" t="s">
        <v>97</v>
      </c>
      <c r="L273" s="106" t="s">
        <v>98</v>
      </c>
      <c r="M273" s="107" t="s">
        <v>99</v>
      </c>
      <c r="N273" s="90" t="s">
        <v>100</v>
      </c>
      <c r="O273" s="90" t="s">
        <v>101</v>
      </c>
    </row>
    <row r="274" spans="1:15" x14ac:dyDescent="0.2">
      <c r="A274" s="275" t="s">
        <v>15</v>
      </c>
      <c r="B274" s="275"/>
      <c r="C274" s="282">
        <f>VLOOKUP(B275,A$1:F$33,2,FALSE)</f>
        <v>40940</v>
      </c>
      <c r="D274" s="282">
        <f>DATE(YEAR(C274),IF(MONTH(C274)&lt;=3,3,IF(MONTH(C274)&lt;=6,6,IF(MONTH(C274)&lt;=9,9,12))),IF(OR(MONTH(C274)&lt;=3,MONTH(C274)&gt;=10),31,30))</f>
        <v>40999</v>
      </c>
      <c r="E274" s="283">
        <f>D274-C274+1</f>
        <v>60</v>
      </c>
      <c r="F274" s="284">
        <f>VLOOKUP(D274,'FERC Interest Rate'!$A:$B,2,TRUE)</f>
        <v>3.2500000000000001E-2</v>
      </c>
      <c r="G274" s="167">
        <f>VLOOKUP(B275,$A$1:$F$33,5,FALSE)</f>
        <v>20000</v>
      </c>
      <c r="H274" s="167">
        <f t="shared" ref="H274:H282" si="111">G274*F274*(E274/(DATE(YEAR(D274),12,31)-DATE(YEAR(D274),1,1)+1))</f>
        <v>106.55737704918032</v>
      </c>
      <c r="I274" s="291">
        <v>0</v>
      </c>
      <c r="J274" s="286">
        <v>0</v>
      </c>
      <c r="K274" s="288">
        <f t="shared" ref="K274:K298" si="112">+SUM(I274:J274)</f>
        <v>0</v>
      </c>
      <c r="L274" s="286">
        <v>0</v>
      </c>
      <c r="M274" s="289">
        <f t="shared" ref="M274:M298" si="113">+SUM(K274:L274)</f>
        <v>0</v>
      </c>
      <c r="N274" s="290">
        <f t="shared" ref="N274:N298" si="114">+G274+H274+J274</f>
        <v>20106.557377049179</v>
      </c>
      <c r="O274" s="167">
        <f t="shared" ref="O274:O298" si="115">G274+H274-L274-I274</f>
        <v>20106.557377049179</v>
      </c>
    </row>
    <row r="275" spans="1:15" x14ac:dyDescent="0.2">
      <c r="A275" s="275" t="s">
        <v>38</v>
      </c>
      <c r="B275" s="276" t="s">
        <v>77</v>
      </c>
      <c r="C275" s="282">
        <f>D274+1</f>
        <v>41000</v>
      </c>
      <c r="D275" s="282">
        <f>EOMONTH(D274,3)</f>
        <v>41090</v>
      </c>
      <c r="E275" s="283">
        <f t="shared" ref="E275:E298" si="116">D275-C275+1</f>
        <v>91</v>
      </c>
      <c r="F275" s="284">
        <f>VLOOKUP(D275,'FERC Interest Rate'!$A:$B,2,TRUE)</f>
        <v>3.2500000000000001E-2</v>
      </c>
      <c r="G275" s="167">
        <f t="shared" ref="G275:G298" si="117">O274</f>
        <v>20106.557377049179</v>
      </c>
      <c r="H275" s="167">
        <f t="shared" si="111"/>
        <v>162.47306951536325</v>
      </c>
      <c r="I275" s="291">
        <v>0</v>
      </c>
      <c r="J275" s="286">
        <v>0</v>
      </c>
      <c r="K275" s="288">
        <f t="shared" si="112"/>
        <v>0</v>
      </c>
      <c r="L275" s="286">
        <v>0</v>
      </c>
      <c r="M275" s="289">
        <f t="shared" si="113"/>
        <v>0</v>
      </c>
      <c r="N275" s="290">
        <f t="shared" si="114"/>
        <v>20269.030446564542</v>
      </c>
      <c r="O275" s="167">
        <f t="shared" si="115"/>
        <v>20269.030446564542</v>
      </c>
    </row>
    <row r="276" spans="1:15" x14ac:dyDescent="0.2">
      <c r="A276" s="292"/>
      <c r="B276" s="283"/>
      <c r="C276" s="282">
        <f t="shared" ref="C276:C298" si="118">D275+1</f>
        <v>41091</v>
      </c>
      <c r="D276" s="282">
        <f t="shared" ref="D276:D298" si="119">EOMONTH(D275,3)</f>
        <v>41182</v>
      </c>
      <c r="E276" s="283">
        <f t="shared" si="116"/>
        <v>92</v>
      </c>
      <c r="F276" s="284">
        <f>VLOOKUP(D276,'FERC Interest Rate'!$A:$B,2,TRUE)</f>
        <v>3.2500000000000001E-2</v>
      </c>
      <c r="G276" s="167">
        <f t="shared" si="117"/>
        <v>20269.030446564542</v>
      </c>
      <c r="H276" s="167">
        <f t="shared" si="111"/>
        <v>165.58579517821855</v>
      </c>
      <c r="I276" s="291">
        <v>0</v>
      </c>
      <c r="J276" s="286">
        <v>0</v>
      </c>
      <c r="K276" s="288">
        <f t="shared" si="112"/>
        <v>0</v>
      </c>
      <c r="L276" s="286">
        <v>0</v>
      </c>
      <c r="M276" s="289">
        <f t="shared" si="113"/>
        <v>0</v>
      </c>
      <c r="N276" s="290">
        <f t="shared" si="114"/>
        <v>20434.616241742762</v>
      </c>
      <c r="O276" s="167">
        <f t="shared" si="115"/>
        <v>20434.616241742762</v>
      </c>
    </row>
    <row r="277" spans="1:15" x14ac:dyDescent="0.2">
      <c r="A277" s="292"/>
      <c r="B277" s="283"/>
      <c r="C277" s="282">
        <f t="shared" si="118"/>
        <v>41183</v>
      </c>
      <c r="D277" s="282">
        <f t="shared" si="119"/>
        <v>41274</v>
      </c>
      <c r="E277" s="283">
        <f t="shared" si="116"/>
        <v>92</v>
      </c>
      <c r="F277" s="284">
        <f>VLOOKUP(D277,'FERC Interest Rate'!$A:$B,2,TRUE)</f>
        <v>3.2500000000000001E-2</v>
      </c>
      <c r="G277" s="167">
        <f t="shared" si="117"/>
        <v>20434.616241742762</v>
      </c>
      <c r="H277" s="167">
        <f t="shared" si="111"/>
        <v>166.93853159237941</v>
      </c>
      <c r="I277" s="291">
        <v>0</v>
      </c>
      <c r="J277" s="286">
        <v>0</v>
      </c>
      <c r="K277" s="288">
        <f t="shared" si="112"/>
        <v>0</v>
      </c>
      <c r="L277" s="286">
        <v>0</v>
      </c>
      <c r="M277" s="289">
        <f t="shared" si="113"/>
        <v>0</v>
      </c>
      <c r="N277" s="290">
        <f t="shared" si="114"/>
        <v>20601.554773335141</v>
      </c>
      <c r="O277" s="167">
        <f t="shared" si="115"/>
        <v>20601.554773335141</v>
      </c>
    </row>
    <row r="278" spans="1:15" x14ac:dyDescent="0.2">
      <c r="A278" s="292"/>
      <c r="B278" s="283"/>
      <c r="C278" s="282">
        <f t="shared" si="118"/>
        <v>41275</v>
      </c>
      <c r="D278" s="282">
        <f t="shared" si="119"/>
        <v>41364</v>
      </c>
      <c r="E278" s="283">
        <f t="shared" si="116"/>
        <v>90</v>
      </c>
      <c r="F278" s="284">
        <f>VLOOKUP(D278,'FERC Interest Rate'!$A:$B,2,TRUE)</f>
        <v>3.2500000000000001E-2</v>
      </c>
      <c r="G278" s="167">
        <f t="shared" si="117"/>
        <v>20601.554773335141</v>
      </c>
      <c r="H278" s="167">
        <f t="shared" si="111"/>
        <v>165.09465126576791</v>
      </c>
      <c r="I278" s="291">
        <v>0</v>
      </c>
      <c r="J278" s="286">
        <v>0</v>
      </c>
      <c r="K278" s="288">
        <f t="shared" si="112"/>
        <v>0</v>
      </c>
      <c r="L278" s="286">
        <v>0</v>
      </c>
      <c r="M278" s="289">
        <f t="shared" si="113"/>
        <v>0</v>
      </c>
      <c r="N278" s="290">
        <f t="shared" si="114"/>
        <v>20766.64942460091</v>
      </c>
      <c r="O278" s="167">
        <f t="shared" si="115"/>
        <v>20766.64942460091</v>
      </c>
    </row>
    <row r="279" spans="1:15" x14ac:dyDescent="0.2">
      <c r="A279" s="292"/>
      <c r="B279" s="283"/>
      <c r="C279" s="282">
        <f t="shared" ref="C279:C284" si="120">D278+1</f>
        <v>41365</v>
      </c>
      <c r="D279" s="282">
        <f t="shared" si="119"/>
        <v>41455</v>
      </c>
      <c r="E279" s="283">
        <f t="shared" ref="E279:E284" si="121">D279-C279+1</f>
        <v>91</v>
      </c>
      <c r="F279" s="284">
        <f>VLOOKUP(D279,'FERC Interest Rate'!$A:$B,2,TRUE)</f>
        <v>3.2500000000000001E-2</v>
      </c>
      <c r="G279" s="167">
        <f t="shared" si="117"/>
        <v>20766.64942460091</v>
      </c>
      <c r="H279" s="167">
        <f t="shared" si="111"/>
        <v>168.2667552691978</v>
      </c>
      <c r="I279" s="291">
        <v>0</v>
      </c>
      <c r="J279" s="286">
        <v>0</v>
      </c>
      <c r="K279" s="288">
        <f t="shared" si="112"/>
        <v>0</v>
      </c>
      <c r="L279" s="286">
        <v>0</v>
      </c>
      <c r="M279" s="289">
        <f t="shared" si="113"/>
        <v>0</v>
      </c>
      <c r="N279" s="290">
        <f t="shared" si="114"/>
        <v>20934.916179870106</v>
      </c>
      <c r="O279" s="167">
        <f t="shared" si="115"/>
        <v>20934.916179870106</v>
      </c>
    </row>
    <row r="280" spans="1:15" x14ac:dyDescent="0.2">
      <c r="A280" s="292"/>
      <c r="B280" s="283"/>
      <c r="C280" s="282">
        <f t="shared" si="120"/>
        <v>41456</v>
      </c>
      <c r="D280" s="282">
        <f t="shared" si="119"/>
        <v>41547</v>
      </c>
      <c r="E280" s="283">
        <f t="shared" si="121"/>
        <v>92</v>
      </c>
      <c r="F280" s="284">
        <f>VLOOKUP(D280,'FERC Interest Rate'!$A:$B,2,TRUE)</f>
        <v>3.2500000000000001E-2</v>
      </c>
      <c r="G280" s="167">
        <f t="shared" si="117"/>
        <v>20934.916179870106</v>
      </c>
      <c r="H280" s="167">
        <f t="shared" si="111"/>
        <v>171.49424487071678</v>
      </c>
      <c r="I280" s="291">
        <v>0</v>
      </c>
      <c r="J280" s="286">
        <v>0</v>
      </c>
      <c r="K280" s="288">
        <f t="shared" si="112"/>
        <v>0</v>
      </c>
      <c r="L280" s="286">
        <v>0</v>
      </c>
      <c r="M280" s="289">
        <f t="shared" si="113"/>
        <v>0</v>
      </c>
      <c r="N280" s="290">
        <f t="shared" si="114"/>
        <v>21106.410424740821</v>
      </c>
      <c r="O280" s="167">
        <f t="shared" si="115"/>
        <v>21106.410424740821</v>
      </c>
    </row>
    <row r="281" spans="1:15" x14ac:dyDescent="0.2">
      <c r="A281" s="292"/>
      <c r="B281" s="283"/>
      <c r="C281" s="282">
        <f t="shared" si="120"/>
        <v>41548</v>
      </c>
      <c r="D281" s="282">
        <f t="shared" si="119"/>
        <v>41639</v>
      </c>
      <c r="E281" s="283">
        <f t="shared" si="121"/>
        <v>92</v>
      </c>
      <c r="F281" s="284">
        <f>VLOOKUP(D281,'FERC Interest Rate'!$A:$B,2,TRUE)</f>
        <v>3.2500000000000001E-2</v>
      </c>
      <c r="G281" s="167">
        <f t="shared" si="117"/>
        <v>21106.410424740821</v>
      </c>
      <c r="H281" s="167">
        <f t="shared" si="111"/>
        <v>172.89908813691798</v>
      </c>
      <c r="I281" s="291">
        <v>0</v>
      </c>
      <c r="J281" s="286">
        <v>0</v>
      </c>
      <c r="K281" s="288">
        <f t="shared" si="112"/>
        <v>0</v>
      </c>
      <c r="L281" s="286">
        <v>0</v>
      </c>
      <c r="M281" s="289">
        <f t="shared" si="113"/>
        <v>0</v>
      </c>
      <c r="N281" s="290">
        <f t="shared" si="114"/>
        <v>21279.309512877739</v>
      </c>
      <c r="O281" s="167">
        <f t="shared" si="115"/>
        <v>21279.309512877739</v>
      </c>
    </row>
    <row r="282" spans="1:15" x14ac:dyDescent="0.2">
      <c r="A282" s="96" t="s">
        <v>54</v>
      </c>
      <c r="B282" s="81" t="str">
        <f>+IF(MONTH(C282)&lt;4,"Q1",IF(MONTH(C282)&lt;7,"Q2",IF(MONTH(C282)&lt;10,"Q3","Q4")))&amp;"/"&amp;YEAR(C282)</f>
        <v>Q1/2014</v>
      </c>
      <c r="C282" s="82">
        <f t="shared" si="120"/>
        <v>41640</v>
      </c>
      <c r="D282" s="82">
        <f t="shared" si="119"/>
        <v>41729</v>
      </c>
      <c r="E282" s="81">
        <f t="shared" si="121"/>
        <v>90</v>
      </c>
      <c r="F282" s="83">
        <f>VLOOKUP(D282,'FERC Interest Rate'!$A:$B,2,TRUE)</f>
        <v>3.2500000000000001E-2</v>
      </c>
      <c r="G282" s="84">
        <f t="shared" si="117"/>
        <v>21279.309512877739</v>
      </c>
      <c r="H282" s="167">
        <f t="shared" si="111"/>
        <v>170.52597349360926</v>
      </c>
      <c r="I282" s="109">
        <f>(SUM($H$274:$H$298)/20)*4</f>
        <v>289.96709727427026</v>
      </c>
      <c r="J282" s="85">
        <v>0</v>
      </c>
      <c r="K282" s="129">
        <f t="shared" si="112"/>
        <v>289.96709727427026</v>
      </c>
      <c r="L282" s="85">
        <f>($G$274/20)*4</f>
        <v>4000</v>
      </c>
      <c r="M282" s="130">
        <f t="shared" si="113"/>
        <v>4289.9670972742706</v>
      </c>
      <c r="N282" s="8">
        <f t="shared" si="114"/>
        <v>21449.835486371347</v>
      </c>
      <c r="O282" s="84">
        <f t="shared" si="115"/>
        <v>17159.868389097075</v>
      </c>
    </row>
    <row r="283" spans="1:15" x14ac:dyDescent="0.2">
      <c r="A283" s="96" t="s">
        <v>55</v>
      </c>
      <c r="B283" s="81" t="str">
        <f>+IF(MONTH(C283)&lt;4,"Q1",IF(MONTH(C283)&lt;7,"Q2",IF(MONTH(C283)&lt;10,"Q3","Q4")))&amp;"/"&amp;YEAR(C283)</f>
        <v>Q2/2014</v>
      </c>
      <c r="C283" s="82">
        <f t="shared" si="120"/>
        <v>41730</v>
      </c>
      <c r="D283" s="82">
        <f t="shared" si="119"/>
        <v>41820</v>
      </c>
      <c r="E283" s="81">
        <f t="shared" si="121"/>
        <v>91</v>
      </c>
      <c r="F283" s="83">
        <f>VLOOKUP(D283,'FERC Interest Rate'!$A:$B,2,TRUE)</f>
        <v>3.2500000000000001E-2</v>
      </c>
      <c r="G283" s="84">
        <f t="shared" si="117"/>
        <v>17159.868389097075</v>
      </c>
      <c r="H283" s="84">
        <v>0</v>
      </c>
      <c r="I283" s="109">
        <f t="shared" ref="I283:I298" si="122">SUM($H$274:$H$298)/20</f>
        <v>72.491774318567565</v>
      </c>
      <c r="J283" s="85">
        <f t="shared" ref="J283:J298" si="123">G283*F283*(E283/(DATE(YEAR(D283),12,31)-DATE(YEAR(D283),1,1)+1))</f>
        <v>139.04194728973866</v>
      </c>
      <c r="K283" s="129">
        <f t="shared" si="112"/>
        <v>211.53372160830622</v>
      </c>
      <c r="L283" s="85">
        <f t="shared" ref="L283:L298" si="124">$G$274/20</f>
        <v>1000</v>
      </c>
      <c r="M283" s="130">
        <f t="shared" si="113"/>
        <v>1211.5337216083062</v>
      </c>
      <c r="N283" s="8">
        <f t="shared" si="114"/>
        <v>17298.910336386813</v>
      </c>
      <c r="O283" s="84">
        <f t="shared" si="115"/>
        <v>16087.376614778508</v>
      </c>
    </row>
    <row r="284" spans="1:15" x14ac:dyDescent="0.2">
      <c r="A284" s="96" t="s">
        <v>56</v>
      </c>
      <c r="B284" s="81" t="str">
        <f t="shared" ref="B284:B298" si="125">+IF(MONTH(C284)&lt;4,"Q1",IF(MONTH(C284)&lt;7,"Q2",IF(MONTH(C284)&lt;10,"Q3","Q4")))&amp;"/"&amp;YEAR(C284)</f>
        <v>Q3/2014</v>
      </c>
      <c r="C284" s="82">
        <f t="shared" si="120"/>
        <v>41821</v>
      </c>
      <c r="D284" s="82">
        <f t="shared" si="119"/>
        <v>41912</v>
      </c>
      <c r="E284" s="81">
        <f t="shared" si="121"/>
        <v>92</v>
      </c>
      <c r="F284" s="83">
        <f>VLOOKUP(D284,'FERC Interest Rate'!$A:$B,2,TRUE)</f>
        <v>3.2500000000000001E-2</v>
      </c>
      <c r="G284" s="84">
        <f t="shared" si="117"/>
        <v>16087.376614778508</v>
      </c>
      <c r="H284" s="84">
        <v>0</v>
      </c>
      <c r="I284" s="109">
        <f t="shared" si="122"/>
        <v>72.491774318567565</v>
      </c>
      <c r="J284" s="85">
        <f t="shared" si="123"/>
        <v>131.78426322791162</v>
      </c>
      <c r="K284" s="129">
        <f t="shared" si="112"/>
        <v>204.27603754647919</v>
      </c>
      <c r="L284" s="85">
        <f t="shared" si="124"/>
        <v>1000</v>
      </c>
      <c r="M284" s="130">
        <f t="shared" si="113"/>
        <v>1204.2760375464791</v>
      </c>
      <c r="N284" s="8">
        <f t="shared" si="114"/>
        <v>16219.16087800642</v>
      </c>
      <c r="O284" s="84">
        <f t="shared" si="115"/>
        <v>15014.884840459941</v>
      </c>
    </row>
    <row r="285" spans="1:15" x14ac:dyDescent="0.2">
      <c r="A285" s="96" t="s">
        <v>57</v>
      </c>
      <c r="B285" s="81" t="str">
        <f t="shared" si="125"/>
        <v>Q4/2014</v>
      </c>
      <c r="C285" s="82">
        <f t="shared" si="118"/>
        <v>41913</v>
      </c>
      <c r="D285" s="82">
        <f t="shared" si="119"/>
        <v>42004</v>
      </c>
      <c r="E285" s="81">
        <f t="shared" si="116"/>
        <v>92</v>
      </c>
      <c r="F285" s="83">
        <f>VLOOKUP(D285,'FERC Interest Rate'!$A:$B,2,TRUE)</f>
        <v>3.2500000000000001E-2</v>
      </c>
      <c r="G285" s="84">
        <f t="shared" si="117"/>
        <v>15014.884840459941</v>
      </c>
      <c r="H285" s="84">
        <v>0</v>
      </c>
      <c r="I285" s="109">
        <f t="shared" si="122"/>
        <v>72.491774318567565</v>
      </c>
      <c r="J285" s="85">
        <f t="shared" si="123"/>
        <v>122.99864567938418</v>
      </c>
      <c r="K285" s="129">
        <f t="shared" si="112"/>
        <v>195.49041999795173</v>
      </c>
      <c r="L285" s="85">
        <f t="shared" si="124"/>
        <v>1000</v>
      </c>
      <c r="M285" s="130">
        <f t="shared" si="113"/>
        <v>1195.4904199979517</v>
      </c>
      <c r="N285" s="8">
        <f t="shared" si="114"/>
        <v>15137.883486139326</v>
      </c>
      <c r="O285" s="84">
        <f t="shared" si="115"/>
        <v>13942.393066141374</v>
      </c>
    </row>
    <row r="286" spans="1:15" x14ac:dyDescent="0.2">
      <c r="A286" s="96" t="s">
        <v>58</v>
      </c>
      <c r="B286" s="81" t="str">
        <f t="shared" si="125"/>
        <v>Q1/2015</v>
      </c>
      <c r="C286" s="82">
        <f t="shared" si="118"/>
        <v>42005</v>
      </c>
      <c r="D286" s="82">
        <f t="shared" si="119"/>
        <v>42094</v>
      </c>
      <c r="E286" s="81">
        <f t="shared" si="116"/>
        <v>90</v>
      </c>
      <c r="F286" s="83">
        <f>VLOOKUP(D286,'FERC Interest Rate'!$A:$B,2,TRUE)</f>
        <v>3.2500000000000001E-2</v>
      </c>
      <c r="G286" s="84">
        <f t="shared" si="117"/>
        <v>13942.393066141374</v>
      </c>
      <c r="H286" s="84">
        <v>0</v>
      </c>
      <c r="I286" s="109">
        <f t="shared" si="122"/>
        <v>72.491774318567565</v>
      </c>
      <c r="J286" s="85">
        <f t="shared" si="123"/>
        <v>111.73013621496855</v>
      </c>
      <c r="K286" s="129">
        <f t="shared" si="112"/>
        <v>184.22191053353612</v>
      </c>
      <c r="L286" s="85">
        <f t="shared" si="124"/>
        <v>1000</v>
      </c>
      <c r="M286" s="130">
        <f t="shared" si="113"/>
        <v>1184.2219105335362</v>
      </c>
      <c r="N286" s="8">
        <f t="shared" si="114"/>
        <v>14054.123202356343</v>
      </c>
      <c r="O286" s="84">
        <f t="shared" si="115"/>
        <v>12869.901291822807</v>
      </c>
    </row>
    <row r="287" spans="1:15" x14ac:dyDescent="0.2">
      <c r="A287" s="96" t="s">
        <v>59</v>
      </c>
      <c r="B287" s="81" t="str">
        <f t="shared" si="125"/>
        <v>Q2/2015</v>
      </c>
      <c r="C287" s="82">
        <f t="shared" si="118"/>
        <v>42095</v>
      </c>
      <c r="D287" s="82">
        <f t="shared" si="119"/>
        <v>42185</v>
      </c>
      <c r="E287" s="81">
        <f t="shared" si="116"/>
        <v>91</v>
      </c>
      <c r="F287" s="83">
        <f>VLOOKUP(D287,'FERC Interest Rate'!$A:$B,2,TRUE)</f>
        <v>3.2500000000000001E-2</v>
      </c>
      <c r="G287" s="84">
        <f t="shared" si="117"/>
        <v>12869.901291822807</v>
      </c>
      <c r="H287" s="84">
        <v>0</v>
      </c>
      <c r="I287" s="109">
        <f t="shared" si="122"/>
        <v>72.491774318567565</v>
      </c>
      <c r="J287" s="85">
        <f t="shared" si="123"/>
        <v>104.28146046730399</v>
      </c>
      <c r="K287" s="129">
        <f t="shared" si="112"/>
        <v>176.77323478587155</v>
      </c>
      <c r="L287" s="85">
        <f t="shared" si="124"/>
        <v>1000</v>
      </c>
      <c r="M287" s="130">
        <f t="shared" si="113"/>
        <v>1176.7732347858716</v>
      </c>
      <c r="N287" s="8">
        <f t="shared" si="114"/>
        <v>12974.182752290111</v>
      </c>
      <c r="O287" s="84">
        <f t="shared" si="115"/>
        <v>11797.40951750424</v>
      </c>
    </row>
    <row r="288" spans="1:15" x14ac:dyDescent="0.2">
      <c r="A288" s="96" t="s">
        <v>60</v>
      </c>
      <c r="B288" s="81" t="str">
        <f t="shared" si="125"/>
        <v>Q3/2015</v>
      </c>
      <c r="C288" s="82">
        <f t="shared" si="118"/>
        <v>42186</v>
      </c>
      <c r="D288" s="82">
        <f t="shared" si="119"/>
        <v>42277</v>
      </c>
      <c r="E288" s="81">
        <f t="shared" si="116"/>
        <v>92</v>
      </c>
      <c r="F288" s="83">
        <f>VLOOKUP(D288,'FERC Interest Rate'!$A:$B,2,TRUE)</f>
        <v>3.2500000000000001E-2</v>
      </c>
      <c r="G288" s="84">
        <f t="shared" si="117"/>
        <v>11797.40951750424</v>
      </c>
      <c r="H288" s="84">
        <v>0</v>
      </c>
      <c r="I288" s="109">
        <f t="shared" si="122"/>
        <v>72.491774318567565</v>
      </c>
      <c r="J288" s="85">
        <f t="shared" si="123"/>
        <v>96.641793033801861</v>
      </c>
      <c r="K288" s="129">
        <f t="shared" si="112"/>
        <v>169.13356735236943</v>
      </c>
      <c r="L288" s="85">
        <f t="shared" si="124"/>
        <v>1000</v>
      </c>
      <c r="M288" s="130">
        <f t="shared" si="113"/>
        <v>1169.1335673523695</v>
      </c>
      <c r="N288" s="8">
        <f t="shared" si="114"/>
        <v>11894.051310538041</v>
      </c>
      <c r="O288" s="84">
        <f t="shared" si="115"/>
        <v>10724.917743185673</v>
      </c>
    </row>
    <row r="289" spans="1:15" x14ac:dyDescent="0.2">
      <c r="A289" s="96" t="s">
        <v>61</v>
      </c>
      <c r="B289" s="81" t="str">
        <f t="shared" si="125"/>
        <v>Q4/2015</v>
      </c>
      <c r="C289" s="82">
        <f t="shared" si="118"/>
        <v>42278</v>
      </c>
      <c r="D289" s="82">
        <f t="shared" si="119"/>
        <v>42369</v>
      </c>
      <c r="E289" s="81">
        <f t="shared" si="116"/>
        <v>92</v>
      </c>
      <c r="F289" s="83">
        <f>VLOOKUP(D289,'FERC Interest Rate'!$A:$B,2,TRUE)</f>
        <v>3.2500000000000001E-2</v>
      </c>
      <c r="G289" s="84">
        <f t="shared" si="117"/>
        <v>10724.917743185673</v>
      </c>
      <c r="H289" s="84">
        <v>0</v>
      </c>
      <c r="I289" s="109">
        <f t="shared" si="122"/>
        <v>72.491774318567565</v>
      </c>
      <c r="J289" s="85">
        <f t="shared" si="123"/>
        <v>87.856175485274434</v>
      </c>
      <c r="K289" s="129">
        <f t="shared" si="112"/>
        <v>160.347949803842</v>
      </c>
      <c r="L289" s="85">
        <f t="shared" si="124"/>
        <v>1000</v>
      </c>
      <c r="M289" s="130">
        <f t="shared" si="113"/>
        <v>1160.3479498038421</v>
      </c>
      <c r="N289" s="8">
        <f t="shared" si="114"/>
        <v>10812.773918670948</v>
      </c>
      <c r="O289" s="84">
        <f t="shared" si="115"/>
        <v>9652.4259688671063</v>
      </c>
    </row>
    <row r="290" spans="1:15" x14ac:dyDescent="0.2">
      <c r="A290" s="96" t="s">
        <v>62</v>
      </c>
      <c r="B290" s="81" t="str">
        <f t="shared" si="125"/>
        <v>Q1/2016</v>
      </c>
      <c r="C290" s="82">
        <f t="shared" si="118"/>
        <v>42370</v>
      </c>
      <c r="D290" s="82">
        <f t="shared" si="119"/>
        <v>42460</v>
      </c>
      <c r="E290" s="81">
        <f t="shared" si="116"/>
        <v>91</v>
      </c>
      <c r="F290" s="83">
        <f>VLOOKUP(D290,'FERC Interest Rate'!$A:$B,2,TRUE)</f>
        <v>3.2500000000000001E-2</v>
      </c>
      <c r="G290" s="84">
        <f t="shared" si="117"/>
        <v>9652.4259688671063</v>
      </c>
      <c r="H290" s="84">
        <v>0</v>
      </c>
      <c r="I290" s="109">
        <f t="shared" si="122"/>
        <v>72.491774318567565</v>
      </c>
      <c r="J290" s="85">
        <f t="shared" si="123"/>
        <v>77.997403833126953</v>
      </c>
      <c r="K290" s="129">
        <f t="shared" si="112"/>
        <v>150.48917815169452</v>
      </c>
      <c r="L290" s="85">
        <f t="shared" si="124"/>
        <v>1000</v>
      </c>
      <c r="M290" s="130">
        <f t="shared" si="113"/>
        <v>1150.4891781516944</v>
      </c>
      <c r="N290" s="8">
        <f t="shared" si="114"/>
        <v>9730.4233727002338</v>
      </c>
      <c r="O290" s="84">
        <f t="shared" si="115"/>
        <v>8579.9341945485394</v>
      </c>
    </row>
    <row r="291" spans="1:15" x14ac:dyDescent="0.2">
      <c r="A291" s="96" t="s">
        <v>63</v>
      </c>
      <c r="B291" s="81" t="str">
        <f t="shared" si="125"/>
        <v>Q2/2016</v>
      </c>
      <c r="C291" s="82">
        <f t="shared" si="118"/>
        <v>42461</v>
      </c>
      <c r="D291" s="82">
        <f t="shared" si="119"/>
        <v>42551</v>
      </c>
      <c r="E291" s="81">
        <f t="shared" si="116"/>
        <v>91</v>
      </c>
      <c r="F291" s="83">
        <f>VLOOKUP(D291,'FERC Interest Rate'!$A:$B,2,TRUE)</f>
        <v>3.4599999999999999E-2</v>
      </c>
      <c r="G291" s="84">
        <f t="shared" si="117"/>
        <v>8579.9341945485394</v>
      </c>
      <c r="H291" s="84">
        <v>0</v>
      </c>
      <c r="I291" s="109">
        <f t="shared" si="122"/>
        <v>72.491774318567565</v>
      </c>
      <c r="J291" s="85">
        <f t="shared" si="123"/>
        <v>73.810876516271946</v>
      </c>
      <c r="K291" s="129">
        <f t="shared" si="112"/>
        <v>146.30265083483951</v>
      </c>
      <c r="L291" s="85">
        <f t="shared" si="124"/>
        <v>1000</v>
      </c>
      <c r="M291" s="130">
        <f t="shared" si="113"/>
        <v>1146.3026508348396</v>
      </c>
      <c r="N291" s="8">
        <f t="shared" si="114"/>
        <v>8653.7450710648118</v>
      </c>
      <c r="O291" s="84">
        <f t="shared" si="115"/>
        <v>7507.4424202299715</v>
      </c>
    </row>
    <row r="292" spans="1:15" x14ac:dyDescent="0.2">
      <c r="A292" s="96" t="s">
        <v>64</v>
      </c>
      <c r="B292" s="81" t="str">
        <f t="shared" si="125"/>
        <v>Q3/2016</v>
      </c>
      <c r="C292" s="82">
        <f t="shared" si="118"/>
        <v>42552</v>
      </c>
      <c r="D292" s="82">
        <f t="shared" si="119"/>
        <v>42643</v>
      </c>
      <c r="E292" s="81">
        <f t="shared" si="116"/>
        <v>92</v>
      </c>
      <c r="F292" s="83">
        <f>VLOOKUP(D292,'FERC Interest Rate'!$A:$B,2,TRUE)</f>
        <v>3.5000000000000003E-2</v>
      </c>
      <c r="G292" s="84">
        <f t="shared" si="117"/>
        <v>7507.4424202299715</v>
      </c>
      <c r="H292" s="84">
        <v>0</v>
      </c>
      <c r="I292" s="109">
        <f t="shared" si="122"/>
        <v>72.491774318567565</v>
      </c>
      <c r="J292" s="85">
        <f t="shared" si="123"/>
        <v>66.049083587815602</v>
      </c>
      <c r="K292" s="129">
        <f t="shared" si="112"/>
        <v>138.54085790638317</v>
      </c>
      <c r="L292" s="85">
        <f t="shared" si="124"/>
        <v>1000</v>
      </c>
      <c r="M292" s="130">
        <f t="shared" si="113"/>
        <v>1138.5408579063833</v>
      </c>
      <c r="N292" s="8">
        <f t="shared" si="114"/>
        <v>7573.4915038177869</v>
      </c>
      <c r="O292" s="84">
        <f t="shared" si="115"/>
        <v>6434.9506459114036</v>
      </c>
    </row>
    <row r="293" spans="1:15" x14ac:dyDescent="0.2">
      <c r="A293" s="96" t="s">
        <v>65</v>
      </c>
      <c r="B293" s="81" t="str">
        <f t="shared" si="125"/>
        <v>Q4/2016</v>
      </c>
      <c r="C293" s="82">
        <f t="shared" si="118"/>
        <v>42644</v>
      </c>
      <c r="D293" s="82">
        <f t="shared" si="119"/>
        <v>42735</v>
      </c>
      <c r="E293" s="81">
        <f t="shared" si="116"/>
        <v>92</v>
      </c>
      <c r="F293" s="83">
        <f>VLOOKUP(D293,'FERC Interest Rate'!$A:$B,2,TRUE)</f>
        <v>3.5000000000000003E-2</v>
      </c>
      <c r="G293" s="84">
        <f t="shared" si="117"/>
        <v>6434.9506459114036</v>
      </c>
      <c r="H293" s="84">
        <v>0</v>
      </c>
      <c r="I293" s="109">
        <f t="shared" si="122"/>
        <v>72.491774318567565</v>
      </c>
      <c r="J293" s="85">
        <f t="shared" si="123"/>
        <v>56.613500218127655</v>
      </c>
      <c r="K293" s="129">
        <f t="shared" si="112"/>
        <v>129.10527453669522</v>
      </c>
      <c r="L293" s="85">
        <f t="shared" si="124"/>
        <v>1000</v>
      </c>
      <c r="M293" s="130">
        <f t="shared" si="113"/>
        <v>1129.1052745366951</v>
      </c>
      <c r="N293" s="8">
        <f t="shared" si="114"/>
        <v>6491.5641461295309</v>
      </c>
      <c r="O293" s="84">
        <f t="shared" si="115"/>
        <v>5362.4588715928357</v>
      </c>
    </row>
    <row r="294" spans="1:15" x14ac:dyDescent="0.2">
      <c r="A294" s="96" t="s">
        <v>66</v>
      </c>
      <c r="B294" s="81" t="str">
        <f t="shared" si="125"/>
        <v>Q1/2017</v>
      </c>
      <c r="C294" s="82">
        <f t="shared" si="118"/>
        <v>42736</v>
      </c>
      <c r="D294" s="82">
        <f t="shared" si="119"/>
        <v>42825</v>
      </c>
      <c r="E294" s="81">
        <f t="shared" si="116"/>
        <v>90</v>
      </c>
      <c r="F294" s="83">
        <f>VLOOKUP(D294,'FERC Interest Rate'!$A:$B,2,TRUE)</f>
        <v>3.5000000000000003E-2</v>
      </c>
      <c r="G294" s="84">
        <f t="shared" si="117"/>
        <v>5362.4588715928357</v>
      </c>
      <c r="H294" s="84">
        <v>0</v>
      </c>
      <c r="I294" s="109">
        <f t="shared" si="122"/>
        <v>72.491774318567565</v>
      </c>
      <c r="J294" s="85">
        <f t="shared" si="123"/>
        <v>46.278754645253244</v>
      </c>
      <c r="K294" s="129">
        <f t="shared" si="112"/>
        <v>118.77052896382081</v>
      </c>
      <c r="L294" s="85">
        <f t="shared" si="124"/>
        <v>1000</v>
      </c>
      <c r="M294" s="130">
        <f t="shared" si="113"/>
        <v>1118.7705289638209</v>
      </c>
      <c r="N294" s="8">
        <f t="shared" si="114"/>
        <v>5408.7376262380894</v>
      </c>
      <c r="O294" s="84">
        <f t="shared" si="115"/>
        <v>4289.9670972742679</v>
      </c>
    </row>
    <row r="295" spans="1:15" x14ac:dyDescent="0.2">
      <c r="A295" s="96" t="s">
        <v>67</v>
      </c>
      <c r="B295" s="81" t="str">
        <f t="shared" si="125"/>
        <v>Q2/2017</v>
      </c>
      <c r="C295" s="82">
        <f t="shared" si="118"/>
        <v>42826</v>
      </c>
      <c r="D295" s="82">
        <f t="shared" si="119"/>
        <v>42916</v>
      </c>
      <c r="E295" s="81">
        <f t="shared" si="116"/>
        <v>91</v>
      </c>
      <c r="F295" s="83">
        <f>VLOOKUP(D295,'FERC Interest Rate'!$A:$B,2,TRUE)</f>
        <v>3.7100000000000001E-2</v>
      </c>
      <c r="G295" s="84">
        <f t="shared" si="117"/>
        <v>4289.9670972742679</v>
      </c>
      <c r="H295" s="84">
        <v>0</v>
      </c>
      <c r="I295" s="109">
        <f t="shared" si="122"/>
        <v>72.491774318567565</v>
      </c>
      <c r="J295" s="85">
        <f t="shared" si="123"/>
        <v>39.680432649610019</v>
      </c>
      <c r="K295" s="129">
        <f t="shared" si="112"/>
        <v>112.17220696817759</v>
      </c>
      <c r="L295" s="85">
        <f t="shared" si="124"/>
        <v>1000</v>
      </c>
      <c r="M295" s="130">
        <f t="shared" si="113"/>
        <v>1112.1722069681775</v>
      </c>
      <c r="N295" s="8">
        <f t="shared" si="114"/>
        <v>4329.6475299238782</v>
      </c>
      <c r="O295" s="84">
        <f t="shared" si="115"/>
        <v>3217.4753229557004</v>
      </c>
    </row>
    <row r="296" spans="1:15" x14ac:dyDescent="0.2">
      <c r="A296" s="96" t="s">
        <v>68</v>
      </c>
      <c r="B296" s="81" t="str">
        <f t="shared" si="125"/>
        <v>Q3/2017</v>
      </c>
      <c r="C296" s="82">
        <f t="shared" si="118"/>
        <v>42917</v>
      </c>
      <c r="D296" s="82">
        <f t="shared" si="119"/>
        <v>43008</v>
      </c>
      <c r="E296" s="81">
        <f t="shared" si="116"/>
        <v>92</v>
      </c>
      <c r="F296" s="83">
        <f>VLOOKUP(D296,'FERC Interest Rate'!$A:$B,2,TRUE)</f>
        <v>3.9600000000000003E-2</v>
      </c>
      <c r="G296" s="84">
        <f t="shared" si="117"/>
        <v>3217.4753229557004</v>
      </c>
      <c r="H296" s="84">
        <v>0</v>
      </c>
      <c r="I296" s="109">
        <f t="shared" si="122"/>
        <v>72.491774318567565</v>
      </c>
      <c r="J296" s="85">
        <f t="shared" si="123"/>
        <v>32.1148112235403</v>
      </c>
      <c r="K296" s="129">
        <f t="shared" si="112"/>
        <v>104.60658554210787</v>
      </c>
      <c r="L296" s="85">
        <f t="shared" si="124"/>
        <v>1000</v>
      </c>
      <c r="M296" s="130">
        <f t="shared" si="113"/>
        <v>1104.606585542108</v>
      </c>
      <c r="N296" s="8">
        <f t="shared" si="114"/>
        <v>3249.5901341792405</v>
      </c>
      <c r="O296" s="84">
        <f t="shared" si="115"/>
        <v>2144.983548637133</v>
      </c>
    </row>
    <row r="297" spans="1:15" x14ac:dyDescent="0.2">
      <c r="A297" s="96" t="s">
        <v>69</v>
      </c>
      <c r="B297" s="81" t="str">
        <f t="shared" si="125"/>
        <v>Q4/2017</v>
      </c>
      <c r="C297" s="82">
        <f t="shared" si="118"/>
        <v>43009</v>
      </c>
      <c r="D297" s="82">
        <f t="shared" si="119"/>
        <v>43100</v>
      </c>
      <c r="E297" s="81">
        <f t="shared" si="116"/>
        <v>92</v>
      </c>
      <c r="F297" s="83">
        <f>VLOOKUP(D297,'FERC Interest Rate'!$A:$B,2,TRUE)</f>
        <v>4.2099999999999999E-2</v>
      </c>
      <c r="G297" s="84">
        <f t="shared" si="117"/>
        <v>2144.983548637133</v>
      </c>
      <c r="H297" s="84">
        <v>0</v>
      </c>
      <c r="I297" s="109">
        <f t="shared" si="122"/>
        <v>72.491774318567565</v>
      </c>
      <c r="J297" s="85">
        <f t="shared" si="123"/>
        <v>22.761507618031082</v>
      </c>
      <c r="K297" s="129">
        <f t="shared" si="112"/>
        <v>95.253281936598654</v>
      </c>
      <c r="L297" s="85">
        <f t="shared" si="124"/>
        <v>1000</v>
      </c>
      <c r="M297" s="130">
        <f t="shared" si="113"/>
        <v>1095.2532819365986</v>
      </c>
      <c r="N297" s="8">
        <f t="shared" si="114"/>
        <v>2167.7450562551639</v>
      </c>
      <c r="O297" s="84">
        <f t="shared" si="115"/>
        <v>1072.4917743185654</v>
      </c>
    </row>
    <row r="298" spans="1:15" x14ac:dyDescent="0.2">
      <c r="A298" s="96" t="s">
        <v>70</v>
      </c>
      <c r="B298" s="81" t="str">
        <f t="shared" si="125"/>
        <v>Q1/2018</v>
      </c>
      <c r="C298" s="82">
        <f t="shared" si="118"/>
        <v>43101</v>
      </c>
      <c r="D298" s="82">
        <f t="shared" si="119"/>
        <v>43190</v>
      </c>
      <c r="E298" s="81">
        <f t="shared" si="116"/>
        <v>90</v>
      </c>
      <c r="F298" s="83">
        <f>VLOOKUP(D298,'FERC Interest Rate'!$A:$B,2,TRUE)</f>
        <v>4.2500000000000003E-2</v>
      </c>
      <c r="G298" s="84">
        <f t="shared" si="117"/>
        <v>1072.4917743185654</v>
      </c>
      <c r="H298" s="84">
        <v>0</v>
      </c>
      <c r="I298" s="109">
        <f t="shared" si="122"/>
        <v>72.491774318567565</v>
      </c>
      <c r="J298" s="85">
        <f t="shared" si="123"/>
        <v>11.239126128132911</v>
      </c>
      <c r="K298" s="129">
        <f t="shared" si="112"/>
        <v>83.730900446700474</v>
      </c>
      <c r="L298" s="85">
        <f t="shared" si="124"/>
        <v>1000</v>
      </c>
      <c r="M298" s="130">
        <f t="shared" si="113"/>
        <v>1083.7309004467004</v>
      </c>
      <c r="N298" s="8">
        <f t="shared" si="114"/>
        <v>1083.7309004466983</v>
      </c>
      <c r="O298" s="84">
        <f t="shared" si="115"/>
        <v>-2.1884716261411086E-12</v>
      </c>
    </row>
    <row r="299" spans="1:15" x14ac:dyDescent="0.2">
      <c r="A299" s="96"/>
      <c r="B299" s="81"/>
      <c r="C299" s="82"/>
      <c r="D299" s="82"/>
      <c r="E299" s="81"/>
      <c r="F299" s="83"/>
      <c r="G299" s="84"/>
      <c r="H299" s="84"/>
      <c r="I299" s="109"/>
      <c r="J299" s="85"/>
      <c r="K299" s="129"/>
      <c r="L299" s="85"/>
      <c r="M299" s="130"/>
      <c r="N299" s="8"/>
      <c r="O299" s="84"/>
    </row>
    <row r="300" spans="1:15" ht="13.5" thickBot="1" x14ac:dyDescent="0.25">
      <c r="A300" s="151"/>
      <c r="B300" s="152"/>
      <c r="C300" s="153"/>
      <c r="D300" s="153"/>
      <c r="E300" s="154"/>
      <c r="F300" s="152"/>
      <c r="G300" s="140">
        <f>+SUM(G274:G299)</f>
        <v>331357.92568810622</v>
      </c>
      <c r="H300" s="140">
        <f t="shared" ref="H300:O300" si="126">+SUM(H274:H299)</f>
        <v>1449.8354863713512</v>
      </c>
      <c r="I300" s="141">
        <f t="shared" si="126"/>
        <v>1449.8354863713514</v>
      </c>
      <c r="J300" s="140">
        <f t="shared" si="126"/>
        <v>1220.8799178182933</v>
      </c>
      <c r="K300" s="140">
        <f t="shared" si="126"/>
        <v>2670.7154041896447</v>
      </c>
      <c r="L300" s="140">
        <f t="shared" si="126"/>
        <v>20000</v>
      </c>
      <c r="M300" s="142">
        <f t="shared" si="126"/>
        <v>22670.715404189643</v>
      </c>
      <c r="N300" s="140">
        <f t="shared" si="126"/>
        <v>334028.64109229593</v>
      </c>
      <c r="O300" s="140">
        <f t="shared" si="126"/>
        <v>311357.92568810628</v>
      </c>
    </row>
    <row r="301" spans="1:15" ht="13.5" thickTop="1" x14ac:dyDescent="0.2">
      <c r="B301" s="117"/>
      <c r="C301" s="117"/>
      <c r="D301" s="117"/>
      <c r="E301" s="117"/>
      <c r="F301" s="117"/>
      <c r="G301" s="117"/>
      <c r="H301" s="117"/>
      <c r="I301" s="116"/>
      <c r="J301" s="117"/>
      <c r="K301" s="117"/>
      <c r="L301" s="117"/>
      <c r="M301" s="131"/>
      <c r="O301" s="117"/>
    </row>
    <row r="302" spans="1:15" ht="38.25" x14ac:dyDescent="0.2">
      <c r="A302" s="90" t="s">
        <v>53</v>
      </c>
      <c r="B302" s="90" t="s">
        <v>3</v>
      </c>
      <c r="C302" s="90" t="s">
        <v>4</v>
      </c>
      <c r="D302" s="90" t="s">
        <v>5</v>
      </c>
      <c r="E302" s="90" t="s">
        <v>6</v>
      </c>
      <c r="F302" s="90" t="s">
        <v>7</v>
      </c>
      <c r="G302" s="90" t="s">
        <v>93</v>
      </c>
      <c r="H302" s="90" t="s">
        <v>94</v>
      </c>
      <c r="I302" s="105" t="s">
        <v>95</v>
      </c>
      <c r="J302" s="106" t="s">
        <v>96</v>
      </c>
      <c r="K302" s="106" t="s">
        <v>97</v>
      </c>
      <c r="L302" s="106" t="s">
        <v>98</v>
      </c>
      <c r="M302" s="107" t="s">
        <v>99</v>
      </c>
      <c r="N302" s="90" t="s">
        <v>100</v>
      </c>
      <c r="O302" s="90" t="s">
        <v>101</v>
      </c>
    </row>
    <row r="303" spans="1:15" x14ac:dyDescent="0.2">
      <c r="A303" s="275" t="s">
        <v>15</v>
      </c>
      <c r="B303" s="275"/>
      <c r="C303" s="282">
        <f>VLOOKUP(B304,A$1:F$33,2,FALSE)</f>
        <v>40970</v>
      </c>
      <c r="D303" s="282">
        <f>DATE(YEAR(C303),IF(MONTH(C303)&lt;=3,3,IF(MONTH(C303)&lt;=6,6,IF(MONTH(C303)&lt;=9,9,12))),IF(OR(MONTH(C303)&lt;=3,MONTH(C303)&gt;=10),31,30))</f>
        <v>40999</v>
      </c>
      <c r="E303" s="283">
        <f>D303-C303+1</f>
        <v>30</v>
      </c>
      <c r="F303" s="284">
        <f>VLOOKUP(D303,'FERC Interest Rate'!$A:$B,2,TRUE)</f>
        <v>3.2500000000000001E-2</v>
      </c>
      <c r="G303" s="167">
        <f>VLOOKUP(B304,$A$1:$F$33,5,FALSE)</f>
        <v>20000</v>
      </c>
      <c r="H303" s="167">
        <f t="shared" ref="H303:H311" si="127">G303*F303*(E303/(DATE(YEAR(D303),12,31)-DATE(YEAR(D303),1,1)+1))</f>
        <v>53.278688524590159</v>
      </c>
      <c r="I303" s="291">
        <v>0</v>
      </c>
      <c r="J303" s="286">
        <v>0</v>
      </c>
      <c r="K303" s="288">
        <f t="shared" ref="K303:K327" si="128">+SUM(I303:J303)</f>
        <v>0</v>
      </c>
      <c r="L303" s="286">
        <v>0</v>
      </c>
      <c r="M303" s="289">
        <f t="shared" ref="M303:M327" si="129">+SUM(K303:L303)</f>
        <v>0</v>
      </c>
      <c r="N303" s="290">
        <f t="shared" ref="N303:N327" si="130">+G303+H303+J303</f>
        <v>20053.278688524591</v>
      </c>
      <c r="O303" s="167">
        <f t="shared" ref="O303:O327" si="131">G303+H303-L303-I303</f>
        <v>20053.278688524591</v>
      </c>
    </row>
    <row r="304" spans="1:15" x14ac:dyDescent="0.2">
      <c r="A304" s="275" t="s">
        <v>38</v>
      </c>
      <c r="B304" s="276" t="s">
        <v>78</v>
      </c>
      <c r="C304" s="282">
        <f>D303+1</f>
        <v>41000</v>
      </c>
      <c r="D304" s="282">
        <f>EOMONTH(D303,3)</f>
        <v>41090</v>
      </c>
      <c r="E304" s="283">
        <f t="shared" ref="E304:E327" si="132">D304-C304+1</f>
        <v>91</v>
      </c>
      <c r="F304" s="284">
        <f>VLOOKUP(D304,'FERC Interest Rate'!$A:$B,2,TRUE)</f>
        <v>3.2500000000000001E-2</v>
      </c>
      <c r="G304" s="167">
        <f t="shared" ref="G304:G327" si="133">O303</f>
        <v>20053.278688524591</v>
      </c>
      <c r="H304" s="167">
        <f t="shared" si="127"/>
        <v>162.04254568664339</v>
      </c>
      <c r="I304" s="291">
        <v>0</v>
      </c>
      <c r="J304" s="286">
        <v>0</v>
      </c>
      <c r="K304" s="288">
        <f t="shared" si="128"/>
        <v>0</v>
      </c>
      <c r="L304" s="286">
        <v>0</v>
      </c>
      <c r="M304" s="289">
        <f t="shared" si="129"/>
        <v>0</v>
      </c>
      <c r="N304" s="290">
        <f t="shared" si="130"/>
        <v>20215.321234211235</v>
      </c>
      <c r="O304" s="167">
        <f t="shared" si="131"/>
        <v>20215.321234211235</v>
      </c>
    </row>
    <row r="305" spans="1:15" x14ac:dyDescent="0.2">
      <c r="A305" s="292"/>
      <c r="B305" s="283"/>
      <c r="C305" s="282">
        <f t="shared" ref="C305:C327" si="134">D304+1</f>
        <v>41091</v>
      </c>
      <c r="D305" s="282">
        <f t="shared" ref="D305:D327" si="135">EOMONTH(D304,3)</f>
        <v>41182</v>
      </c>
      <c r="E305" s="283">
        <f t="shared" si="132"/>
        <v>92</v>
      </c>
      <c r="F305" s="284">
        <f>VLOOKUP(D305,'FERC Interest Rate'!$A:$B,2,TRUE)</f>
        <v>3.2500000000000001E-2</v>
      </c>
      <c r="G305" s="167">
        <f t="shared" si="133"/>
        <v>20215.321234211235</v>
      </c>
      <c r="H305" s="167">
        <f t="shared" si="127"/>
        <v>165.14702319751802</v>
      </c>
      <c r="I305" s="291">
        <v>0</v>
      </c>
      <c r="J305" s="286">
        <v>0</v>
      </c>
      <c r="K305" s="288">
        <f t="shared" si="128"/>
        <v>0</v>
      </c>
      <c r="L305" s="286">
        <v>0</v>
      </c>
      <c r="M305" s="289">
        <f t="shared" si="129"/>
        <v>0</v>
      </c>
      <c r="N305" s="290">
        <f t="shared" si="130"/>
        <v>20380.468257408753</v>
      </c>
      <c r="O305" s="167">
        <f t="shared" si="131"/>
        <v>20380.468257408753</v>
      </c>
    </row>
    <row r="306" spans="1:15" x14ac:dyDescent="0.2">
      <c r="A306" s="292"/>
      <c r="B306" s="283"/>
      <c r="C306" s="282">
        <f t="shared" si="134"/>
        <v>41183</v>
      </c>
      <c r="D306" s="282">
        <f t="shared" si="135"/>
        <v>41274</v>
      </c>
      <c r="E306" s="283">
        <f t="shared" si="132"/>
        <v>92</v>
      </c>
      <c r="F306" s="284">
        <f>VLOOKUP(D306,'FERC Interest Rate'!$A:$B,2,TRUE)</f>
        <v>3.2500000000000001E-2</v>
      </c>
      <c r="G306" s="167">
        <f t="shared" si="133"/>
        <v>20380.468257408753</v>
      </c>
      <c r="H306" s="167">
        <f t="shared" si="127"/>
        <v>166.49617510833926</v>
      </c>
      <c r="I306" s="291">
        <v>0</v>
      </c>
      <c r="J306" s="286">
        <v>0</v>
      </c>
      <c r="K306" s="288">
        <f t="shared" si="128"/>
        <v>0</v>
      </c>
      <c r="L306" s="286">
        <v>0</v>
      </c>
      <c r="M306" s="289">
        <f t="shared" si="129"/>
        <v>0</v>
      </c>
      <c r="N306" s="290">
        <f t="shared" si="130"/>
        <v>20546.964432517092</v>
      </c>
      <c r="O306" s="167">
        <f t="shared" si="131"/>
        <v>20546.964432517092</v>
      </c>
    </row>
    <row r="307" spans="1:15" x14ac:dyDescent="0.2">
      <c r="A307" s="292"/>
      <c r="B307" s="283"/>
      <c r="C307" s="282">
        <f t="shared" si="134"/>
        <v>41275</v>
      </c>
      <c r="D307" s="282">
        <f t="shared" si="135"/>
        <v>41364</v>
      </c>
      <c r="E307" s="283">
        <f t="shared" si="132"/>
        <v>90</v>
      </c>
      <c r="F307" s="284">
        <f>VLOOKUP(D307,'FERC Interest Rate'!$A:$B,2,TRUE)</f>
        <v>3.2500000000000001E-2</v>
      </c>
      <c r="G307" s="167">
        <f t="shared" si="133"/>
        <v>20546.964432517092</v>
      </c>
      <c r="H307" s="167">
        <f t="shared" si="127"/>
        <v>164.65718072633561</v>
      </c>
      <c r="I307" s="291">
        <v>0</v>
      </c>
      <c r="J307" s="286">
        <v>0</v>
      </c>
      <c r="K307" s="288">
        <f t="shared" si="128"/>
        <v>0</v>
      </c>
      <c r="L307" s="286">
        <v>0</v>
      </c>
      <c r="M307" s="289">
        <f t="shared" si="129"/>
        <v>0</v>
      </c>
      <c r="N307" s="290">
        <f t="shared" si="130"/>
        <v>20711.621613243427</v>
      </c>
      <c r="O307" s="167">
        <f t="shared" si="131"/>
        <v>20711.621613243427</v>
      </c>
    </row>
    <row r="308" spans="1:15" x14ac:dyDescent="0.2">
      <c r="A308" s="292"/>
      <c r="B308" s="283"/>
      <c r="C308" s="282">
        <f t="shared" ref="C308:C313" si="136">D307+1</f>
        <v>41365</v>
      </c>
      <c r="D308" s="282">
        <f t="shared" si="135"/>
        <v>41455</v>
      </c>
      <c r="E308" s="283">
        <f t="shared" ref="E308:E313" si="137">D308-C308+1</f>
        <v>91</v>
      </c>
      <c r="F308" s="284">
        <f>VLOOKUP(D308,'FERC Interest Rate'!$A:$B,2,TRUE)</f>
        <v>3.2500000000000001E-2</v>
      </c>
      <c r="G308" s="167">
        <f t="shared" si="133"/>
        <v>20711.621613243427</v>
      </c>
      <c r="H308" s="167">
        <f t="shared" si="127"/>
        <v>167.82087923607517</v>
      </c>
      <c r="I308" s="291">
        <v>0</v>
      </c>
      <c r="J308" s="286">
        <v>0</v>
      </c>
      <c r="K308" s="288">
        <f t="shared" si="128"/>
        <v>0</v>
      </c>
      <c r="L308" s="286">
        <v>0</v>
      </c>
      <c r="M308" s="289">
        <f t="shared" si="129"/>
        <v>0</v>
      </c>
      <c r="N308" s="290">
        <f t="shared" si="130"/>
        <v>20879.442492479502</v>
      </c>
      <c r="O308" s="167">
        <f t="shared" si="131"/>
        <v>20879.442492479502</v>
      </c>
    </row>
    <row r="309" spans="1:15" x14ac:dyDescent="0.2">
      <c r="A309" s="292"/>
      <c r="B309" s="283"/>
      <c r="C309" s="282">
        <f t="shared" si="136"/>
        <v>41456</v>
      </c>
      <c r="D309" s="282">
        <f t="shared" si="135"/>
        <v>41547</v>
      </c>
      <c r="E309" s="283">
        <f t="shared" si="137"/>
        <v>92</v>
      </c>
      <c r="F309" s="284">
        <f>VLOOKUP(D309,'FERC Interest Rate'!$A:$B,2,TRUE)</f>
        <v>3.2500000000000001E-2</v>
      </c>
      <c r="G309" s="167">
        <f t="shared" si="133"/>
        <v>20879.442492479502</v>
      </c>
      <c r="H309" s="167">
        <f t="shared" si="127"/>
        <v>171.03981658222935</v>
      </c>
      <c r="I309" s="291">
        <v>0</v>
      </c>
      <c r="J309" s="286">
        <v>0</v>
      </c>
      <c r="K309" s="288">
        <f t="shared" si="128"/>
        <v>0</v>
      </c>
      <c r="L309" s="286">
        <v>0</v>
      </c>
      <c r="M309" s="289">
        <f t="shared" si="129"/>
        <v>0</v>
      </c>
      <c r="N309" s="290">
        <f t="shared" si="130"/>
        <v>21050.482309061732</v>
      </c>
      <c r="O309" s="167">
        <f t="shared" si="131"/>
        <v>21050.482309061732</v>
      </c>
    </row>
    <row r="310" spans="1:15" x14ac:dyDescent="0.2">
      <c r="A310" s="292"/>
      <c r="B310" s="283"/>
      <c r="C310" s="282">
        <f t="shared" si="136"/>
        <v>41548</v>
      </c>
      <c r="D310" s="282">
        <f t="shared" si="135"/>
        <v>41639</v>
      </c>
      <c r="E310" s="283">
        <f t="shared" si="137"/>
        <v>92</v>
      </c>
      <c r="F310" s="284">
        <f>VLOOKUP(D310,'FERC Interest Rate'!$A:$B,2,TRUE)</f>
        <v>3.2500000000000001E-2</v>
      </c>
      <c r="G310" s="167">
        <f t="shared" si="133"/>
        <v>21050.482309061732</v>
      </c>
      <c r="H310" s="167">
        <f t="shared" si="127"/>
        <v>172.44093727149203</v>
      </c>
      <c r="I310" s="291">
        <v>0</v>
      </c>
      <c r="J310" s="286">
        <v>0</v>
      </c>
      <c r="K310" s="288">
        <f t="shared" si="128"/>
        <v>0</v>
      </c>
      <c r="L310" s="286">
        <v>0</v>
      </c>
      <c r="M310" s="289">
        <f t="shared" si="129"/>
        <v>0</v>
      </c>
      <c r="N310" s="290">
        <f t="shared" si="130"/>
        <v>21222.923246333223</v>
      </c>
      <c r="O310" s="167">
        <f t="shared" si="131"/>
        <v>21222.923246333223</v>
      </c>
    </row>
    <row r="311" spans="1:15" x14ac:dyDescent="0.2">
      <c r="A311" s="96" t="s">
        <v>54</v>
      </c>
      <c r="B311" s="81" t="str">
        <f>+IF(MONTH(C311)&lt;4,"Q1",IF(MONTH(C311)&lt;7,"Q2",IF(MONTH(C311)&lt;10,"Q3","Q4")))&amp;"/"&amp;YEAR(C311)</f>
        <v>Q1/2014</v>
      </c>
      <c r="C311" s="82">
        <f t="shared" si="136"/>
        <v>41640</v>
      </c>
      <c r="D311" s="82">
        <f t="shared" si="135"/>
        <v>41729</v>
      </c>
      <c r="E311" s="81">
        <f t="shared" si="137"/>
        <v>90</v>
      </c>
      <c r="F311" s="83">
        <f>VLOOKUP(D311,'FERC Interest Rate'!$A:$B,2,TRUE)</f>
        <v>3.2500000000000001E-2</v>
      </c>
      <c r="G311" s="84">
        <f t="shared" si="133"/>
        <v>21222.923246333223</v>
      </c>
      <c r="H311" s="167">
        <f t="shared" si="127"/>
        <v>170.07411094664295</v>
      </c>
      <c r="I311" s="109">
        <f>(SUM($H$303:$H$327)/20)*4</f>
        <v>278.59947145597317</v>
      </c>
      <c r="J311" s="85">
        <v>0</v>
      </c>
      <c r="K311" s="129">
        <f t="shared" si="128"/>
        <v>278.59947145597317</v>
      </c>
      <c r="L311" s="85">
        <f>($G$303/20)*4</f>
        <v>4000</v>
      </c>
      <c r="M311" s="130">
        <f t="shared" si="129"/>
        <v>4278.5994714559729</v>
      </c>
      <c r="N311" s="8">
        <f t="shared" si="130"/>
        <v>21392.997357279866</v>
      </c>
      <c r="O311" s="84">
        <f t="shared" si="131"/>
        <v>17114.397885823892</v>
      </c>
    </row>
    <row r="312" spans="1:15" x14ac:dyDescent="0.2">
      <c r="A312" s="96" t="s">
        <v>55</v>
      </c>
      <c r="B312" s="81" t="str">
        <f>+IF(MONTH(C312)&lt;4,"Q1",IF(MONTH(C312)&lt;7,"Q2",IF(MONTH(C312)&lt;10,"Q3","Q4")))&amp;"/"&amp;YEAR(C312)</f>
        <v>Q2/2014</v>
      </c>
      <c r="C312" s="82">
        <f t="shared" si="136"/>
        <v>41730</v>
      </c>
      <c r="D312" s="82">
        <f t="shared" si="135"/>
        <v>41820</v>
      </c>
      <c r="E312" s="81">
        <f t="shared" si="137"/>
        <v>91</v>
      </c>
      <c r="F312" s="83">
        <f>VLOOKUP(D312,'FERC Interest Rate'!$A:$B,2,TRUE)</f>
        <v>3.2500000000000001E-2</v>
      </c>
      <c r="G312" s="84">
        <f t="shared" si="133"/>
        <v>17114.397885823892</v>
      </c>
      <c r="H312" s="84">
        <v>0</v>
      </c>
      <c r="I312" s="109">
        <f t="shared" ref="I312:I327" si="138">SUM($H$303:$H$327)/20</f>
        <v>69.649867863993293</v>
      </c>
      <c r="J312" s="85">
        <f t="shared" ref="J312:J327" si="139">G312*F312*(E312/(DATE(YEAR(D312),12,31)-DATE(YEAR(D312),1,1)+1))</f>
        <v>138.67351163650457</v>
      </c>
      <c r="K312" s="129">
        <f t="shared" si="128"/>
        <v>208.32337950049788</v>
      </c>
      <c r="L312" s="85">
        <f t="shared" ref="L312:L327" si="140">$G$303/20</f>
        <v>1000</v>
      </c>
      <c r="M312" s="130">
        <f t="shared" si="129"/>
        <v>1208.3233795004978</v>
      </c>
      <c r="N312" s="8">
        <f t="shared" si="130"/>
        <v>17253.071397460397</v>
      </c>
      <c r="O312" s="84">
        <f t="shared" si="131"/>
        <v>16044.748017959899</v>
      </c>
    </row>
    <row r="313" spans="1:15" x14ac:dyDescent="0.2">
      <c r="A313" s="96" t="s">
        <v>56</v>
      </c>
      <c r="B313" s="81" t="str">
        <f t="shared" ref="B313:B327" si="141">+IF(MONTH(C313)&lt;4,"Q1",IF(MONTH(C313)&lt;7,"Q2",IF(MONTH(C313)&lt;10,"Q3","Q4")))&amp;"/"&amp;YEAR(C313)</f>
        <v>Q3/2014</v>
      </c>
      <c r="C313" s="82">
        <f t="shared" si="136"/>
        <v>41821</v>
      </c>
      <c r="D313" s="82">
        <f t="shared" si="135"/>
        <v>41912</v>
      </c>
      <c r="E313" s="81">
        <f t="shared" si="137"/>
        <v>92</v>
      </c>
      <c r="F313" s="83">
        <f>VLOOKUP(D313,'FERC Interest Rate'!$A:$B,2,TRUE)</f>
        <v>3.2500000000000001E-2</v>
      </c>
      <c r="G313" s="84">
        <f t="shared" si="133"/>
        <v>16044.748017959899</v>
      </c>
      <c r="H313" s="84">
        <v>0</v>
      </c>
      <c r="I313" s="109">
        <f t="shared" si="138"/>
        <v>69.649867863993293</v>
      </c>
      <c r="J313" s="85">
        <f t="shared" si="139"/>
        <v>131.43505910602767</v>
      </c>
      <c r="K313" s="129">
        <f t="shared" si="128"/>
        <v>201.08492697002094</v>
      </c>
      <c r="L313" s="85">
        <f t="shared" si="140"/>
        <v>1000</v>
      </c>
      <c r="M313" s="130">
        <f t="shared" si="129"/>
        <v>1201.0849269700209</v>
      </c>
      <c r="N313" s="8">
        <f t="shared" si="130"/>
        <v>16176.183077065927</v>
      </c>
      <c r="O313" s="84">
        <f t="shared" si="131"/>
        <v>14975.098150095906</v>
      </c>
    </row>
    <row r="314" spans="1:15" x14ac:dyDescent="0.2">
      <c r="A314" s="96" t="s">
        <v>57</v>
      </c>
      <c r="B314" s="81" t="str">
        <f t="shared" si="141"/>
        <v>Q4/2014</v>
      </c>
      <c r="C314" s="82">
        <f t="shared" si="134"/>
        <v>41913</v>
      </c>
      <c r="D314" s="82">
        <f t="shared" si="135"/>
        <v>42004</v>
      </c>
      <c r="E314" s="81">
        <f t="shared" si="132"/>
        <v>92</v>
      </c>
      <c r="F314" s="83">
        <f>VLOOKUP(D314,'FERC Interest Rate'!$A:$B,2,TRUE)</f>
        <v>3.2500000000000001E-2</v>
      </c>
      <c r="G314" s="84">
        <f t="shared" si="133"/>
        <v>14975.098150095906</v>
      </c>
      <c r="H314" s="84">
        <v>0</v>
      </c>
      <c r="I314" s="109">
        <f t="shared" si="138"/>
        <v>69.649867863993293</v>
      </c>
      <c r="J314" s="85">
        <f t="shared" si="139"/>
        <v>122.67272183229251</v>
      </c>
      <c r="K314" s="129">
        <f t="shared" si="128"/>
        <v>192.3225896962858</v>
      </c>
      <c r="L314" s="85">
        <f t="shared" si="140"/>
        <v>1000</v>
      </c>
      <c r="M314" s="130">
        <f t="shared" si="129"/>
        <v>1192.3225896962858</v>
      </c>
      <c r="N314" s="8">
        <f t="shared" si="130"/>
        <v>15097.770871928198</v>
      </c>
      <c r="O314" s="84">
        <f t="shared" si="131"/>
        <v>13905.448282231913</v>
      </c>
    </row>
    <row r="315" spans="1:15" x14ac:dyDescent="0.2">
      <c r="A315" s="96" t="s">
        <v>58</v>
      </c>
      <c r="B315" s="81" t="str">
        <f t="shared" si="141"/>
        <v>Q1/2015</v>
      </c>
      <c r="C315" s="82">
        <f t="shared" si="134"/>
        <v>42005</v>
      </c>
      <c r="D315" s="82">
        <f t="shared" si="135"/>
        <v>42094</v>
      </c>
      <c r="E315" s="81">
        <f t="shared" si="132"/>
        <v>90</v>
      </c>
      <c r="F315" s="83">
        <f>VLOOKUP(D315,'FERC Interest Rate'!$A:$B,2,TRUE)</f>
        <v>3.2500000000000001E-2</v>
      </c>
      <c r="G315" s="84">
        <f t="shared" si="133"/>
        <v>13905.448282231913</v>
      </c>
      <c r="H315" s="84">
        <v>0</v>
      </c>
      <c r="I315" s="109">
        <f t="shared" si="138"/>
        <v>69.649867863993293</v>
      </c>
      <c r="J315" s="85">
        <f t="shared" si="139"/>
        <v>111.43407185076259</v>
      </c>
      <c r="K315" s="129">
        <f t="shared" si="128"/>
        <v>181.0839397147559</v>
      </c>
      <c r="L315" s="85">
        <f t="shared" si="140"/>
        <v>1000</v>
      </c>
      <c r="M315" s="130">
        <f t="shared" si="129"/>
        <v>1181.0839397147558</v>
      </c>
      <c r="N315" s="8">
        <f t="shared" si="130"/>
        <v>14016.882354082676</v>
      </c>
      <c r="O315" s="84">
        <f t="shared" si="131"/>
        <v>12835.79841436792</v>
      </c>
    </row>
    <row r="316" spans="1:15" x14ac:dyDescent="0.2">
      <c r="A316" s="96" t="s">
        <v>59</v>
      </c>
      <c r="B316" s="81" t="str">
        <f t="shared" si="141"/>
        <v>Q2/2015</v>
      </c>
      <c r="C316" s="82">
        <f t="shared" si="134"/>
        <v>42095</v>
      </c>
      <c r="D316" s="82">
        <f t="shared" si="135"/>
        <v>42185</v>
      </c>
      <c r="E316" s="81">
        <f t="shared" si="132"/>
        <v>91</v>
      </c>
      <c r="F316" s="83">
        <f>VLOOKUP(D316,'FERC Interest Rate'!$A:$B,2,TRUE)</f>
        <v>3.2500000000000001E-2</v>
      </c>
      <c r="G316" s="84">
        <f t="shared" si="133"/>
        <v>12835.79841436792</v>
      </c>
      <c r="H316" s="84">
        <v>0</v>
      </c>
      <c r="I316" s="109">
        <f t="shared" si="138"/>
        <v>69.649867863993293</v>
      </c>
      <c r="J316" s="85">
        <f t="shared" si="139"/>
        <v>104.00513372737844</v>
      </c>
      <c r="K316" s="129">
        <f t="shared" si="128"/>
        <v>173.65500159137173</v>
      </c>
      <c r="L316" s="85">
        <f t="shared" si="140"/>
        <v>1000</v>
      </c>
      <c r="M316" s="130">
        <f t="shared" si="129"/>
        <v>1173.6550015913717</v>
      </c>
      <c r="N316" s="8">
        <f t="shared" si="130"/>
        <v>12939.803548095299</v>
      </c>
      <c r="O316" s="84">
        <f t="shared" si="131"/>
        <v>11766.148546503928</v>
      </c>
    </row>
    <row r="317" spans="1:15" x14ac:dyDescent="0.2">
      <c r="A317" s="96" t="s">
        <v>60</v>
      </c>
      <c r="B317" s="81" t="str">
        <f t="shared" si="141"/>
        <v>Q3/2015</v>
      </c>
      <c r="C317" s="82">
        <f t="shared" si="134"/>
        <v>42186</v>
      </c>
      <c r="D317" s="82">
        <f t="shared" si="135"/>
        <v>42277</v>
      </c>
      <c r="E317" s="81">
        <f t="shared" si="132"/>
        <v>92</v>
      </c>
      <c r="F317" s="83">
        <f>VLOOKUP(D317,'FERC Interest Rate'!$A:$B,2,TRUE)</f>
        <v>3.2500000000000001E-2</v>
      </c>
      <c r="G317" s="84">
        <f t="shared" si="133"/>
        <v>11766.148546503928</v>
      </c>
      <c r="H317" s="84">
        <v>0</v>
      </c>
      <c r="I317" s="109">
        <f t="shared" si="138"/>
        <v>69.649867863993293</v>
      </c>
      <c r="J317" s="85">
        <f t="shared" si="139"/>
        <v>96.385710011086971</v>
      </c>
      <c r="K317" s="129">
        <f t="shared" si="128"/>
        <v>166.03557787508026</v>
      </c>
      <c r="L317" s="85">
        <f t="shared" si="140"/>
        <v>1000</v>
      </c>
      <c r="M317" s="130">
        <f t="shared" si="129"/>
        <v>1166.0355778750802</v>
      </c>
      <c r="N317" s="8">
        <f t="shared" si="130"/>
        <v>11862.534256515015</v>
      </c>
      <c r="O317" s="84">
        <f t="shared" si="131"/>
        <v>10696.498678639935</v>
      </c>
    </row>
    <row r="318" spans="1:15" x14ac:dyDescent="0.2">
      <c r="A318" s="96" t="s">
        <v>61</v>
      </c>
      <c r="B318" s="81" t="str">
        <f t="shared" si="141"/>
        <v>Q4/2015</v>
      </c>
      <c r="C318" s="82">
        <f t="shared" si="134"/>
        <v>42278</v>
      </c>
      <c r="D318" s="82">
        <f t="shared" si="135"/>
        <v>42369</v>
      </c>
      <c r="E318" s="81">
        <f t="shared" si="132"/>
        <v>92</v>
      </c>
      <c r="F318" s="83">
        <f>VLOOKUP(D318,'FERC Interest Rate'!$A:$B,2,TRUE)</f>
        <v>3.2500000000000001E-2</v>
      </c>
      <c r="G318" s="84">
        <f t="shared" si="133"/>
        <v>10696.498678639935</v>
      </c>
      <c r="H318" s="84">
        <v>0</v>
      </c>
      <c r="I318" s="109">
        <f t="shared" si="138"/>
        <v>69.649867863993293</v>
      </c>
      <c r="J318" s="85">
        <f t="shared" si="139"/>
        <v>87.623372737351815</v>
      </c>
      <c r="K318" s="129">
        <f t="shared" si="128"/>
        <v>157.27324060134509</v>
      </c>
      <c r="L318" s="85">
        <f t="shared" si="140"/>
        <v>1000</v>
      </c>
      <c r="M318" s="130">
        <f t="shared" si="129"/>
        <v>1157.2732406013452</v>
      </c>
      <c r="N318" s="8">
        <f t="shared" si="130"/>
        <v>10784.122051377286</v>
      </c>
      <c r="O318" s="84">
        <f t="shared" si="131"/>
        <v>9626.8488107759422</v>
      </c>
    </row>
    <row r="319" spans="1:15" x14ac:dyDescent="0.2">
      <c r="A319" s="96" t="s">
        <v>62</v>
      </c>
      <c r="B319" s="81" t="str">
        <f t="shared" si="141"/>
        <v>Q1/2016</v>
      </c>
      <c r="C319" s="82">
        <f t="shared" si="134"/>
        <v>42370</v>
      </c>
      <c r="D319" s="82">
        <f t="shared" si="135"/>
        <v>42460</v>
      </c>
      <c r="E319" s="81">
        <f t="shared" si="132"/>
        <v>91</v>
      </c>
      <c r="F319" s="83">
        <f>VLOOKUP(D319,'FERC Interest Rate'!$A:$B,2,TRUE)</f>
        <v>3.2500000000000001E-2</v>
      </c>
      <c r="G319" s="84">
        <f t="shared" si="133"/>
        <v>9626.8488107759422</v>
      </c>
      <c r="H319" s="84">
        <v>0</v>
      </c>
      <c r="I319" s="109">
        <f t="shared" si="138"/>
        <v>69.649867863993293</v>
      </c>
      <c r="J319" s="85">
        <f t="shared" si="139"/>
        <v>77.790725021502311</v>
      </c>
      <c r="K319" s="129">
        <f t="shared" si="128"/>
        <v>147.44059288549562</v>
      </c>
      <c r="L319" s="85">
        <f t="shared" si="140"/>
        <v>1000</v>
      </c>
      <c r="M319" s="130">
        <f t="shared" si="129"/>
        <v>1147.4405928854956</v>
      </c>
      <c r="N319" s="8">
        <f t="shared" si="130"/>
        <v>9704.6395357974452</v>
      </c>
      <c r="O319" s="84">
        <f t="shared" si="131"/>
        <v>8557.1989429119494</v>
      </c>
    </row>
    <row r="320" spans="1:15" x14ac:dyDescent="0.2">
      <c r="A320" s="96" t="s">
        <v>63</v>
      </c>
      <c r="B320" s="81" t="str">
        <f t="shared" si="141"/>
        <v>Q2/2016</v>
      </c>
      <c r="C320" s="82">
        <f t="shared" si="134"/>
        <v>42461</v>
      </c>
      <c r="D320" s="82">
        <f t="shared" si="135"/>
        <v>42551</v>
      </c>
      <c r="E320" s="81">
        <f t="shared" si="132"/>
        <v>91</v>
      </c>
      <c r="F320" s="83">
        <f>VLOOKUP(D320,'FERC Interest Rate'!$A:$B,2,TRUE)</f>
        <v>3.4599999999999999E-2</v>
      </c>
      <c r="G320" s="84">
        <f t="shared" si="133"/>
        <v>8557.1989429119494</v>
      </c>
      <c r="H320" s="84">
        <v>0</v>
      </c>
      <c r="I320" s="109">
        <f t="shared" si="138"/>
        <v>69.649867863993293</v>
      </c>
      <c r="J320" s="85">
        <f t="shared" si="139"/>
        <v>73.615291234023388</v>
      </c>
      <c r="K320" s="129">
        <f t="shared" si="128"/>
        <v>143.26515909801668</v>
      </c>
      <c r="L320" s="85">
        <f t="shared" si="140"/>
        <v>1000</v>
      </c>
      <c r="M320" s="130">
        <f t="shared" si="129"/>
        <v>1143.2651590980167</v>
      </c>
      <c r="N320" s="8">
        <f t="shared" si="130"/>
        <v>8630.8142341459734</v>
      </c>
      <c r="O320" s="84">
        <f t="shared" si="131"/>
        <v>7487.5490750479557</v>
      </c>
    </row>
    <row r="321" spans="1:15" x14ac:dyDescent="0.2">
      <c r="A321" s="96" t="s">
        <v>64</v>
      </c>
      <c r="B321" s="81" t="str">
        <f t="shared" si="141"/>
        <v>Q3/2016</v>
      </c>
      <c r="C321" s="82">
        <f t="shared" si="134"/>
        <v>42552</v>
      </c>
      <c r="D321" s="82">
        <f t="shared" si="135"/>
        <v>42643</v>
      </c>
      <c r="E321" s="81">
        <f t="shared" si="132"/>
        <v>92</v>
      </c>
      <c r="F321" s="83">
        <f>VLOOKUP(D321,'FERC Interest Rate'!$A:$B,2,TRUE)</f>
        <v>3.5000000000000003E-2</v>
      </c>
      <c r="G321" s="84">
        <f t="shared" si="133"/>
        <v>7487.5490750479557</v>
      </c>
      <c r="H321" s="84">
        <v>0</v>
      </c>
      <c r="I321" s="109">
        <f t="shared" si="138"/>
        <v>69.649867863993293</v>
      </c>
      <c r="J321" s="85">
        <f t="shared" si="139"/>
        <v>65.874065632935583</v>
      </c>
      <c r="K321" s="129">
        <f t="shared" si="128"/>
        <v>135.52393349692886</v>
      </c>
      <c r="L321" s="85">
        <f t="shared" si="140"/>
        <v>1000</v>
      </c>
      <c r="M321" s="130">
        <f t="shared" si="129"/>
        <v>1135.5239334969287</v>
      </c>
      <c r="N321" s="8">
        <f t="shared" si="130"/>
        <v>7553.4231406808913</v>
      </c>
      <c r="O321" s="84">
        <f t="shared" si="131"/>
        <v>6417.8992071839621</v>
      </c>
    </row>
    <row r="322" spans="1:15" x14ac:dyDescent="0.2">
      <c r="A322" s="96" t="s">
        <v>65</v>
      </c>
      <c r="B322" s="81" t="str">
        <f t="shared" si="141"/>
        <v>Q4/2016</v>
      </c>
      <c r="C322" s="82">
        <f t="shared" si="134"/>
        <v>42644</v>
      </c>
      <c r="D322" s="82">
        <f t="shared" si="135"/>
        <v>42735</v>
      </c>
      <c r="E322" s="81">
        <f t="shared" si="132"/>
        <v>92</v>
      </c>
      <c r="F322" s="83">
        <f>VLOOKUP(D322,'FERC Interest Rate'!$A:$B,2,TRUE)</f>
        <v>3.5000000000000003E-2</v>
      </c>
      <c r="G322" s="84">
        <f t="shared" si="133"/>
        <v>6417.8992071839621</v>
      </c>
      <c r="H322" s="84">
        <v>0</v>
      </c>
      <c r="I322" s="109">
        <f t="shared" si="138"/>
        <v>69.649867863993293</v>
      </c>
      <c r="J322" s="85">
        <f t="shared" si="139"/>
        <v>56.463484828230492</v>
      </c>
      <c r="K322" s="129">
        <f t="shared" si="128"/>
        <v>126.11335269222378</v>
      </c>
      <c r="L322" s="85">
        <f t="shared" si="140"/>
        <v>1000</v>
      </c>
      <c r="M322" s="130">
        <f t="shared" si="129"/>
        <v>1126.1133526922238</v>
      </c>
      <c r="N322" s="8">
        <f t="shared" si="130"/>
        <v>6474.3626920121924</v>
      </c>
      <c r="O322" s="84">
        <f t="shared" si="131"/>
        <v>5348.2493393199684</v>
      </c>
    </row>
    <row r="323" spans="1:15" x14ac:dyDescent="0.2">
      <c r="A323" s="96" t="s">
        <v>66</v>
      </c>
      <c r="B323" s="81" t="str">
        <f t="shared" si="141"/>
        <v>Q1/2017</v>
      </c>
      <c r="C323" s="82">
        <f t="shared" si="134"/>
        <v>42736</v>
      </c>
      <c r="D323" s="82">
        <f t="shared" si="135"/>
        <v>42825</v>
      </c>
      <c r="E323" s="81">
        <f t="shared" si="132"/>
        <v>90</v>
      </c>
      <c r="F323" s="83">
        <f>VLOOKUP(D323,'FERC Interest Rate'!$A:$B,2,TRUE)</f>
        <v>3.5000000000000003E-2</v>
      </c>
      <c r="G323" s="84">
        <f t="shared" si="133"/>
        <v>5348.2493393199684</v>
      </c>
      <c r="H323" s="84">
        <v>0</v>
      </c>
      <c r="I323" s="109">
        <f t="shared" si="138"/>
        <v>69.649867863993293</v>
      </c>
      <c r="J323" s="85">
        <f t="shared" si="139"/>
        <v>46.15612443522712</v>
      </c>
      <c r="K323" s="129">
        <f t="shared" si="128"/>
        <v>115.80599229922041</v>
      </c>
      <c r="L323" s="85">
        <f t="shared" si="140"/>
        <v>1000</v>
      </c>
      <c r="M323" s="130">
        <f t="shared" si="129"/>
        <v>1115.8059922992204</v>
      </c>
      <c r="N323" s="8">
        <f t="shared" si="130"/>
        <v>5394.4054637551953</v>
      </c>
      <c r="O323" s="84">
        <f t="shared" si="131"/>
        <v>4278.5994714559747</v>
      </c>
    </row>
    <row r="324" spans="1:15" x14ac:dyDescent="0.2">
      <c r="A324" s="96" t="s">
        <v>67</v>
      </c>
      <c r="B324" s="81" t="str">
        <f t="shared" si="141"/>
        <v>Q2/2017</v>
      </c>
      <c r="C324" s="82">
        <f t="shared" si="134"/>
        <v>42826</v>
      </c>
      <c r="D324" s="82">
        <f t="shared" si="135"/>
        <v>42916</v>
      </c>
      <c r="E324" s="81">
        <f t="shared" si="132"/>
        <v>91</v>
      </c>
      <c r="F324" s="83">
        <f>VLOOKUP(D324,'FERC Interest Rate'!$A:$B,2,TRUE)</f>
        <v>3.7100000000000001E-2</v>
      </c>
      <c r="G324" s="84">
        <f t="shared" si="133"/>
        <v>4278.5994714559747</v>
      </c>
      <c r="H324" s="84">
        <v>0</v>
      </c>
      <c r="I324" s="109">
        <f t="shared" si="138"/>
        <v>69.649867863993293</v>
      </c>
      <c r="J324" s="85">
        <f t="shared" si="139"/>
        <v>39.575286782417855</v>
      </c>
      <c r="K324" s="129">
        <f t="shared" si="128"/>
        <v>109.22515464641114</v>
      </c>
      <c r="L324" s="85">
        <f t="shared" si="140"/>
        <v>1000</v>
      </c>
      <c r="M324" s="130">
        <f t="shared" si="129"/>
        <v>1109.2251546464111</v>
      </c>
      <c r="N324" s="8">
        <f t="shared" si="130"/>
        <v>4318.1747582383923</v>
      </c>
      <c r="O324" s="84">
        <f t="shared" si="131"/>
        <v>3208.9496035919815</v>
      </c>
    </row>
    <row r="325" spans="1:15" x14ac:dyDescent="0.2">
      <c r="A325" s="96" t="s">
        <v>68</v>
      </c>
      <c r="B325" s="81" t="str">
        <f t="shared" si="141"/>
        <v>Q3/2017</v>
      </c>
      <c r="C325" s="82">
        <f t="shared" si="134"/>
        <v>42917</v>
      </c>
      <c r="D325" s="82">
        <f t="shared" si="135"/>
        <v>43008</v>
      </c>
      <c r="E325" s="81">
        <f t="shared" si="132"/>
        <v>92</v>
      </c>
      <c r="F325" s="83">
        <f>VLOOKUP(D325,'FERC Interest Rate'!$A:$B,2,TRUE)</f>
        <v>3.9600000000000003E-2</v>
      </c>
      <c r="G325" s="84">
        <f t="shared" si="133"/>
        <v>3208.9496035919815</v>
      </c>
      <c r="H325" s="84">
        <v>0</v>
      </c>
      <c r="I325" s="109">
        <f t="shared" si="138"/>
        <v>69.649867863993293</v>
      </c>
      <c r="J325" s="85">
        <f t="shared" si="139"/>
        <v>32.029712865222763</v>
      </c>
      <c r="K325" s="129">
        <f t="shared" si="128"/>
        <v>101.67958072921606</v>
      </c>
      <c r="L325" s="85">
        <f t="shared" si="140"/>
        <v>1000</v>
      </c>
      <c r="M325" s="130">
        <f t="shared" si="129"/>
        <v>1101.679580729216</v>
      </c>
      <c r="N325" s="8">
        <f t="shared" si="130"/>
        <v>3240.9793164572043</v>
      </c>
      <c r="O325" s="84">
        <f t="shared" si="131"/>
        <v>2139.2997357279883</v>
      </c>
    </row>
    <row r="326" spans="1:15" x14ac:dyDescent="0.2">
      <c r="A326" s="96" t="s">
        <v>69</v>
      </c>
      <c r="B326" s="81" t="str">
        <f t="shared" si="141"/>
        <v>Q4/2017</v>
      </c>
      <c r="C326" s="82">
        <f t="shared" si="134"/>
        <v>43009</v>
      </c>
      <c r="D326" s="82">
        <f t="shared" si="135"/>
        <v>43100</v>
      </c>
      <c r="E326" s="81">
        <f t="shared" si="132"/>
        <v>92</v>
      </c>
      <c r="F326" s="83">
        <f>VLOOKUP(D326,'FERC Interest Rate'!$A:$B,2,TRUE)</f>
        <v>4.2099999999999999E-2</v>
      </c>
      <c r="G326" s="84">
        <f t="shared" si="133"/>
        <v>2139.2997357279883</v>
      </c>
      <c r="H326" s="84">
        <v>0</v>
      </c>
      <c r="I326" s="109">
        <f t="shared" si="138"/>
        <v>69.649867863993293</v>
      </c>
      <c r="J326" s="85">
        <f t="shared" si="139"/>
        <v>22.701193798415463</v>
      </c>
      <c r="K326" s="129">
        <f t="shared" si="128"/>
        <v>92.351061662408753</v>
      </c>
      <c r="L326" s="85">
        <f t="shared" si="140"/>
        <v>1000</v>
      </c>
      <c r="M326" s="130">
        <f t="shared" si="129"/>
        <v>1092.3510616624087</v>
      </c>
      <c r="N326" s="8">
        <f t="shared" si="130"/>
        <v>2162.0009295264035</v>
      </c>
      <c r="O326" s="84">
        <f t="shared" si="131"/>
        <v>1069.649867863995</v>
      </c>
    </row>
    <row r="327" spans="1:15" x14ac:dyDescent="0.2">
      <c r="A327" s="96" t="s">
        <v>70</v>
      </c>
      <c r="B327" s="81" t="str">
        <f t="shared" si="141"/>
        <v>Q1/2018</v>
      </c>
      <c r="C327" s="82">
        <f t="shared" si="134"/>
        <v>43101</v>
      </c>
      <c r="D327" s="82">
        <f t="shared" si="135"/>
        <v>43190</v>
      </c>
      <c r="E327" s="81">
        <f t="shared" si="132"/>
        <v>90</v>
      </c>
      <c r="F327" s="83">
        <f>VLOOKUP(D327,'FERC Interest Rate'!$A:$B,2,TRUE)</f>
        <v>4.2500000000000003E-2</v>
      </c>
      <c r="G327" s="84">
        <f t="shared" si="133"/>
        <v>1069.649867863995</v>
      </c>
      <c r="H327" s="84">
        <v>0</v>
      </c>
      <c r="I327" s="109">
        <f t="shared" si="138"/>
        <v>69.649867863993293</v>
      </c>
      <c r="J327" s="85">
        <f t="shared" si="139"/>
        <v>11.209344505698031</v>
      </c>
      <c r="K327" s="129">
        <f t="shared" si="128"/>
        <v>80.859212369691321</v>
      </c>
      <c r="L327" s="85">
        <f t="shared" si="140"/>
        <v>1000</v>
      </c>
      <c r="M327" s="130">
        <f t="shared" si="129"/>
        <v>1080.8592123696912</v>
      </c>
      <c r="N327" s="8">
        <f t="shared" si="130"/>
        <v>1080.8592123696931</v>
      </c>
      <c r="O327" s="84">
        <f t="shared" si="131"/>
        <v>1.7479351299698465E-12</v>
      </c>
    </row>
    <row r="328" spans="1:15" x14ac:dyDescent="0.2">
      <c r="A328" s="96"/>
      <c r="B328" s="81"/>
      <c r="C328" s="82"/>
      <c r="D328" s="82"/>
      <c r="E328" s="81"/>
      <c r="F328" s="83"/>
      <c r="G328" s="84"/>
      <c r="H328" s="84"/>
      <c r="I328" s="109"/>
      <c r="J328" s="85"/>
      <c r="K328" s="129"/>
      <c r="L328" s="85"/>
      <c r="M328" s="130"/>
      <c r="N328" s="8"/>
      <c r="O328" s="84"/>
    </row>
    <row r="329" spans="1:15" ht="13.5" thickBot="1" x14ac:dyDescent="0.25">
      <c r="A329" s="151"/>
      <c r="B329" s="152"/>
      <c r="C329" s="153"/>
      <c r="D329" s="153"/>
      <c r="E329" s="154"/>
      <c r="F329" s="152"/>
      <c r="G329" s="140">
        <f>+SUM(G303:G328)</f>
        <v>330532.88430328266</v>
      </c>
      <c r="H329" s="140">
        <f t="shared" ref="H329:O329" si="142">+SUM(H303:H328)</f>
        <v>1392.9973572798658</v>
      </c>
      <c r="I329" s="141">
        <f t="shared" si="142"/>
        <v>1392.9973572798658</v>
      </c>
      <c r="J329" s="140">
        <f t="shared" si="142"/>
        <v>1217.6448100050777</v>
      </c>
      <c r="K329" s="140">
        <f t="shared" si="142"/>
        <v>2610.6421672849438</v>
      </c>
      <c r="L329" s="140">
        <f t="shared" si="142"/>
        <v>20000</v>
      </c>
      <c r="M329" s="142">
        <f t="shared" si="142"/>
        <v>22610.642167284939</v>
      </c>
      <c r="N329" s="140">
        <f t="shared" si="142"/>
        <v>333143.52647056774</v>
      </c>
      <c r="O329" s="140">
        <f t="shared" si="142"/>
        <v>310532.88430328266</v>
      </c>
    </row>
    <row r="330" spans="1:15" ht="13.5" thickTop="1" x14ac:dyDescent="0.2">
      <c r="B330" s="117"/>
      <c r="C330" s="117"/>
      <c r="D330" s="117"/>
      <c r="E330" s="117"/>
      <c r="F330" s="117"/>
      <c r="G330" s="117"/>
      <c r="H330" s="117"/>
      <c r="I330" s="116"/>
      <c r="J330" s="117"/>
      <c r="K330" s="117"/>
      <c r="L330" s="117"/>
      <c r="M330" s="131"/>
      <c r="O330" s="117"/>
    </row>
    <row r="331" spans="1:15" ht="38.25" x14ac:dyDescent="0.2">
      <c r="A331" s="90" t="s">
        <v>53</v>
      </c>
      <c r="B331" s="90" t="s">
        <v>3</v>
      </c>
      <c r="C331" s="90" t="s">
        <v>4</v>
      </c>
      <c r="D331" s="90" t="s">
        <v>5</v>
      </c>
      <c r="E331" s="90" t="s">
        <v>6</v>
      </c>
      <c r="F331" s="90" t="s">
        <v>7</v>
      </c>
      <c r="G331" s="90" t="s">
        <v>93</v>
      </c>
      <c r="H331" s="90" t="s">
        <v>94</v>
      </c>
      <c r="I331" s="105" t="s">
        <v>95</v>
      </c>
      <c r="J331" s="106" t="s">
        <v>96</v>
      </c>
      <c r="K331" s="106" t="s">
        <v>97</v>
      </c>
      <c r="L331" s="106" t="s">
        <v>98</v>
      </c>
      <c r="M331" s="107" t="s">
        <v>99</v>
      </c>
      <c r="N331" s="90" t="s">
        <v>100</v>
      </c>
      <c r="O331" s="90" t="s">
        <v>101</v>
      </c>
    </row>
    <row r="332" spans="1:15" x14ac:dyDescent="0.2">
      <c r="A332" s="275" t="s">
        <v>15</v>
      </c>
      <c r="B332" s="275"/>
      <c r="C332" s="282">
        <f>VLOOKUP(B333,A$1:F$33,2,FALSE)</f>
        <v>40998</v>
      </c>
      <c r="D332" s="282">
        <f>DATE(YEAR(C332),IF(MONTH(C332)&lt;=3,3,IF(MONTH(C332)&lt;=6,6,IF(MONTH(C332)&lt;=9,9,12))),IF(OR(MONTH(C332)&lt;=3,MONTH(C332)&gt;=10),31,30))</f>
        <v>40999</v>
      </c>
      <c r="E332" s="283">
        <f>D332-C332+1</f>
        <v>2</v>
      </c>
      <c r="F332" s="284">
        <f>VLOOKUP(D332,'FERC Interest Rate'!$A:$B,2,TRUE)</f>
        <v>3.2500000000000001E-2</v>
      </c>
      <c r="G332" s="167">
        <f>VLOOKUP(B333,$A$1:$F$33,5,FALSE)</f>
        <v>20000</v>
      </c>
      <c r="H332" s="167">
        <f t="shared" ref="H332:H340" si="143">G332*F332*(E332/(DATE(YEAR(D332),12,31)-DATE(YEAR(D332),1,1)+1))</f>
        <v>3.5519125683060109</v>
      </c>
      <c r="I332" s="291">
        <v>0</v>
      </c>
      <c r="J332" s="286">
        <v>0</v>
      </c>
      <c r="K332" s="288">
        <f t="shared" ref="K332:K356" si="144">+SUM(I332:J332)</f>
        <v>0</v>
      </c>
      <c r="L332" s="286">
        <v>0</v>
      </c>
      <c r="M332" s="289">
        <f t="shared" ref="M332:M356" si="145">+SUM(K332:L332)</f>
        <v>0</v>
      </c>
      <c r="N332" s="290">
        <f t="shared" ref="N332:N356" si="146">+G332+H332+J332</f>
        <v>20003.551912568306</v>
      </c>
      <c r="O332" s="167">
        <f t="shared" ref="O332:O356" si="147">G332+H332-L332-I332</f>
        <v>20003.551912568306</v>
      </c>
    </row>
    <row r="333" spans="1:15" x14ac:dyDescent="0.2">
      <c r="A333" s="275" t="s">
        <v>38</v>
      </c>
      <c r="B333" s="276" t="s">
        <v>79</v>
      </c>
      <c r="C333" s="282">
        <f>D332+1</f>
        <v>41000</v>
      </c>
      <c r="D333" s="282">
        <f>EOMONTH(D332,3)</f>
        <v>41090</v>
      </c>
      <c r="E333" s="283">
        <f t="shared" ref="E333:E356" si="148">D333-C333+1</f>
        <v>91</v>
      </c>
      <c r="F333" s="284">
        <f>VLOOKUP(D333,'FERC Interest Rate'!$A:$B,2,TRUE)</f>
        <v>3.2500000000000001E-2</v>
      </c>
      <c r="G333" s="167">
        <f t="shared" ref="G333:G356" si="149">O332</f>
        <v>20003.551912568306</v>
      </c>
      <c r="H333" s="167">
        <f t="shared" si="143"/>
        <v>161.64072344650481</v>
      </c>
      <c r="I333" s="291">
        <v>0</v>
      </c>
      <c r="J333" s="286">
        <v>0</v>
      </c>
      <c r="K333" s="288">
        <f t="shared" si="144"/>
        <v>0</v>
      </c>
      <c r="L333" s="286">
        <v>0</v>
      </c>
      <c r="M333" s="289">
        <f t="shared" si="145"/>
        <v>0</v>
      </c>
      <c r="N333" s="290">
        <f t="shared" si="146"/>
        <v>20165.19263601481</v>
      </c>
      <c r="O333" s="167">
        <f t="shared" si="147"/>
        <v>20165.19263601481</v>
      </c>
    </row>
    <row r="334" spans="1:15" x14ac:dyDescent="0.2">
      <c r="A334" s="292"/>
      <c r="B334" s="283"/>
      <c r="C334" s="282">
        <f t="shared" ref="C334:C356" si="150">D333+1</f>
        <v>41091</v>
      </c>
      <c r="D334" s="282">
        <f t="shared" ref="D334:D356" si="151">EOMONTH(D333,3)</f>
        <v>41182</v>
      </c>
      <c r="E334" s="283">
        <f t="shared" si="148"/>
        <v>92</v>
      </c>
      <c r="F334" s="284">
        <f>VLOOKUP(D334,'FERC Interest Rate'!$A:$B,2,TRUE)</f>
        <v>3.2500000000000001E-2</v>
      </c>
      <c r="G334" s="167">
        <f t="shared" si="149"/>
        <v>20165.19263601481</v>
      </c>
      <c r="H334" s="167">
        <f t="shared" si="143"/>
        <v>164.73750268219752</v>
      </c>
      <c r="I334" s="291">
        <v>0</v>
      </c>
      <c r="J334" s="286">
        <v>0</v>
      </c>
      <c r="K334" s="288">
        <f t="shared" si="144"/>
        <v>0</v>
      </c>
      <c r="L334" s="286">
        <v>0</v>
      </c>
      <c r="M334" s="289">
        <f t="shared" si="145"/>
        <v>0</v>
      </c>
      <c r="N334" s="290">
        <f t="shared" si="146"/>
        <v>20329.930138697007</v>
      </c>
      <c r="O334" s="167">
        <f t="shared" si="147"/>
        <v>20329.930138697007</v>
      </c>
    </row>
    <row r="335" spans="1:15" x14ac:dyDescent="0.2">
      <c r="A335" s="292"/>
      <c r="B335" s="283"/>
      <c r="C335" s="282">
        <f t="shared" si="150"/>
        <v>41183</v>
      </c>
      <c r="D335" s="282">
        <f t="shared" si="151"/>
        <v>41274</v>
      </c>
      <c r="E335" s="283">
        <f t="shared" si="148"/>
        <v>92</v>
      </c>
      <c r="F335" s="284">
        <f>VLOOKUP(D335,'FERC Interest Rate'!$A:$B,2,TRUE)</f>
        <v>3.2500000000000001E-2</v>
      </c>
      <c r="G335" s="167">
        <f t="shared" si="149"/>
        <v>20329.930138697007</v>
      </c>
      <c r="H335" s="167">
        <f t="shared" si="143"/>
        <v>166.08330905656845</v>
      </c>
      <c r="I335" s="291">
        <v>0</v>
      </c>
      <c r="J335" s="286">
        <v>0</v>
      </c>
      <c r="K335" s="288">
        <f t="shared" si="144"/>
        <v>0</v>
      </c>
      <c r="L335" s="286">
        <v>0</v>
      </c>
      <c r="M335" s="289">
        <f t="shared" si="145"/>
        <v>0</v>
      </c>
      <c r="N335" s="290">
        <f t="shared" si="146"/>
        <v>20496.013447753576</v>
      </c>
      <c r="O335" s="167">
        <f t="shared" si="147"/>
        <v>20496.013447753576</v>
      </c>
    </row>
    <row r="336" spans="1:15" x14ac:dyDescent="0.2">
      <c r="A336" s="292"/>
      <c r="B336" s="283"/>
      <c r="C336" s="282">
        <f t="shared" si="150"/>
        <v>41275</v>
      </c>
      <c r="D336" s="282">
        <f t="shared" si="151"/>
        <v>41364</v>
      </c>
      <c r="E336" s="283">
        <f t="shared" si="148"/>
        <v>90</v>
      </c>
      <c r="F336" s="284">
        <f>VLOOKUP(D336,'FERC Interest Rate'!$A:$B,2,TRUE)</f>
        <v>3.2500000000000001E-2</v>
      </c>
      <c r="G336" s="167">
        <f t="shared" si="149"/>
        <v>20496.013447753576</v>
      </c>
      <c r="H336" s="167">
        <f t="shared" si="143"/>
        <v>164.24887488953206</v>
      </c>
      <c r="I336" s="291">
        <v>0</v>
      </c>
      <c r="J336" s="286">
        <v>0</v>
      </c>
      <c r="K336" s="288">
        <f t="shared" si="144"/>
        <v>0</v>
      </c>
      <c r="L336" s="286">
        <v>0</v>
      </c>
      <c r="M336" s="289">
        <f t="shared" si="145"/>
        <v>0</v>
      </c>
      <c r="N336" s="290">
        <f t="shared" si="146"/>
        <v>20660.262322643106</v>
      </c>
      <c r="O336" s="167">
        <f t="shared" si="147"/>
        <v>20660.262322643106</v>
      </c>
    </row>
    <row r="337" spans="1:15" x14ac:dyDescent="0.2">
      <c r="A337" s="292"/>
      <c r="B337" s="283"/>
      <c r="C337" s="282">
        <f t="shared" ref="C337:C342" si="152">D336+1</f>
        <v>41365</v>
      </c>
      <c r="D337" s="282">
        <f t="shared" si="151"/>
        <v>41455</v>
      </c>
      <c r="E337" s="283">
        <f t="shared" ref="E337:E342" si="153">D337-C337+1</f>
        <v>91</v>
      </c>
      <c r="F337" s="284">
        <f>VLOOKUP(D337,'FERC Interest Rate'!$A:$B,2,TRUE)</f>
        <v>3.2500000000000001E-2</v>
      </c>
      <c r="G337" s="167">
        <f t="shared" si="149"/>
        <v>20660.262322643106</v>
      </c>
      <c r="H337" s="167">
        <f t="shared" si="143"/>
        <v>167.40472827182737</v>
      </c>
      <c r="I337" s="291">
        <v>0</v>
      </c>
      <c r="J337" s="286">
        <v>0</v>
      </c>
      <c r="K337" s="288">
        <f t="shared" si="144"/>
        <v>0</v>
      </c>
      <c r="L337" s="286">
        <v>0</v>
      </c>
      <c r="M337" s="289">
        <f t="shared" si="145"/>
        <v>0</v>
      </c>
      <c r="N337" s="290">
        <f t="shared" si="146"/>
        <v>20827.667050914933</v>
      </c>
      <c r="O337" s="167">
        <f t="shared" si="147"/>
        <v>20827.667050914933</v>
      </c>
    </row>
    <row r="338" spans="1:15" x14ac:dyDescent="0.2">
      <c r="A338" s="292"/>
      <c r="B338" s="283"/>
      <c r="C338" s="282">
        <f t="shared" si="152"/>
        <v>41456</v>
      </c>
      <c r="D338" s="282">
        <f t="shared" si="151"/>
        <v>41547</v>
      </c>
      <c r="E338" s="283">
        <f t="shared" si="153"/>
        <v>92</v>
      </c>
      <c r="F338" s="284">
        <f>VLOOKUP(D338,'FERC Interest Rate'!$A:$B,2,TRUE)</f>
        <v>3.2500000000000001E-2</v>
      </c>
      <c r="G338" s="167">
        <f t="shared" si="149"/>
        <v>20827.667050914933</v>
      </c>
      <c r="H338" s="167">
        <f t="shared" si="143"/>
        <v>170.61568351297441</v>
      </c>
      <c r="I338" s="291">
        <v>0</v>
      </c>
      <c r="J338" s="286">
        <v>0</v>
      </c>
      <c r="K338" s="288">
        <f t="shared" si="144"/>
        <v>0</v>
      </c>
      <c r="L338" s="286">
        <v>0</v>
      </c>
      <c r="M338" s="289">
        <f t="shared" si="145"/>
        <v>0</v>
      </c>
      <c r="N338" s="290">
        <f t="shared" si="146"/>
        <v>20998.282734427907</v>
      </c>
      <c r="O338" s="167">
        <f t="shared" si="147"/>
        <v>20998.282734427907</v>
      </c>
    </row>
    <row r="339" spans="1:15" x14ac:dyDescent="0.2">
      <c r="A339" s="292"/>
      <c r="B339" s="283"/>
      <c r="C339" s="282">
        <f t="shared" si="152"/>
        <v>41548</v>
      </c>
      <c r="D339" s="282">
        <f t="shared" si="151"/>
        <v>41639</v>
      </c>
      <c r="E339" s="283">
        <f t="shared" si="153"/>
        <v>92</v>
      </c>
      <c r="F339" s="284">
        <f>VLOOKUP(D339,'FERC Interest Rate'!$A:$B,2,TRUE)</f>
        <v>3.2500000000000001E-2</v>
      </c>
      <c r="G339" s="167">
        <f t="shared" si="149"/>
        <v>20998.282734427907</v>
      </c>
      <c r="H339" s="167">
        <f t="shared" si="143"/>
        <v>172.01332979709437</v>
      </c>
      <c r="I339" s="291">
        <v>0</v>
      </c>
      <c r="J339" s="286">
        <v>0</v>
      </c>
      <c r="K339" s="288">
        <f t="shared" si="144"/>
        <v>0</v>
      </c>
      <c r="L339" s="286">
        <v>0</v>
      </c>
      <c r="M339" s="289">
        <f t="shared" si="145"/>
        <v>0</v>
      </c>
      <c r="N339" s="290">
        <f t="shared" si="146"/>
        <v>21170.296064225</v>
      </c>
      <c r="O339" s="167">
        <f t="shared" si="147"/>
        <v>21170.296064225</v>
      </c>
    </row>
    <row r="340" spans="1:15" x14ac:dyDescent="0.2">
      <c r="A340" s="96" t="s">
        <v>54</v>
      </c>
      <c r="B340" s="81" t="str">
        <f>+IF(MONTH(C340)&lt;4,"Q1",IF(MONTH(C340)&lt;7,"Q2",IF(MONTH(C340)&lt;10,"Q3","Q4")))&amp;"/"&amp;YEAR(C340)</f>
        <v>Q1/2014</v>
      </c>
      <c r="C340" s="82">
        <f t="shared" si="152"/>
        <v>41640</v>
      </c>
      <c r="D340" s="82">
        <f t="shared" si="151"/>
        <v>41729</v>
      </c>
      <c r="E340" s="81">
        <f t="shared" si="153"/>
        <v>90</v>
      </c>
      <c r="F340" s="83">
        <f>VLOOKUP(D340,'FERC Interest Rate'!$A:$B,2,TRUE)</f>
        <v>3.2500000000000001E-2</v>
      </c>
      <c r="G340" s="84">
        <f t="shared" si="149"/>
        <v>21170.296064225</v>
      </c>
      <c r="H340" s="167">
        <f t="shared" si="143"/>
        <v>169.65237256947432</v>
      </c>
      <c r="I340" s="109">
        <f>(SUM($H$332:$H$356)/20)*4</f>
        <v>267.98968735889582</v>
      </c>
      <c r="J340" s="85">
        <v>0</v>
      </c>
      <c r="K340" s="129">
        <f t="shared" si="144"/>
        <v>267.98968735889582</v>
      </c>
      <c r="L340" s="85">
        <f>($G$332/20)*4</f>
        <v>4000</v>
      </c>
      <c r="M340" s="130">
        <f t="shared" si="145"/>
        <v>4267.9896873588959</v>
      </c>
      <c r="N340" s="8">
        <f t="shared" si="146"/>
        <v>21339.948436794475</v>
      </c>
      <c r="O340" s="84">
        <f t="shared" si="147"/>
        <v>17071.95874943558</v>
      </c>
    </row>
    <row r="341" spans="1:15" x14ac:dyDescent="0.2">
      <c r="A341" s="96" t="s">
        <v>55</v>
      </c>
      <c r="B341" s="81" t="str">
        <f>+IF(MONTH(C341)&lt;4,"Q1",IF(MONTH(C341)&lt;7,"Q2",IF(MONTH(C341)&lt;10,"Q3","Q4")))&amp;"/"&amp;YEAR(C341)</f>
        <v>Q2/2014</v>
      </c>
      <c r="C341" s="82">
        <f t="shared" si="152"/>
        <v>41730</v>
      </c>
      <c r="D341" s="82">
        <f t="shared" si="151"/>
        <v>41820</v>
      </c>
      <c r="E341" s="81">
        <f t="shared" si="153"/>
        <v>91</v>
      </c>
      <c r="F341" s="83">
        <f>VLOOKUP(D341,'FERC Interest Rate'!$A:$B,2,TRUE)</f>
        <v>3.2500000000000001E-2</v>
      </c>
      <c r="G341" s="84">
        <f t="shared" si="149"/>
        <v>17071.95874943558</v>
      </c>
      <c r="H341" s="84">
        <v>0</v>
      </c>
      <c r="I341" s="109">
        <f t="shared" ref="I341:I356" si="154">SUM($H$332:$H$356)/20</f>
        <v>66.997421839723955</v>
      </c>
      <c r="J341" s="85">
        <f t="shared" ref="J341:J356" si="155">G341*F341*(E341/(DATE(YEAR(D341),12,31)-DATE(YEAR(D341),1,1)+1))</f>
        <v>138.3296383601527</v>
      </c>
      <c r="K341" s="129">
        <f t="shared" si="144"/>
        <v>205.32706019987666</v>
      </c>
      <c r="L341" s="85">
        <f t="shared" ref="L341:L356" si="156">$G$332/20</f>
        <v>1000</v>
      </c>
      <c r="M341" s="130">
        <f t="shared" si="145"/>
        <v>1205.3270601998765</v>
      </c>
      <c r="N341" s="8">
        <f t="shared" si="146"/>
        <v>17210.288387795732</v>
      </c>
      <c r="O341" s="84">
        <f t="shared" si="147"/>
        <v>16004.961327595856</v>
      </c>
    </row>
    <row r="342" spans="1:15" x14ac:dyDescent="0.2">
      <c r="A342" s="96" t="s">
        <v>56</v>
      </c>
      <c r="B342" s="81" t="str">
        <f t="shared" ref="B342:B356" si="157">+IF(MONTH(C342)&lt;4,"Q1",IF(MONTH(C342)&lt;7,"Q2",IF(MONTH(C342)&lt;10,"Q3","Q4")))&amp;"/"&amp;YEAR(C342)</f>
        <v>Q3/2014</v>
      </c>
      <c r="C342" s="82">
        <f t="shared" si="152"/>
        <v>41821</v>
      </c>
      <c r="D342" s="82">
        <f t="shared" si="151"/>
        <v>41912</v>
      </c>
      <c r="E342" s="81">
        <f t="shared" si="153"/>
        <v>92</v>
      </c>
      <c r="F342" s="83">
        <f>VLOOKUP(D342,'FERC Interest Rate'!$A:$B,2,TRUE)</f>
        <v>3.2500000000000001E-2</v>
      </c>
      <c r="G342" s="84">
        <f t="shared" si="149"/>
        <v>16004.961327595856</v>
      </c>
      <c r="H342" s="84">
        <v>0</v>
      </c>
      <c r="I342" s="109">
        <f t="shared" si="154"/>
        <v>66.997421839723955</v>
      </c>
      <c r="J342" s="85">
        <f t="shared" si="155"/>
        <v>131.10913525893594</v>
      </c>
      <c r="K342" s="129">
        <f t="shared" si="144"/>
        <v>198.10655709865989</v>
      </c>
      <c r="L342" s="85">
        <f t="shared" si="156"/>
        <v>1000</v>
      </c>
      <c r="M342" s="130">
        <f t="shared" si="145"/>
        <v>1198.1065570986598</v>
      </c>
      <c r="N342" s="8">
        <f t="shared" si="146"/>
        <v>16136.070462854792</v>
      </c>
      <c r="O342" s="84">
        <f t="shared" si="147"/>
        <v>14937.963905756133</v>
      </c>
    </row>
    <row r="343" spans="1:15" x14ac:dyDescent="0.2">
      <c r="A343" s="96" t="s">
        <v>57</v>
      </c>
      <c r="B343" s="81" t="str">
        <f t="shared" si="157"/>
        <v>Q4/2014</v>
      </c>
      <c r="C343" s="82">
        <f t="shared" si="150"/>
        <v>41913</v>
      </c>
      <c r="D343" s="82">
        <f t="shared" si="151"/>
        <v>42004</v>
      </c>
      <c r="E343" s="81">
        <f t="shared" si="148"/>
        <v>92</v>
      </c>
      <c r="F343" s="83">
        <f>VLOOKUP(D343,'FERC Interest Rate'!$A:$B,2,TRUE)</f>
        <v>3.2500000000000001E-2</v>
      </c>
      <c r="G343" s="84">
        <f t="shared" si="149"/>
        <v>14937.963905756133</v>
      </c>
      <c r="H343" s="84">
        <v>0</v>
      </c>
      <c r="I343" s="109">
        <f t="shared" si="154"/>
        <v>66.997421839723955</v>
      </c>
      <c r="J343" s="85">
        <f t="shared" si="155"/>
        <v>122.36852624167354</v>
      </c>
      <c r="K343" s="129">
        <f t="shared" si="144"/>
        <v>189.36594808139751</v>
      </c>
      <c r="L343" s="85">
        <f t="shared" si="156"/>
        <v>1000</v>
      </c>
      <c r="M343" s="130">
        <f t="shared" si="145"/>
        <v>1189.3659480813976</v>
      </c>
      <c r="N343" s="8">
        <f t="shared" si="146"/>
        <v>15060.332431997806</v>
      </c>
      <c r="O343" s="84">
        <f t="shared" si="147"/>
        <v>13870.966483916409</v>
      </c>
    </row>
    <row r="344" spans="1:15" x14ac:dyDescent="0.2">
      <c r="A344" s="96" t="s">
        <v>58</v>
      </c>
      <c r="B344" s="81" t="str">
        <f t="shared" si="157"/>
        <v>Q1/2015</v>
      </c>
      <c r="C344" s="82">
        <f t="shared" si="150"/>
        <v>42005</v>
      </c>
      <c r="D344" s="82">
        <f t="shared" si="151"/>
        <v>42094</v>
      </c>
      <c r="E344" s="81">
        <f t="shared" si="148"/>
        <v>90</v>
      </c>
      <c r="F344" s="83">
        <f>VLOOKUP(D344,'FERC Interest Rate'!$A:$B,2,TRUE)</f>
        <v>3.2500000000000001E-2</v>
      </c>
      <c r="G344" s="84">
        <f t="shared" si="149"/>
        <v>13870.966483916409</v>
      </c>
      <c r="H344" s="84">
        <v>0</v>
      </c>
      <c r="I344" s="109">
        <f t="shared" si="154"/>
        <v>66.997421839723955</v>
      </c>
      <c r="J344" s="85">
        <f t="shared" si="155"/>
        <v>111.15774511083697</v>
      </c>
      <c r="K344" s="129">
        <f t="shared" si="144"/>
        <v>178.15516695056093</v>
      </c>
      <c r="L344" s="85">
        <f t="shared" si="156"/>
        <v>1000</v>
      </c>
      <c r="M344" s="130">
        <f t="shared" si="145"/>
        <v>1178.1551669505609</v>
      </c>
      <c r="N344" s="8">
        <f t="shared" si="146"/>
        <v>13982.124229027246</v>
      </c>
      <c r="O344" s="84">
        <f t="shared" si="147"/>
        <v>12803.969062076685</v>
      </c>
    </row>
    <row r="345" spans="1:15" x14ac:dyDescent="0.2">
      <c r="A345" s="96" t="s">
        <v>59</v>
      </c>
      <c r="B345" s="81" t="str">
        <f t="shared" si="157"/>
        <v>Q2/2015</v>
      </c>
      <c r="C345" s="82">
        <f t="shared" si="150"/>
        <v>42095</v>
      </c>
      <c r="D345" s="82">
        <f t="shared" si="151"/>
        <v>42185</v>
      </c>
      <c r="E345" s="81">
        <f t="shared" si="148"/>
        <v>91</v>
      </c>
      <c r="F345" s="83">
        <f>VLOOKUP(D345,'FERC Interest Rate'!$A:$B,2,TRUE)</f>
        <v>3.2500000000000001E-2</v>
      </c>
      <c r="G345" s="84">
        <f t="shared" si="149"/>
        <v>12803.969062076685</v>
      </c>
      <c r="H345" s="84">
        <v>0</v>
      </c>
      <c r="I345" s="109">
        <f t="shared" si="154"/>
        <v>66.997421839723955</v>
      </c>
      <c r="J345" s="85">
        <f t="shared" si="155"/>
        <v>103.74722877011452</v>
      </c>
      <c r="K345" s="129">
        <f t="shared" si="144"/>
        <v>170.74465060983846</v>
      </c>
      <c r="L345" s="85">
        <f t="shared" si="156"/>
        <v>1000</v>
      </c>
      <c r="M345" s="130">
        <f t="shared" si="145"/>
        <v>1170.7446506098386</v>
      </c>
      <c r="N345" s="8">
        <f t="shared" si="146"/>
        <v>12907.7162908468</v>
      </c>
      <c r="O345" s="84">
        <f t="shared" si="147"/>
        <v>11736.971640236961</v>
      </c>
    </row>
    <row r="346" spans="1:15" x14ac:dyDescent="0.2">
      <c r="A346" s="96" t="s">
        <v>60</v>
      </c>
      <c r="B346" s="81" t="str">
        <f t="shared" si="157"/>
        <v>Q3/2015</v>
      </c>
      <c r="C346" s="82">
        <f t="shared" si="150"/>
        <v>42186</v>
      </c>
      <c r="D346" s="82">
        <f t="shared" si="151"/>
        <v>42277</v>
      </c>
      <c r="E346" s="81">
        <f t="shared" si="148"/>
        <v>92</v>
      </c>
      <c r="F346" s="83">
        <f>VLOOKUP(D346,'FERC Interest Rate'!$A:$B,2,TRUE)</f>
        <v>3.2500000000000001E-2</v>
      </c>
      <c r="G346" s="84">
        <f t="shared" si="149"/>
        <v>11736.971640236961</v>
      </c>
      <c r="H346" s="84">
        <v>0</v>
      </c>
      <c r="I346" s="109">
        <f t="shared" si="154"/>
        <v>66.997421839723955</v>
      </c>
      <c r="J346" s="85">
        <f t="shared" si="155"/>
        <v>96.146699189886348</v>
      </c>
      <c r="K346" s="129">
        <f t="shared" si="144"/>
        <v>163.14412102961029</v>
      </c>
      <c r="L346" s="85">
        <f t="shared" si="156"/>
        <v>1000</v>
      </c>
      <c r="M346" s="130">
        <f t="shared" si="145"/>
        <v>1163.1441210296102</v>
      </c>
      <c r="N346" s="8">
        <f t="shared" si="146"/>
        <v>11833.118339426848</v>
      </c>
      <c r="O346" s="84">
        <f t="shared" si="147"/>
        <v>10669.974218397238</v>
      </c>
    </row>
    <row r="347" spans="1:15" x14ac:dyDescent="0.2">
      <c r="A347" s="96" t="s">
        <v>61</v>
      </c>
      <c r="B347" s="81" t="str">
        <f t="shared" si="157"/>
        <v>Q4/2015</v>
      </c>
      <c r="C347" s="82">
        <f t="shared" si="150"/>
        <v>42278</v>
      </c>
      <c r="D347" s="82">
        <f t="shared" si="151"/>
        <v>42369</v>
      </c>
      <c r="E347" s="81">
        <f t="shared" si="148"/>
        <v>92</v>
      </c>
      <c r="F347" s="83">
        <f>VLOOKUP(D347,'FERC Interest Rate'!$A:$B,2,TRUE)</f>
        <v>3.2500000000000001E-2</v>
      </c>
      <c r="G347" s="84">
        <f t="shared" si="149"/>
        <v>10669.974218397238</v>
      </c>
      <c r="H347" s="84">
        <v>0</v>
      </c>
      <c r="I347" s="109">
        <f t="shared" si="154"/>
        <v>66.997421839723955</v>
      </c>
      <c r="J347" s="85">
        <f t="shared" si="155"/>
        <v>87.406090172623948</v>
      </c>
      <c r="K347" s="129">
        <f t="shared" si="144"/>
        <v>154.4035120123479</v>
      </c>
      <c r="L347" s="85">
        <f t="shared" si="156"/>
        <v>1000</v>
      </c>
      <c r="M347" s="130">
        <f t="shared" si="145"/>
        <v>1154.4035120123478</v>
      </c>
      <c r="N347" s="8">
        <f t="shared" si="146"/>
        <v>10757.380308569862</v>
      </c>
      <c r="O347" s="84">
        <f t="shared" si="147"/>
        <v>9602.9767965575138</v>
      </c>
    </row>
    <row r="348" spans="1:15" x14ac:dyDescent="0.2">
      <c r="A348" s="96" t="s">
        <v>62</v>
      </c>
      <c r="B348" s="81" t="str">
        <f t="shared" si="157"/>
        <v>Q1/2016</v>
      </c>
      <c r="C348" s="82">
        <f t="shared" si="150"/>
        <v>42370</v>
      </c>
      <c r="D348" s="82">
        <f t="shared" si="151"/>
        <v>42460</v>
      </c>
      <c r="E348" s="81">
        <f t="shared" si="148"/>
        <v>91</v>
      </c>
      <c r="F348" s="83">
        <f>VLOOKUP(D348,'FERC Interest Rate'!$A:$B,2,TRUE)</f>
        <v>3.2500000000000001E-2</v>
      </c>
      <c r="G348" s="84">
        <f t="shared" si="149"/>
        <v>9602.9767965575138</v>
      </c>
      <c r="H348" s="84">
        <v>0</v>
      </c>
      <c r="I348" s="109">
        <f t="shared" si="154"/>
        <v>66.997421839723955</v>
      </c>
      <c r="J348" s="85">
        <f t="shared" si="155"/>
        <v>77.597824797319248</v>
      </c>
      <c r="K348" s="129">
        <f t="shared" si="144"/>
        <v>144.5952466370432</v>
      </c>
      <c r="L348" s="85">
        <f t="shared" si="156"/>
        <v>1000</v>
      </c>
      <c r="M348" s="130">
        <f t="shared" si="145"/>
        <v>1144.5952466370431</v>
      </c>
      <c r="N348" s="8">
        <f t="shared" si="146"/>
        <v>9680.5746213548337</v>
      </c>
      <c r="O348" s="84">
        <f t="shared" si="147"/>
        <v>8535.9793747177901</v>
      </c>
    </row>
    <row r="349" spans="1:15" x14ac:dyDescent="0.2">
      <c r="A349" s="96" t="s">
        <v>63</v>
      </c>
      <c r="B349" s="81" t="str">
        <f t="shared" si="157"/>
        <v>Q2/2016</v>
      </c>
      <c r="C349" s="82">
        <f t="shared" si="150"/>
        <v>42461</v>
      </c>
      <c r="D349" s="82">
        <f t="shared" si="151"/>
        <v>42551</v>
      </c>
      <c r="E349" s="81">
        <f t="shared" si="148"/>
        <v>91</v>
      </c>
      <c r="F349" s="83">
        <f>VLOOKUP(D349,'FERC Interest Rate'!$A:$B,2,TRUE)</f>
        <v>3.4599999999999999E-2</v>
      </c>
      <c r="G349" s="84">
        <f t="shared" si="149"/>
        <v>8535.9793747177901</v>
      </c>
      <c r="H349" s="84">
        <v>0</v>
      </c>
      <c r="I349" s="109">
        <f t="shared" si="154"/>
        <v>66.997421839723955</v>
      </c>
      <c r="J349" s="85">
        <f t="shared" si="155"/>
        <v>73.432744970591344</v>
      </c>
      <c r="K349" s="129">
        <f t="shared" si="144"/>
        <v>140.43016681031531</v>
      </c>
      <c r="L349" s="85">
        <f t="shared" si="156"/>
        <v>1000</v>
      </c>
      <c r="M349" s="130">
        <f t="shared" si="145"/>
        <v>1140.4301668103153</v>
      </c>
      <c r="N349" s="8">
        <f t="shared" si="146"/>
        <v>8609.4121196883807</v>
      </c>
      <c r="O349" s="84">
        <f t="shared" si="147"/>
        <v>7468.9819528780663</v>
      </c>
    </row>
    <row r="350" spans="1:15" x14ac:dyDescent="0.2">
      <c r="A350" s="96" t="s">
        <v>64</v>
      </c>
      <c r="B350" s="81" t="str">
        <f t="shared" si="157"/>
        <v>Q3/2016</v>
      </c>
      <c r="C350" s="82">
        <f t="shared" si="150"/>
        <v>42552</v>
      </c>
      <c r="D350" s="82">
        <f t="shared" si="151"/>
        <v>42643</v>
      </c>
      <c r="E350" s="81">
        <f t="shared" si="148"/>
        <v>92</v>
      </c>
      <c r="F350" s="83">
        <f>VLOOKUP(D350,'FERC Interest Rate'!$A:$B,2,TRUE)</f>
        <v>3.5000000000000003E-2</v>
      </c>
      <c r="G350" s="84">
        <f t="shared" si="149"/>
        <v>7468.9819528780663</v>
      </c>
      <c r="H350" s="84">
        <v>0</v>
      </c>
      <c r="I350" s="109">
        <f t="shared" si="154"/>
        <v>66.997421839723955</v>
      </c>
      <c r="J350" s="85">
        <f t="shared" si="155"/>
        <v>65.710715541714137</v>
      </c>
      <c r="K350" s="129">
        <f t="shared" si="144"/>
        <v>132.70813738143809</v>
      </c>
      <c r="L350" s="85">
        <f t="shared" si="156"/>
        <v>1000</v>
      </c>
      <c r="M350" s="130">
        <f t="shared" si="145"/>
        <v>1132.7081373814381</v>
      </c>
      <c r="N350" s="8">
        <f t="shared" si="146"/>
        <v>7534.6926684197806</v>
      </c>
      <c r="O350" s="84">
        <f t="shared" si="147"/>
        <v>6401.9845310383425</v>
      </c>
    </row>
    <row r="351" spans="1:15" x14ac:dyDescent="0.2">
      <c r="A351" s="96" t="s">
        <v>65</v>
      </c>
      <c r="B351" s="81" t="str">
        <f t="shared" si="157"/>
        <v>Q4/2016</v>
      </c>
      <c r="C351" s="82">
        <f t="shared" si="150"/>
        <v>42644</v>
      </c>
      <c r="D351" s="82">
        <f t="shared" si="151"/>
        <v>42735</v>
      </c>
      <c r="E351" s="81">
        <f t="shared" si="148"/>
        <v>92</v>
      </c>
      <c r="F351" s="83">
        <f>VLOOKUP(D351,'FERC Interest Rate'!$A:$B,2,TRUE)</f>
        <v>3.5000000000000003E-2</v>
      </c>
      <c r="G351" s="84">
        <f t="shared" si="149"/>
        <v>6401.9845310383425</v>
      </c>
      <c r="H351" s="84">
        <v>0</v>
      </c>
      <c r="I351" s="109">
        <f t="shared" si="154"/>
        <v>66.997421839723955</v>
      </c>
      <c r="J351" s="85">
        <f t="shared" si="155"/>
        <v>56.323470464326412</v>
      </c>
      <c r="K351" s="129">
        <f t="shared" si="144"/>
        <v>123.32089230405037</v>
      </c>
      <c r="L351" s="85">
        <f t="shared" si="156"/>
        <v>1000</v>
      </c>
      <c r="M351" s="130">
        <f t="shared" si="145"/>
        <v>1123.3208923040504</v>
      </c>
      <c r="N351" s="8">
        <f t="shared" si="146"/>
        <v>6458.308001502669</v>
      </c>
      <c r="O351" s="84">
        <f t="shared" si="147"/>
        <v>5334.9871091986188</v>
      </c>
    </row>
    <row r="352" spans="1:15" x14ac:dyDescent="0.2">
      <c r="A352" s="96" t="s">
        <v>66</v>
      </c>
      <c r="B352" s="81" t="str">
        <f t="shared" si="157"/>
        <v>Q1/2017</v>
      </c>
      <c r="C352" s="82">
        <f t="shared" si="150"/>
        <v>42736</v>
      </c>
      <c r="D352" s="82">
        <f t="shared" si="151"/>
        <v>42825</v>
      </c>
      <c r="E352" s="81">
        <f t="shared" si="148"/>
        <v>90</v>
      </c>
      <c r="F352" s="83">
        <f>VLOOKUP(D352,'FERC Interest Rate'!$A:$B,2,TRUE)</f>
        <v>3.5000000000000003E-2</v>
      </c>
      <c r="G352" s="84">
        <f t="shared" si="149"/>
        <v>5334.9871091986188</v>
      </c>
      <c r="H352" s="84">
        <v>0</v>
      </c>
      <c r="I352" s="109">
        <f t="shared" si="154"/>
        <v>66.997421839723955</v>
      </c>
      <c r="J352" s="85">
        <f t="shared" si="155"/>
        <v>46.04166957253603</v>
      </c>
      <c r="K352" s="129">
        <f t="shared" si="144"/>
        <v>113.03909141225998</v>
      </c>
      <c r="L352" s="85">
        <f t="shared" si="156"/>
        <v>1000</v>
      </c>
      <c r="M352" s="130">
        <f t="shared" si="145"/>
        <v>1113.0390914122599</v>
      </c>
      <c r="N352" s="8">
        <f t="shared" si="146"/>
        <v>5381.028778771155</v>
      </c>
      <c r="O352" s="84">
        <f t="shared" si="147"/>
        <v>4267.989687358895</v>
      </c>
    </row>
    <row r="353" spans="1:15" x14ac:dyDescent="0.2">
      <c r="A353" s="96" t="s">
        <v>67</v>
      </c>
      <c r="B353" s="81" t="str">
        <f t="shared" si="157"/>
        <v>Q2/2017</v>
      </c>
      <c r="C353" s="82">
        <f t="shared" si="150"/>
        <v>42826</v>
      </c>
      <c r="D353" s="82">
        <f t="shared" si="151"/>
        <v>42916</v>
      </c>
      <c r="E353" s="81">
        <f t="shared" si="148"/>
        <v>91</v>
      </c>
      <c r="F353" s="83">
        <f>VLOOKUP(D353,'FERC Interest Rate'!$A:$B,2,TRUE)</f>
        <v>3.7100000000000001E-2</v>
      </c>
      <c r="G353" s="84">
        <f t="shared" si="149"/>
        <v>4267.989687358895</v>
      </c>
      <c r="H353" s="84">
        <v>0</v>
      </c>
      <c r="I353" s="109">
        <f t="shared" si="154"/>
        <v>66.997421839723955</v>
      </c>
      <c r="J353" s="85">
        <f t="shared" si="155"/>
        <v>39.477150639705116</v>
      </c>
      <c r="K353" s="129">
        <f t="shared" si="144"/>
        <v>106.47457247942907</v>
      </c>
      <c r="L353" s="85">
        <f t="shared" si="156"/>
        <v>1000</v>
      </c>
      <c r="M353" s="130">
        <f t="shared" si="145"/>
        <v>1106.4745724794291</v>
      </c>
      <c r="N353" s="8">
        <f t="shared" si="146"/>
        <v>4307.4668379986006</v>
      </c>
      <c r="O353" s="84">
        <f t="shared" si="147"/>
        <v>3200.9922655191713</v>
      </c>
    </row>
    <row r="354" spans="1:15" x14ac:dyDescent="0.2">
      <c r="A354" s="96" t="s">
        <v>68</v>
      </c>
      <c r="B354" s="81" t="str">
        <f t="shared" si="157"/>
        <v>Q3/2017</v>
      </c>
      <c r="C354" s="82">
        <f t="shared" si="150"/>
        <v>42917</v>
      </c>
      <c r="D354" s="82">
        <f t="shared" si="151"/>
        <v>43008</v>
      </c>
      <c r="E354" s="81">
        <f t="shared" si="148"/>
        <v>92</v>
      </c>
      <c r="F354" s="83">
        <f>VLOOKUP(D354,'FERC Interest Rate'!$A:$B,2,TRUE)</f>
        <v>3.9600000000000003E-2</v>
      </c>
      <c r="G354" s="84">
        <f t="shared" si="149"/>
        <v>3200.9922655191713</v>
      </c>
      <c r="H354" s="84">
        <v>0</v>
      </c>
      <c r="I354" s="109">
        <f t="shared" si="154"/>
        <v>66.997421839723955</v>
      </c>
      <c r="J354" s="85">
        <f t="shared" si="155"/>
        <v>31.950287730793004</v>
      </c>
      <c r="K354" s="129">
        <f t="shared" si="144"/>
        <v>98.947709570516963</v>
      </c>
      <c r="L354" s="85">
        <f t="shared" si="156"/>
        <v>1000</v>
      </c>
      <c r="M354" s="130">
        <f t="shared" si="145"/>
        <v>1098.947709570517</v>
      </c>
      <c r="N354" s="8">
        <f t="shared" si="146"/>
        <v>3232.9425532499645</v>
      </c>
      <c r="O354" s="84">
        <f t="shared" si="147"/>
        <v>2133.9948436794475</v>
      </c>
    </row>
    <row r="355" spans="1:15" x14ac:dyDescent="0.2">
      <c r="A355" s="96" t="s">
        <v>69</v>
      </c>
      <c r="B355" s="81" t="str">
        <f t="shared" si="157"/>
        <v>Q4/2017</v>
      </c>
      <c r="C355" s="82">
        <f t="shared" si="150"/>
        <v>43009</v>
      </c>
      <c r="D355" s="82">
        <f t="shared" si="151"/>
        <v>43100</v>
      </c>
      <c r="E355" s="81">
        <f t="shared" si="148"/>
        <v>92</v>
      </c>
      <c r="F355" s="83">
        <f>VLOOKUP(D355,'FERC Interest Rate'!$A:$B,2,TRUE)</f>
        <v>4.2099999999999999E-2</v>
      </c>
      <c r="G355" s="84">
        <f t="shared" si="149"/>
        <v>2133.9948436794475</v>
      </c>
      <c r="H355" s="84">
        <v>0</v>
      </c>
      <c r="I355" s="109">
        <f t="shared" si="154"/>
        <v>66.997421839723955</v>
      </c>
      <c r="J355" s="85">
        <f t="shared" si="155"/>
        <v>22.644900900107498</v>
      </c>
      <c r="K355" s="129">
        <f t="shared" si="144"/>
        <v>89.642322739831457</v>
      </c>
      <c r="L355" s="85">
        <f t="shared" si="156"/>
        <v>1000</v>
      </c>
      <c r="M355" s="130">
        <f t="shared" si="145"/>
        <v>1089.6423227398313</v>
      </c>
      <c r="N355" s="8">
        <f t="shared" si="146"/>
        <v>2156.6397445795551</v>
      </c>
      <c r="O355" s="84">
        <f t="shared" si="147"/>
        <v>1066.9974218397235</v>
      </c>
    </row>
    <row r="356" spans="1:15" x14ac:dyDescent="0.2">
      <c r="A356" s="96" t="s">
        <v>70</v>
      </c>
      <c r="B356" s="81" t="str">
        <f t="shared" si="157"/>
        <v>Q1/2018</v>
      </c>
      <c r="C356" s="82">
        <f t="shared" si="150"/>
        <v>43101</v>
      </c>
      <c r="D356" s="82">
        <f t="shared" si="151"/>
        <v>43190</v>
      </c>
      <c r="E356" s="81">
        <f t="shared" si="148"/>
        <v>90</v>
      </c>
      <c r="F356" s="83">
        <f>VLOOKUP(D356,'FERC Interest Rate'!$A:$B,2,TRUE)</f>
        <v>4.2500000000000003E-2</v>
      </c>
      <c r="G356" s="84">
        <f t="shared" si="149"/>
        <v>1066.9974218397235</v>
      </c>
      <c r="H356" s="84">
        <v>0</v>
      </c>
      <c r="I356" s="109">
        <f t="shared" si="154"/>
        <v>66.997421839723955</v>
      </c>
      <c r="J356" s="85">
        <f t="shared" si="155"/>
        <v>11.181548324758747</v>
      </c>
      <c r="K356" s="129">
        <f t="shared" si="144"/>
        <v>78.178970164482706</v>
      </c>
      <c r="L356" s="85">
        <f t="shared" si="156"/>
        <v>1000</v>
      </c>
      <c r="M356" s="130">
        <f t="shared" si="145"/>
        <v>1078.1789701644827</v>
      </c>
      <c r="N356" s="8">
        <f t="shared" si="146"/>
        <v>1078.1789701644823</v>
      </c>
      <c r="O356" s="84">
        <f t="shared" si="147"/>
        <v>-4.2632564145606011E-13</v>
      </c>
    </row>
    <row r="357" spans="1:15" x14ac:dyDescent="0.2">
      <c r="A357" s="96"/>
      <c r="B357" s="81"/>
      <c r="C357" s="82"/>
      <c r="D357" s="82"/>
      <c r="E357" s="81"/>
      <c r="F357" s="83"/>
      <c r="G357" s="84"/>
      <c r="H357" s="84"/>
      <c r="I357" s="109"/>
      <c r="J357" s="85"/>
      <c r="K357" s="129"/>
      <c r="L357" s="85"/>
      <c r="M357" s="130"/>
      <c r="N357" s="8"/>
      <c r="O357" s="84"/>
    </row>
    <row r="358" spans="1:15" ht="13.5" thickBot="1" x14ac:dyDescent="0.25">
      <c r="A358" s="151"/>
      <c r="B358" s="152"/>
      <c r="C358" s="153"/>
      <c r="D358" s="153"/>
      <c r="E358" s="154"/>
      <c r="F358" s="152"/>
      <c r="G358" s="140">
        <f>+SUM(G332:G357)</f>
        <v>329762.84567744704</v>
      </c>
      <c r="H358" s="140">
        <f t="shared" ref="H358:O358" si="158">+SUM(H332:H357)</f>
        <v>1339.9484367944792</v>
      </c>
      <c r="I358" s="141">
        <f t="shared" si="158"/>
        <v>1339.9484367944794</v>
      </c>
      <c r="J358" s="140">
        <f t="shared" si="158"/>
        <v>1214.6253760460754</v>
      </c>
      <c r="K358" s="140">
        <f t="shared" si="158"/>
        <v>2554.5738128405537</v>
      </c>
      <c r="L358" s="140">
        <f t="shared" si="158"/>
        <v>20000</v>
      </c>
      <c r="M358" s="142">
        <f t="shared" si="158"/>
        <v>22554.573812840554</v>
      </c>
      <c r="N358" s="140">
        <f t="shared" si="158"/>
        <v>332317.41949028766</v>
      </c>
      <c r="O358" s="140">
        <f t="shared" si="158"/>
        <v>309762.84567744704</v>
      </c>
    </row>
    <row r="359" spans="1:15" ht="13.5" thickTop="1" x14ac:dyDescent="0.2">
      <c r="B359" s="117"/>
      <c r="C359" s="117"/>
      <c r="D359" s="117"/>
      <c r="E359" s="117"/>
      <c r="F359" s="117"/>
      <c r="G359" s="117"/>
      <c r="H359" s="117"/>
      <c r="I359" s="116"/>
      <c r="J359" s="117"/>
      <c r="K359" s="117"/>
      <c r="L359" s="117"/>
      <c r="M359" s="131"/>
      <c r="O359" s="117"/>
    </row>
    <row r="360" spans="1:15" ht="38.25" x14ac:dyDescent="0.2">
      <c r="A360" s="90" t="s">
        <v>53</v>
      </c>
      <c r="B360" s="90" t="s">
        <v>3</v>
      </c>
      <c r="C360" s="90" t="s">
        <v>4</v>
      </c>
      <c r="D360" s="90" t="s">
        <v>5</v>
      </c>
      <c r="E360" s="90" t="s">
        <v>6</v>
      </c>
      <c r="F360" s="90" t="s">
        <v>7</v>
      </c>
      <c r="G360" s="90" t="s">
        <v>93</v>
      </c>
      <c r="H360" s="90" t="s">
        <v>94</v>
      </c>
      <c r="I360" s="105" t="s">
        <v>95</v>
      </c>
      <c r="J360" s="106" t="s">
        <v>96</v>
      </c>
      <c r="K360" s="106" t="s">
        <v>97</v>
      </c>
      <c r="L360" s="106" t="s">
        <v>98</v>
      </c>
      <c r="M360" s="107" t="s">
        <v>99</v>
      </c>
      <c r="N360" s="90" t="s">
        <v>100</v>
      </c>
      <c r="O360" s="90" t="s">
        <v>101</v>
      </c>
    </row>
    <row r="361" spans="1:15" x14ac:dyDescent="0.2">
      <c r="A361" s="275" t="s">
        <v>15</v>
      </c>
      <c r="B361" s="275"/>
      <c r="C361" s="282">
        <f>VLOOKUP(B362,A$1:F$33,2,FALSE)</f>
        <v>41044</v>
      </c>
      <c r="D361" s="282">
        <f>DATE(YEAR(C361),IF(MONTH(C361)&lt;=3,3,IF(MONTH(C361)&lt;=6,6,IF(MONTH(C361)&lt;=9,9,12))),IF(OR(MONTH(C361)&lt;=3,MONTH(C361)&gt;=10),31,30))</f>
        <v>41090</v>
      </c>
      <c r="E361" s="283">
        <f>D361-C361+1</f>
        <v>47</v>
      </c>
      <c r="F361" s="284">
        <f>VLOOKUP(D361,'FERC Interest Rate'!$A:$B,2,TRUE)</f>
        <v>3.2500000000000001E-2</v>
      </c>
      <c r="G361" s="167">
        <f>VLOOKUP(B362,$A$1:$F$33,5,FALSE)</f>
        <v>20000</v>
      </c>
      <c r="H361" s="167">
        <f t="shared" ref="H361:H368" si="159">G361*F361*(E361/(DATE(YEAR(D361),12,31)-DATE(YEAR(D361),1,1)+1))</f>
        <v>83.469945355191257</v>
      </c>
      <c r="I361" s="291">
        <v>0</v>
      </c>
      <c r="J361" s="286">
        <v>0</v>
      </c>
      <c r="K361" s="288">
        <f t="shared" ref="K361:K384" si="160">+SUM(I361:J361)</f>
        <v>0</v>
      </c>
      <c r="L361" s="286">
        <v>0</v>
      </c>
      <c r="M361" s="289">
        <f t="shared" ref="M361:M384" si="161">+SUM(K361:L361)</f>
        <v>0</v>
      </c>
      <c r="N361" s="290">
        <f t="shared" ref="N361:N384" si="162">+G361+H361+J361</f>
        <v>20083.469945355191</v>
      </c>
      <c r="O361" s="167">
        <f t="shared" ref="O361:O384" si="163">G361+H361-L361-I361</f>
        <v>20083.469945355191</v>
      </c>
    </row>
    <row r="362" spans="1:15" x14ac:dyDescent="0.2">
      <c r="A362" s="275" t="s">
        <v>38</v>
      </c>
      <c r="B362" s="276" t="s">
        <v>89</v>
      </c>
      <c r="C362" s="282">
        <f>D361+1</f>
        <v>41091</v>
      </c>
      <c r="D362" s="282">
        <f>EOMONTH(D361,3)</f>
        <v>41182</v>
      </c>
      <c r="E362" s="283">
        <f t="shared" ref="E362:E384" si="164">D362-C362+1</f>
        <v>92</v>
      </c>
      <c r="F362" s="284">
        <f>VLOOKUP(D362,'FERC Interest Rate'!$A:$B,2,TRUE)</f>
        <v>3.2500000000000001E-2</v>
      </c>
      <c r="G362" s="167">
        <f t="shared" ref="G362:G384" si="165">O361</f>
        <v>20083.469945355191</v>
      </c>
      <c r="H362" s="167">
        <f t="shared" si="159"/>
        <v>164.06987742243723</v>
      </c>
      <c r="I362" s="291">
        <v>0</v>
      </c>
      <c r="J362" s="286">
        <v>0</v>
      </c>
      <c r="K362" s="288">
        <f t="shared" si="160"/>
        <v>0</v>
      </c>
      <c r="L362" s="286">
        <v>0</v>
      </c>
      <c r="M362" s="289">
        <f t="shared" si="161"/>
        <v>0</v>
      </c>
      <c r="N362" s="290">
        <f t="shared" si="162"/>
        <v>20247.539822777628</v>
      </c>
      <c r="O362" s="167">
        <f t="shared" si="163"/>
        <v>20247.539822777628</v>
      </c>
    </row>
    <row r="363" spans="1:15" x14ac:dyDescent="0.2">
      <c r="A363" s="292"/>
      <c r="B363" s="283"/>
      <c r="C363" s="282">
        <f t="shared" ref="C363:C384" si="166">D362+1</f>
        <v>41183</v>
      </c>
      <c r="D363" s="282">
        <f t="shared" ref="D363:D384" si="167">EOMONTH(D362,3)</f>
        <v>41274</v>
      </c>
      <c r="E363" s="283">
        <f t="shared" si="164"/>
        <v>92</v>
      </c>
      <c r="F363" s="284">
        <f>VLOOKUP(D363,'FERC Interest Rate'!$A:$B,2,TRUE)</f>
        <v>3.2500000000000001E-2</v>
      </c>
      <c r="G363" s="167">
        <f t="shared" si="165"/>
        <v>20247.539822777628</v>
      </c>
      <c r="H363" s="167">
        <f t="shared" si="159"/>
        <v>165.41022969974074</v>
      </c>
      <c r="I363" s="291">
        <v>0</v>
      </c>
      <c r="J363" s="286">
        <v>0</v>
      </c>
      <c r="K363" s="288">
        <f t="shared" si="160"/>
        <v>0</v>
      </c>
      <c r="L363" s="286">
        <v>0</v>
      </c>
      <c r="M363" s="289">
        <f t="shared" si="161"/>
        <v>0</v>
      </c>
      <c r="N363" s="290">
        <f t="shared" si="162"/>
        <v>20412.950052477368</v>
      </c>
      <c r="O363" s="167">
        <f t="shared" si="163"/>
        <v>20412.950052477368</v>
      </c>
    </row>
    <row r="364" spans="1:15" x14ac:dyDescent="0.2">
      <c r="A364" s="292"/>
      <c r="B364" s="283"/>
      <c r="C364" s="282">
        <f t="shared" si="166"/>
        <v>41275</v>
      </c>
      <c r="D364" s="282">
        <f t="shared" si="167"/>
        <v>41364</v>
      </c>
      <c r="E364" s="283">
        <f t="shared" si="164"/>
        <v>90</v>
      </c>
      <c r="F364" s="284">
        <f>VLOOKUP(D364,'FERC Interest Rate'!$A:$B,2,TRUE)</f>
        <v>3.2500000000000001E-2</v>
      </c>
      <c r="G364" s="167">
        <f t="shared" si="165"/>
        <v>20412.950052477368</v>
      </c>
      <c r="H364" s="167">
        <f t="shared" si="159"/>
        <v>163.5832298725926</v>
      </c>
      <c r="I364" s="291">
        <v>0</v>
      </c>
      <c r="J364" s="286">
        <v>0</v>
      </c>
      <c r="K364" s="288">
        <f t="shared" si="160"/>
        <v>0</v>
      </c>
      <c r="L364" s="286">
        <v>0</v>
      </c>
      <c r="M364" s="289">
        <f t="shared" si="161"/>
        <v>0</v>
      </c>
      <c r="N364" s="290">
        <f t="shared" si="162"/>
        <v>20576.533282349959</v>
      </c>
      <c r="O364" s="167">
        <f t="shared" si="163"/>
        <v>20576.533282349959</v>
      </c>
    </row>
    <row r="365" spans="1:15" x14ac:dyDescent="0.2">
      <c r="A365" s="292"/>
      <c r="B365" s="283"/>
      <c r="C365" s="282">
        <f>D364+1</f>
        <v>41365</v>
      </c>
      <c r="D365" s="282">
        <f t="shared" si="167"/>
        <v>41455</v>
      </c>
      <c r="E365" s="283">
        <f>D365-C365+1</f>
        <v>91</v>
      </c>
      <c r="F365" s="284">
        <f>VLOOKUP(D365,'FERC Interest Rate'!$A:$B,2,TRUE)</f>
        <v>3.2500000000000001E-2</v>
      </c>
      <c r="G365" s="167">
        <f t="shared" si="165"/>
        <v>20576.533282349959</v>
      </c>
      <c r="H365" s="167">
        <f t="shared" si="159"/>
        <v>166.72629365082196</v>
      </c>
      <c r="I365" s="291">
        <v>0</v>
      </c>
      <c r="J365" s="286">
        <v>0</v>
      </c>
      <c r="K365" s="288">
        <f t="shared" si="160"/>
        <v>0</v>
      </c>
      <c r="L365" s="286">
        <v>0</v>
      </c>
      <c r="M365" s="289">
        <f t="shared" si="161"/>
        <v>0</v>
      </c>
      <c r="N365" s="290">
        <f t="shared" si="162"/>
        <v>20743.259576000783</v>
      </c>
      <c r="O365" s="167">
        <f t="shared" si="163"/>
        <v>20743.259576000783</v>
      </c>
    </row>
    <row r="366" spans="1:15" x14ac:dyDescent="0.2">
      <c r="A366" s="292"/>
      <c r="B366" s="283"/>
      <c r="C366" s="282">
        <f>D365+1</f>
        <v>41456</v>
      </c>
      <c r="D366" s="282">
        <f t="shared" si="167"/>
        <v>41547</v>
      </c>
      <c r="E366" s="283">
        <f>D366-C366+1</f>
        <v>92</v>
      </c>
      <c r="F366" s="284">
        <f>VLOOKUP(D366,'FERC Interest Rate'!$A:$B,2,TRUE)</f>
        <v>3.2500000000000001E-2</v>
      </c>
      <c r="G366" s="167">
        <f t="shared" si="165"/>
        <v>20743.259576000783</v>
      </c>
      <c r="H366" s="167">
        <f t="shared" si="159"/>
        <v>169.92423597874614</v>
      </c>
      <c r="I366" s="291">
        <v>0</v>
      </c>
      <c r="J366" s="286">
        <v>0</v>
      </c>
      <c r="K366" s="288">
        <f t="shared" si="160"/>
        <v>0</v>
      </c>
      <c r="L366" s="286">
        <v>0</v>
      </c>
      <c r="M366" s="289">
        <f t="shared" si="161"/>
        <v>0</v>
      </c>
      <c r="N366" s="290">
        <f t="shared" si="162"/>
        <v>20913.183811979528</v>
      </c>
      <c r="O366" s="167">
        <f t="shared" si="163"/>
        <v>20913.183811979528</v>
      </c>
    </row>
    <row r="367" spans="1:15" x14ac:dyDescent="0.2">
      <c r="A367" s="292"/>
      <c r="B367" s="283"/>
      <c r="C367" s="282">
        <f>D366+1</f>
        <v>41548</v>
      </c>
      <c r="D367" s="282">
        <f t="shared" si="167"/>
        <v>41639</v>
      </c>
      <c r="E367" s="283">
        <f>D367-C367+1</f>
        <v>92</v>
      </c>
      <c r="F367" s="284">
        <f>VLOOKUP(D367,'FERC Interest Rate'!$A:$B,2,TRUE)</f>
        <v>3.2500000000000001E-2</v>
      </c>
      <c r="G367" s="167">
        <f t="shared" si="165"/>
        <v>20913.183811979528</v>
      </c>
      <c r="H367" s="167">
        <f t="shared" si="159"/>
        <v>171.31621807621588</v>
      </c>
      <c r="I367" s="291">
        <v>0</v>
      </c>
      <c r="J367" s="286">
        <v>0</v>
      </c>
      <c r="K367" s="288">
        <f t="shared" si="160"/>
        <v>0</v>
      </c>
      <c r="L367" s="286">
        <v>0</v>
      </c>
      <c r="M367" s="289">
        <f t="shared" si="161"/>
        <v>0</v>
      </c>
      <c r="N367" s="290">
        <f t="shared" si="162"/>
        <v>21084.500030055744</v>
      </c>
      <c r="O367" s="167">
        <f t="shared" si="163"/>
        <v>21084.500030055744</v>
      </c>
    </row>
    <row r="368" spans="1:15" x14ac:dyDescent="0.2">
      <c r="A368" s="96" t="s">
        <v>54</v>
      </c>
      <c r="B368" s="81" t="str">
        <f>+IF(MONTH(C368)&lt;4,"Q1",IF(MONTH(C368)&lt;7,"Q2",IF(MONTH(C368)&lt;10,"Q3","Q4")))&amp;"/"&amp;YEAR(C368)</f>
        <v>Q1/2014</v>
      </c>
      <c r="C368" s="82">
        <f>D367+1</f>
        <v>41640</v>
      </c>
      <c r="D368" s="82">
        <f t="shared" si="167"/>
        <v>41729</v>
      </c>
      <c r="E368" s="81">
        <f>D368-C368+1</f>
        <v>90</v>
      </c>
      <c r="F368" s="83">
        <f>VLOOKUP(D368,'FERC Interest Rate'!$A:$B,2,TRUE)</f>
        <v>3.2500000000000001E-2</v>
      </c>
      <c r="G368" s="84">
        <f t="shared" si="165"/>
        <v>21084.500030055744</v>
      </c>
      <c r="H368" s="167">
        <f t="shared" si="159"/>
        <v>168.96482900798094</v>
      </c>
      <c r="I368" s="109">
        <f>(SUM($H$361:$H$384)/20)*4</f>
        <v>250.69297181274533</v>
      </c>
      <c r="J368" s="85">
        <v>0</v>
      </c>
      <c r="K368" s="129">
        <f t="shared" si="160"/>
        <v>250.69297181274533</v>
      </c>
      <c r="L368" s="85">
        <f>($G$361/20)*4</f>
        <v>4000</v>
      </c>
      <c r="M368" s="130">
        <f t="shared" si="161"/>
        <v>4250.6929718127449</v>
      </c>
      <c r="N368" s="8">
        <f t="shared" si="162"/>
        <v>21253.464859063726</v>
      </c>
      <c r="O368" s="84">
        <f t="shared" si="163"/>
        <v>17002.771887250979</v>
      </c>
    </row>
    <row r="369" spans="1:15" x14ac:dyDescent="0.2">
      <c r="A369" s="96" t="s">
        <v>55</v>
      </c>
      <c r="B369" s="81" t="str">
        <f>+IF(MONTH(C369)&lt;4,"Q1",IF(MONTH(C369)&lt;7,"Q2",IF(MONTH(C369)&lt;10,"Q3","Q4")))&amp;"/"&amp;YEAR(C369)</f>
        <v>Q2/2014</v>
      </c>
      <c r="C369" s="82">
        <f>D368+1</f>
        <v>41730</v>
      </c>
      <c r="D369" s="82">
        <f t="shared" si="167"/>
        <v>41820</v>
      </c>
      <c r="E369" s="81">
        <f>D369-C369+1</f>
        <v>91</v>
      </c>
      <c r="F369" s="83">
        <f>VLOOKUP(D369,'FERC Interest Rate'!$A:$B,2,TRUE)</f>
        <v>3.2500000000000001E-2</v>
      </c>
      <c r="G369" s="84">
        <f t="shared" si="165"/>
        <v>17002.771887250979</v>
      </c>
      <c r="H369" s="84">
        <v>0</v>
      </c>
      <c r="I369" s="109">
        <f t="shared" ref="I369:I384" si="168">SUM($H$361:$H$384)/20</f>
        <v>62.673242953186332</v>
      </c>
      <c r="J369" s="85">
        <f t="shared" ref="J369:J384" si="169">G369*F369*(E369/(DATE(YEAR(D369),12,31)-DATE(YEAR(D369),1,1)+1))</f>
        <v>137.76903522341036</v>
      </c>
      <c r="K369" s="129">
        <f t="shared" si="160"/>
        <v>200.44227817659669</v>
      </c>
      <c r="L369" s="85">
        <f t="shared" ref="L369:L384" si="170">$G$361/20</f>
        <v>1000</v>
      </c>
      <c r="M369" s="130">
        <f t="shared" si="161"/>
        <v>1200.4422781765966</v>
      </c>
      <c r="N369" s="8">
        <f t="shared" si="162"/>
        <v>17140.540922474389</v>
      </c>
      <c r="O369" s="84">
        <f t="shared" si="163"/>
        <v>15940.098644297794</v>
      </c>
    </row>
    <row r="370" spans="1:15" x14ac:dyDescent="0.2">
      <c r="A370" s="96" t="s">
        <v>56</v>
      </c>
      <c r="B370" s="81" t="str">
        <f t="shared" ref="B370:B384" si="171">+IF(MONTH(C370)&lt;4,"Q1",IF(MONTH(C370)&lt;7,"Q2",IF(MONTH(C370)&lt;10,"Q3","Q4")))&amp;"/"&amp;YEAR(C370)</f>
        <v>Q3/2014</v>
      </c>
      <c r="C370" s="82">
        <f t="shared" si="166"/>
        <v>41821</v>
      </c>
      <c r="D370" s="82">
        <f t="shared" si="167"/>
        <v>41912</v>
      </c>
      <c r="E370" s="81">
        <f t="shared" si="164"/>
        <v>92</v>
      </c>
      <c r="F370" s="83">
        <f>VLOOKUP(D370,'FERC Interest Rate'!$A:$B,2,TRUE)</f>
        <v>3.2500000000000001E-2</v>
      </c>
      <c r="G370" s="84">
        <f t="shared" si="165"/>
        <v>15940.098644297794</v>
      </c>
      <c r="H370" s="84">
        <v>0</v>
      </c>
      <c r="I370" s="109">
        <f t="shared" si="168"/>
        <v>62.673242953186332</v>
      </c>
      <c r="J370" s="85">
        <f t="shared" si="169"/>
        <v>130.57779437383672</v>
      </c>
      <c r="K370" s="129">
        <f t="shared" si="160"/>
        <v>193.25103732702306</v>
      </c>
      <c r="L370" s="85">
        <f t="shared" si="170"/>
        <v>1000</v>
      </c>
      <c r="M370" s="130">
        <f t="shared" si="161"/>
        <v>1193.2510373270231</v>
      </c>
      <c r="N370" s="8">
        <f t="shared" si="162"/>
        <v>16070.676438671631</v>
      </c>
      <c r="O370" s="84">
        <f t="shared" si="163"/>
        <v>14877.425401344608</v>
      </c>
    </row>
    <row r="371" spans="1:15" x14ac:dyDescent="0.2">
      <c r="A371" s="96" t="s">
        <v>57</v>
      </c>
      <c r="B371" s="81" t="str">
        <f t="shared" si="171"/>
        <v>Q4/2014</v>
      </c>
      <c r="C371" s="82">
        <f t="shared" si="166"/>
        <v>41913</v>
      </c>
      <c r="D371" s="82">
        <f t="shared" si="167"/>
        <v>42004</v>
      </c>
      <c r="E371" s="81">
        <f t="shared" si="164"/>
        <v>92</v>
      </c>
      <c r="F371" s="83">
        <f>VLOOKUP(D371,'FERC Interest Rate'!$A:$B,2,TRUE)</f>
        <v>3.2500000000000001E-2</v>
      </c>
      <c r="G371" s="84">
        <f t="shared" si="165"/>
        <v>14877.425401344608</v>
      </c>
      <c r="H371" s="84">
        <v>0</v>
      </c>
      <c r="I371" s="109">
        <f t="shared" si="168"/>
        <v>62.673242953186332</v>
      </c>
      <c r="J371" s="85">
        <f t="shared" si="169"/>
        <v>121.87260808224762</v>
      </c>
      <c r="K371" s="129">
        <f t="shared" si="160"/>
        <v>184.54585103543394</v>
      </c>
      <c r="L371" s="85">
        <f t="shared" si="170"/>
        <v>1000</v>
      </c>
      <c r="M371" s="130">
        <f t="shared" si="161"/>
        <v>1184.545851035434</v>
      </c>
      <c r="N371" s="8">
        <f t="shared" si="162"/>
        <v>14999.298009426855</v>
      </c>
      <c r="O371" s="84">
        <f t="shared" si="163"/>
        <v>13814.752158391422</v>
      </c>
    </row>
    <row r="372" spans="1:15" x14ac:dyDescent="0.2">
      <c r="A372" s="96" t="s">
        <v>58</v>
      </c>
      <c r="B372" s="81" t="str">
        <f t="shared" si="171"/>
        <v>Q1/2015</v>
      </c>
      <c r="C372" s="82">
        <f t="shared" si="166"/>
        <v>42005</v>
      </c>
      <c r="D372" s="82">
        <f t="shared" si="167"/>
        <v>42094</v>
      </c>
      <c r="E372" s="81">
        <f t="shared" si="164"/>
        <v>90</v>
      </c>
      <c r="F372" s="83">
        <f>VLOOKUP(D372,'FERC Interest Rate'!$A:$B,2,TRUE)</f>
        <v>3.2500000000000001E-2</v>
      </c>
      <c r="G372" s="84">
        <f t="shared" si="165"/>
        <v>13814.752158391422</v>
      </c>
      <c r="H372" s="84">
        <v>0</v>
      </c>
      <c r="I372" s="109">
        <f t="shared" si="168"/>
        <v>62.673242953186332</v>
      </c>
      <c r="J372" s="85">
        <f t="shared" si="169"/>
        <v>110.70726044738332</v>
      </c>
      <c r="K372" s="129">
        <f t="shared" si="160"/>
        <v>173.38050340056964</v>
      </c>
      <c r="L372" s="85">
        <f t="shared" si="170"/>
        <v>1000</v>
      </c>
      <c r="M372" s="130">
        <f t="shared" si="161"/>
        <v>1173.3805034005695</v>
      </c>
      <c r="N372" s="8">
        <f t="shared" si="162"/>
        <v>13925.459418838806</v>
      </c>
      <c r="O372" s="84">
        <f t="shared" si="163"/>
        <v>12752.078915438236</v>
      </c>
    </row>
    <row r="373" spans="1:15" x14ac:dyDescent="0.2">
      <c r="A373" s="96" t="s">
        <v>59</v>
      </c>
      <c r="B373" s="81" t="str">
        <f t="shared" si="171"/>
        <v>Q2/2015</v>
      </c>
      <c r="C373" s="82">
        <f t="shared" si="166"/>
        <v>42095</v>
      </c>
      <c r="D373" s="82">
        <f t="shared" si="167"/>
        <v>42185</v>
      </c>
      <c r="E373" s="81">
        <f t="shared" si="164"/>
        <v>91</v>
      </c>
      <c r="F373" s="83">
        <f>VLOOKUP(D373,'FERC Interest Rate'!$A:$B,2,TRUE)</f>
        <v>3.2500000000000001E-2</v>
      </c>
      <c r="G373" s="84">
        <f t="shared" si="165"/>
        <v>12752.078915438236</v>
      </c>
      <c r="H373" s="84">
        <v>0</v>
      </c>
      <c r="I373" s="109">
        <f t="shared" si="168"/>
        <v>62.673242953186332</v>
      </c>
      <c r="J373" s="85">
        <f t="shared" si="169"/>
        <v>103.32677641755777</v>
      </c>
      <c r="K373" s="129">
        <f t="shared" si="160"/>
        <v>166.0000193707441</v>
      </c>
      <c r="L373" s="85">
        <f t="shared" si="170"/>
        <v>1000</v>
      </c>
      <c r="M373" s="130">
        <f t="shared" si="161"/>
        <v>1166.0000193707442</v>
      </c>
      <c r="N373" s="8">
        <f t="shared" si="162"/>
        <v>12855.405691855794</v>
      </c>
      <c r="O373" s="84">
        <f t="shared" si="163"/>
        <v>11689.405672485051</v>
      </c>
    </row>
    <row r="374" spans="1:15" x14ac:dyDescent="0.2">
      <c r="A374" s="96" t="s">
        <v>60</v>
      </c>
      <c r="B374" s="81" t="str">
        <f t="shared" si="171"/>
        <v>Q3/2015</v>
      </c>
      <c r="C374" s="82">
        <f t="shared" si="166"/>
        <v>42186</v>
      </c>
      <c r="D374" s="82">
        <f t="shared" si="167"/>
        <v>42277</v>
      </c>
      <c r="E374" s="81">
        <f t="shared" si="164"/>
        <v>92</v>
      </c>
      <c r="F374" s="83">
        <f>VLOOKUP(D374,'FERC Interest Rate'!$A:$B,2,TRUE)</f>
        <v>3.2500000000000001E-2</v>
      </c>
      <c r="G374" s="84">
        <f t="shared" si="165"/>
        <v>11689.405672485051</v>
      </c>
      <c r="H374" s="84">
        <v>0</v>
      </c>
      <c r="I374" s="109">
        <f t="shared" si="168"/>
        <v>62.673242953186332</v>
      </c>
      <c r="J374" s="85">
        <f t="shared" si="169"/>
        <v>95.757049207480293</v>
      </c>
      <c r="K374" s="129">
        <f t="shared" si="160"/>
        <v>158.43029216066662</v>
      </c>
      <c r="L374" s="85">
        <f t="shared" si="170"/>
        <v>1000</v>
      </c>
      <c r="M374" s="130">
        <f t="shared" si="161"/>
        <v>1158.4302921606666</v>
      </c>
      <c r="N374" s="8">
        <f t="shared" si="162"/>
        <v>11785.162721692532</v>
      </c>
      <c r="O374" s="84">
        <f t="shared" si="163"/>
        <v>10626.732429531865</v>
      </c>
    </row>
    <row r="375" spans="1:15" x14ac:dyDescent="0.2">
      <c r="A375" s="96" t="s">
        <v>61</v>
      </c>
      <c r="B375" s="81" t="str">
        <f t="shared" si="171"/>
        <v>Q4/2015</v>
      </c>
      <c r="C375" s="82">
        <f t="shared" si="166"/>
        <v>42278</v>
      </c>
      <c r="D375" s="82">
        <f t="shared" si="167"/>
        <v>42369</v>
      </c>
      <c r="E375" s="81">
        <f t="shared" si="164"/>
        <v>92</v>
      </c>
      <c r="F375" s="83">
        <f>VLOOKUP(D375,'FERC Interest Rate'!$A:$B,2,TRUE)</f>
        <v>3.2500000000000001E-2</v>
      </c>
      <c r="G375" s="84">
        <f t="shared" si="165"/>
        <v>10626.732429531865</v>
      </c>
      <c r="H375" s="84">
        <v>0</v>
      </c>
      <c r="I375" s="109">
        <f t="shared" si="168"/>
        <v>62.673242953186332</v>
      </c>
      <c r="J375" s="85">
        <f t="shared" si="169"/>
        <v>87.051862915891178</v>
      </c>
      <c r="K375" s="129">
        <f t="shared" si="160"/>
        <v>149.72510586907751</v>
      </c>
      <c r="L375" s="85">
        <f t="shared" si="170"/>
        <v>1000</v>
      </c>
      <c r="M375" s="130">
        <f t="shared" si="161"/>
        <v>1149.7251058690774</v>
      </c>
      <c r="N375" s="8">
        <f t="shared" si="162"/>
        <v>10713.784292447755</v>
      </c>
      <c r="O375" s="84">
        <f t="shared" si="163"/>
        <v>9564.0591865786791</v>
      </c>
    </row>
    <row r="376" spans="1:15" x14ac:dyDescent="0.2">
      <c r="A376" s="96" t="s">
        <v>62</v>
      </c>
      <c r="B376" s="81" t="str">
        <f t="shared" si="171"/>
        <v>Q1/2016</v>
      </c>
      <c r="C376" s="82">
        <f t="shared" si="166"/>
        <v>42370</v>
      </c>
      <c r="D376" s="82">
        <f t="shared" si="167"/>
        <v>42460</v>
      </c>
      <c r="E376" s="81">
        <f t="shared" si="164"/>
        <v>91</v>
      </c>
      <c r="F376" s="83">
        <f>VLOOKUP(D376,'FERC Interest Rate'!$A:$B,2,TRUE)</f>
        <v>3.2500000000000001E-2</v>
      </c>
      <c r="G376" s="84">
        <f t="shared" si="165"/>
        <v>9564.0591865786791</v>
      </c>
      <c r="H376" s="84">
        <v>0</v>
      </c>
      <c r="I376" s="109">
        <f t="shared" si="168"/>
        <v>62.673242953186332</v>
      </c>
      <c r="J376" s="85">
        <f t="shared" si="169"/>
        <v>77.283347115591383</v>
      </c>
      <c r="K376" s="129">
        <f t="shared" si="160"/>
        <v>139.9565900687777</v>
      </c>
      <c r="L376" s="85">
        <f t="shared" si="170"/>
        <v>1000</v>
      </c>
      <c r="M376" s="130">
        <f t="shared" si="161"/>
        <v>1139.9565900687776</v>
      </c>
      <c r="N376" s="8">
        <f t="shared" si="162"/>
        <v>9641.342533694271</v>
      </c>
      <c r="O376" s="84">
        <f t="shared" si="163"/>
        <v>8501.3859436254934</v>
      </c>
    </row>
    <row r="377" spans="1:15" x14ac:dyDescent="0.2">
      <c r="A377" s="96" t="s">
        <v>63</v>
      </c>
      <c r="B377" s="81" t="str">
        <f t="shared" si="171"/>
        <v>Q2/2016</v>
      </c>
      <c r="C377" s="82">
        <f t="shared" si="166"/>
        <v>42461</v>
      </c>
      <c r="D377" s="82">
        <f t="shared" si="167"/>
        <v>42551</v>
      </c>
      <c r="E377" s="81">
        <f t="shared" si="164"/>
        <v>91</v>
      </c>
      <c r="F377" s="83">
        <f>VLOOKUP(D377,'FERC Interest Rate'!$A:$B,2,TRUE)</f>
        <v>3.4599999999999999E-2</v>
      </c>
      <c r="G377" s="84">
        <f t="shared" si="165"/>
        <v>8501.3859436254934</v>
      </c>
      <c r="H377" s="84">
        <v>0</v>
      </c>
      <c r="I377" s="109">
        <f t="shared" si="168"/>
        <v>62.673242953186332</v>
      </c>
      <c r="J377" s="85">
        <f t="shared" si="169"/>
        <v>73.135146945626303</v>
      </c>
      <c r="K377" s="129">
        <f t="shared" si="160"/>
        <v>135.80838989881264</v>
      </c>
      <c r="L377" s="85">
        <f t="shared" si="170"/>
        <v>1000</v>
      </c>
      <c r="M377" s="130">
        <f t="shared" si="161"/>
        <v>1135.8083898988127</v>
      </c>
      <c r="N377" s="8">
        <f t="shared" si="162"/>
        <v>8574.5210905711192</v>
      </c>
      <c r="O377" s="84">
        <f t="shared" si="163"/>
        <v>7438.7127006723067</v>
      </c>
    </row>
    <row r="378" spans="1:15" x14ac:dyDescent="0.2">
      <c r="A378" s="96" t="s">
        <v>64</v>
      </c>
      <c r="B378" s="81" t="str">
        <f t="shared" si="171"/>
        <v>Q3/2016</v>
      </c>
      <c r="C378" s="82">
        <f t="shared" si="166"/>
        <v>42552</v>
      </c>
      <c r="D378" s="82">
        <f t="shared" si="167"/>
        <v>42643</v>
      </c>
      <c r="E378" s="81">
        <f t="shared" si="164"/>
        <v>92</v>
      </c>
      <c r="F378" s="83">
        <f>VLOOKUP(D378,'FERC Interest Rate'!$A:$B,2,TRUE)</f>
        <v>3.5000000000000003E-2</v>
      </c>
      <c r="G378" s="84">
        <f t="shared" si="165"/>
        <v>7438.7127006723067</v>
      </c>
      <c r="H378" s="84">
        <v>0</v>
      </c>
      <c r="I378" s="109">
        <f t="shared" si="168"/>
        <v>62.673242953186332</v>
      </c>
      <c r="J378" s="85">
        <f t="shared" si="169"/>
        <v>65.444412284603359</v>
      </c>
      <c r="K378" s="129">
        <f t="shared" si="160"/>
        <v>128.11765523778968</v>
      </c>
      <c r="L378" s="85">
        <f t="shared" si="170"/>
        <v>1000</v>
      </c>
      <c r="M378" s="130">
        <f t="shared" si="161"/>
        <v>1128.1176552377897</v>
      </c>
      <c r="N378" s="8">
        <f t="shared" si="162"/>
        <v>7504.1571129569102</v>
      </c>
      <c r="O378" s="84">
        <f t="shared" si="163"/>
        <v>6376.03945771912</v>
      </c>
    </row>
    <row r="379" spans="1:15" x14ac:dyDescent="0.2">
      <c r="A379" s="96" t="s">
        <v>65</v>
      </c>
      <c r="B379" s="81" t="str">
        <f t="shared" si="171"/>
        <v>Q4/2016</v>
      </c>
      <c r="C379" s="82">
        <f t="shared" si="166"/>
        <v>42644</v>
      </c>
      <c r="D379" s="82">
        <f t="shared" si="167"/>
        <v>42735</v>
      </c>
      <c r="E379" s="81">
        <f t="shared" si="164"/>
        <v>92</v>
      </c>
      <c r="F379" s="83">
        <f>VLOOKUP(D379,'FERC Interest Rate'!$A:$B,2,TRUE)</f>
        <v>3.5000000000000003E-2</v>
      </c>
      <c r="G379" s="84">
        <f t="shared" si="165"/>
        <v>6376.03945771912</v>
      </c>
      <c r="H379" s="84">
        <v>0</v>
      </c>
      <c r="I379" s="109">
        <f t="shared" si="168"/>
        <v>62.673242953186332</v>
      </c>
      <c r="J379" s="85">
        <f t="shared" si="169"/>
        <v>56.095210529660022</v>
      </c>
      <c r="K379" s="129">
        <f t="shared" si="160"/>
        <v>118.76845348284635</v>
      </c>
      <c r="L379" s="85">
        <f t="shared" si="170"/>
        <v>1000</v>
      </c>
      <c r="M379" s="130">
        <f t="shared" si="161"/>
        <v>1118.7684534828463</v>
      </c>
      <c r="N379" s="8">
        <f t="shared" si="162"/>
        <v>6432.1346682487801</v>
      </c>
      <c r="O379" s="84">
        <f t="shared" si="163"/>
        <v>5313.3662147659334</v>
      </c>
    </row>
    <row r="380" spans="1:15" x14ac:dyDescent="0.2">
      <c r="A380" s="96" t="s">
        <v>66</v>
      </c>
      <c r="B380" s="81" t="str">
        <f t="shared" si="171"/>
        <v>Q1/2017</v>
      </c>
      <c r="C380" s="82">
        <f t="shared" si="166"/>
        <v>42736</v>
      </c>
      <c r="D380" s="82">
        <f t="shared" si="167"/>
        <v>42825</v>
      </c>
      <c r="E380" s="81">
        <f t="shared" si="164"/>
        <v>90</v>
      </c>
      <c r="F380" s="83">
        <f>VLOOKUP(D380,'FERC Interest Rate'!$A:$B,2,TRUE)</f>
        <v>3.5000000000000003E-2</v>
      </c>
      <c r="G380" s="84">
        <f t="shared" si="165"/>
        <v>5313.3662147659334</v>
      </c>
      <c r="H380" s="84">
        <v>0</v>
      </c>
      <c r="I380" s="109">
        <f t="shared" si="168"/>
        <v>62.673242953186332</v>
      </c>
      <c r="J380" s="85">
        <f t="shared" si="169"/>
        <v>45.855078291815587</v>
      </c>
      <c r="K380" s="129">
        <f t="shared" si="160"/>
        <v>108.52832124500192</v>
      </c>
      <c r="L380" s="85">
        <f t="shared" si="170"/>
        <v>1000</v>
      </c>
      <c r="M380" s="130">
        <f t="shared" si="161"/>
        <v>1108.528321245002</v>
      </c>
      <c r="N380" s="8">
        <f t="shared" si="162"/>
        <v>5359.2212930577489</v>
      </c>
      <c r="O380" s="84">
        <f t="shared" si="163"/>
        <v>4250.6929718127467</v>
      </c>
    </row>
    <row r="381" spans="1:15" x14ac:dyDescent="0.2">
      <c r="A381" s="96" t="s">
        <v>67</v>
      </c>
      <c r="B381" s="81" t="str">
        <f t="shared" si="171"/>
        <v>Q2/2017</v>
      </c>
      <c r="C381" s="82">
        <f t="shared" si="166"/>
        <v>42826</v>
      </c>
      <c r="D381" s="82">
        <f t="shared" si="167"/>
        <v>42916</v>
      </c>
      <c r="E381" s="81">
        <f t="shared" si="164"/>
        <v>91</v>
      </c>
      <c r="F381" s="83">
        <f>VLOOKUP(D381,'FERC Interest Rate'!$A:$B,2,TRUE)</f>
        <v>3.7100000000000001E-2</v>
      </c>
      <c r="G381" s="84">
        <f t="shared" si="165"/>
        <v>4250.6929718127467</v>
      </c>
      <c r="H381" s="84">
        <v>0</v>
      </c>
      <c r="I381" s="109">
        <f t="shared" si="168"/>
        <v>62.673242953186332</v>
      </c>
      <c r="J381" s="85">
        <f t="shared" si="169"/>
        <v>39.317163129142507</v>
      </c>
      <c r="K381" s="129">
        <f t="shared" si="160"/>
        <v>101.99040608232883</v>
      </c>
      <c r="L381" s="85">
        <f t="shared" si="170"/>
        <v>1000</v>
      </c>
      <c r="M381" s="130">
        <f t="shared" si="161"/>
        <v>1101.9904060823287</v>
      </c>
      <c r="N381" s="8">
        <f t="shared" si="162"/>
        <v>4290.0101349418892</v>
      </c>
      <c r="O381" s="84">
        <f t="shared" si="163"/>
        <v>3188.0197288595605</v>
      </c>
    </row>
    <row r="382" spans="1:15" x14ac:dyDescent="0.2">
      <c r="A382" s="96" t="s">
        <v>68</v>
      </c>
      <c r="B382" s="81" t="str">
        <f t="shared" si="171"/>
        <v>Q3/2017</v>
      </c>
      <c r="C382" s="82">
        <f t="shared" si="166"/>
        <v>42917</v>
      </c>
      <c r="D382" s="82">
        <f t="shared" si="167"/>
        <v>43008</v>
      </c>
      <c r="E382" s="81">
        <f t="shared" si="164"/>
        <v>92</v>
      </c>
      <c r="F382" s="83">
        <f>VLOOKUP(D382,'FERC Interest Rate'!$A:$B,2,TRUE)</f>
        <v>3.9600000000000003E-2</v>
      </c>
      <c r="G382" s="84">
        <f t="shared" si="165"/>
        <v>3188.0197288595605</v>
      </c>
      <c r="H382" s="84">
        <v>0</v>
      </c>
      <c r="I382" s="109">
        <f t="shared" si="168"/>
        <v>62.673242953186332</v>
      </c>
      <c r="J382" s="85">
        <f t="shared" si="169"/>
        <v>31.820804044331922</v>
      </c>
      <c r="K382" s="129">
        <f t="shared" si="160"/>
        <v>94.494046997518254</v>
      </c>
      <c r="L382" s="85">
        <f t="shared" si="170"/>
        <v>1000</v>
      </c>
      <c r="M382" s="130">
        <f t="shared" si="161"/>
        <v>1094.4940469975184</v>
      </c>
      <c r="N382" s="8">
        <f t="shared" si="162"/>
        <v>3219.8405329038924</v>
      </c>
      <c r="O382" s="84">
        <f t="shared" si="163"/>
        <v>2125.3464859063743</v>
      </c>
    </row>
    <row r="383" spans="1:15" x14ac:dyDescent="0.2">
      <c r="A383" s="96" t="s">
        <v>69</v>
      </c>
      <c r="B383" s="81" t="str">
        <f t="shared" si="171"/>
        <v>Q4/2017</v>
      </c>
      <c r="C383" s="82">
        <f t="shared" si="166"/>
        <v>43009</v>
      </c>
      <c r="D383" s="82">
        <f t="shared" si="167"/>
        <v>43100</v>
      </c>
      <c r="E383" s="81">
        <f t="shared" si="164"/>
        <v>92</v>
      </c>
      <c r="F383" s="83">
        <f>VLOOKUP(D383,'FERC Interest Rate'!$A:$B,2,TRUE)</f>
        <v>4.2099999999999999E-2</v>
      </c>
      <c r="G383" s="84">
        <f t="shared" si="165"/>
        <v>2125.3464859063743</v>
      </c>
      <c r="H383" s="84">
        <v>0</v>
      </c>
      <c r="I383" s="109">
        <f t="shared" si="168"/>
        <v>62.673242953186332</v>
      </c>
      <c r="J383" s="85">
        <f t="shared" si="169"/>
        <v>22.553128792363204</v>
      </c>
      <c r="K383" s="129">
        <f t="shared" si="160"/>
        <v>85.226371745549528</v>
      </c>
      <c r="L383" s="85">
        <f t="shared" si="170"/>
        <v>1000</v>
      </c>
      <c r="M383" s="130">
        <f t="shared" si="161"/>
        <v>1085.2263717455496</v>
      </c>
      <c r="N383" s="8">
        <f t="shared" si="162"/>
        <v>2147.8996146987374</v>
      </c>
      <c r="O383" s="84">
        <f t="shared" si="163"/>
        <v>1062.673242953188</v>
      </c>
    </row>
    <row r="384" spans="1:15" x14ac:dyDescent="0.2">
      <c r="A384" s="96" t="s">
        <v>70</v>
      </c>
      <c r="B384" s="81" t="str">
        <f t="shared" si="171"/>
        <v>Q1/2018</v>
      </c>
      <c r="C384" s="82">
        <f t="shared" si="166"/>
        <v>43101</v>
      </c>
      <c r="D384" s="82">
        <f t="shared" si="167"/>
        <v>43190</v>
      </c>
      <c r="E384" s="81">
        <f t="shared" si="164"/>
        <v>90</v>
      </c>
      <c r="F384" s="83">
        <f>VLOOKUP(D384,'FERC Interest Rate'!$A:$B,2,TRUE)</f>
        <v>4.2500000000000003E-2</v>
      </c>
      <c r="G384" s="84">
        <f t="shared" si="165"/>
        <v>1062.673242953188</v>
      </c>
      <c r="H384" s="84">
        <v>0</v>
      </c>
      <c r="I384" s="109">
        <f t="shared" si="168"/>
        <v>62.673242953186332</v>
      </c>
      <c r="J384" s="85">
        <f t="shared" si="169"/>
        <v>11.136233299440944</v>
      </c>
      <c r="K384" s="129">
        <f t="shared" si="160"/>
        <v>73.809476252627277</v>
      </c>
      <c r="L384" s="85">
        <f t="shared" si="170"/>
        <v>1000</v>
      </c>
      <c r="M384" s="130">
        <f t="shared" si="161"/>
        <v>1073.8094762526273</v>
      </c>
      <c r="N384" s="8">
        <f t="shared" si="162"/>
        <v>1073.8094762526289</v>
      </c>
      <c r="O384" s="84">
        <f t="shared" si="163"/>
        <v>1.7053025658242404E-12</v>
      </c>
    </row>
    <row r="385" spans="1:15" x14ac:dyDescent="0.2">
      <c r="A385" s="96"/>
      <c r="B385" s="81"/>
      <c r="C385" s="82"/>
      <c r="D385" s="82"/>
      <c r="E385" s="81"/>
      <c r="F385" s="83"/>
      <c r="G385" s="84"/>
      <c r="H385" s="84"/>
      <c r="I385" s="109"/>
      <c r="J385" s="85"/>
      <c r="K385" s="129"/>
      <c r="L385" s="85"/>
      <c r="M385" s="130"/>
      <c r="N385" s="8"/>
      <c r="O385" s="84"/>
    </row>
    <row r="386" spans="1:15" ht="13.5" thickBot="1" x14ac:dyDescent="0.25">
      <c r="A386" s="151"/>
      <c r="B386" s="152"/>
      <c r="C386" s="153"/>
      <c r="D386" s="153"/>
      <c r="E386" s="154"/>
      <c r="F386" s="152"/>
      <c r="G386" s="140">
        <f>+SUM(G361:G385)</f>
        <v>308584.99756262958</v>
      </c>
      <c r="H386" s="140">
        <f t="shared" ref="H386:O386" si="172">+SUM(H361:H385)</f>
        <v>1253.4648590637266</v>
      </c>
      <c r="I386" s="141">
        <f t="shared" si="172"/>
        <v>1253.4648590637262</v>
      </c>
      <c r="J386" s="140">
        <f t="shared" si="172"/>
        <v>1209.7029111003822</v>
      </c>
      <c r="K386" s="140">
        <f t="shared" si="172"/>
        <v>2463.1677701641083</v>
      </c>
      <c r="L386" s="140">
        <f t="shared" si="172"/>
        <v>20000</v>
      </c>
      <c r="M386" s="142">
        <f t="shared" si="172"/>
        <v>22463.167770164109</v>
      </c>
      <c r="N386" s="140">
        <f t="shared" si="172"/>
        <v>311048.16533279367</v>
      </c>
      <c r="O386" s="140">
        <f t="shared" si="172"/>
        <v>288584.99756262958</v>
      </c>
    </row>
    <row r="387" spans="1:15" ht="13.5" thickTop="1" x14ac:dyDescent="0.2">
      <c r="B387" s="117"/>
      <c r="C387" s="117"/>
      <c r="D387" s="117"/>
      <c r="E387" s="117"/>
      <c r="F387" s="117"/>
      <c r="G387" s="117"/>
      <c r="H387" s="117"/>
      <c r="I387" s="116"/>
      <c r="J387" s="117"/>
      <c r="K387" s="117"/>
      <c r="L387" s="117"/>
      <c r="M387" s="131"/>
      <c r="O387" s="117"/>
    </row>
    <row r="388" spans="1:15" ht="38.25" x14ac:dyDescent="0.2">
      <c r="A388" s="90" t="s">
        <v>53</v>
      </c>
      <c r="B388" s="90" t="s">
        <v>3</v>
      </c>
      <c r="C388" s="90" t="s">
        <v>4</v>
      </c>
      <c r="D388" s="90" t="s">
        <v>5</v>
      </c>
      <c r="E388" s="90" t="s">
        <v>6</v>
      </c>
      <c r="F388" s="90" t="s">
        <v>7</v>
      </c>
      <c r="G388" s="90" t="s">
        <v>93</v>
      </c>
      <c r="H388" s="90" t="s">
        <v>94</v>
      </c>
      <c r="I388" s="105" t="s">
        <v>95</v>
      </c>
      <c r="J388" s="106" t="s">
        <v>96</v>
      </c>
      <c r="K388" s="106" t="s">
        <v>97</v>
      </c>
      <c r="L388" s="106" t="s">
        <v>98</v>
      </c>
      <c r="M388" s="107" t="s">
        <v>99</v>
      </c>
      <c r="N388" s="90" t="s">
        <v>100</v>
      </c>
      <c r="O388" s="90" t="s">
        <v>101</v>
      </c>
    </row>
    <row r="389" spans="1:15" x14ac:dyDescent="0.2">
      <c r="A389" s="275" t="s">
        <v>15</v>
      </c>
      <c r="B389" s="275"/>
      <c r="C389" s="282">
        <f>VLOOKUP(B390,A$1:F$33,2,FALSE)</f>
        <v>41064</v>
      </c>
      <c r="D389" s="282">
        <f>DATE(YEAR(C389),IF(MONTH(C389)&lt;=3,3,IF(MONTH(C389)&lt;=6,6,IF(MONTH(C389)&lt;=9,9,12))),IF(OR(MONTH(C389)&lt;=3,MONTH(C389)&gt;=10),31,30))</f>
        <v>41090</v>
      </c>
      <c r="E389" s="283">
        <f>D389-C389+1</f>
        <v>27</v>
      </c>
      <c r="F389" s="284">
        <f>VLOOKUP(D389,'FERC Interest Rate'!$A:$B,2,TRUE)</f>
        <v>3.2500000000000001E-2</v>
      </c>
      <c r="G389" s="167">
        <f>VLOOKUP(B390,$A$1:$F$33,5,FALSE)</f>
        <v>10000</v>
      </c>
      <c r="H389" s="167">
        <f t="shared" ref="H389:H396" si="173">G389*F389*(E389/(DATE(YEAR(D389),12,31)-DATE(YEAR(D389),1,1)+1))</f>
        <v>23.975409836065573</v>
      </c>
      <c r="I389" s="291">
        <v>0</v>
      </c>
      <c r="J389" s="286">
        <v>0</v>
      </c>
      <c r="K389" s="288">
        <f t="shared" ref="K389:K412" si="174">+SUM(I389:J389)</f>
        <v>0</v>
      </c>
      <c r="L389" s="286">
        <v>0</v>
      </c>
      <c r="M389" s="289">
        <f t="shared" ref="M389:M412" si="175">+SUM(K389:L389)</f>
        <v>0</v>
      </c>
      <c r="N389" s="290">
        <f t="shared" ref="N389:N412" si="176">+G389+H389+J389</f>
        <v>10023.975409836066</v>
      </c>
      <c r="O389" s="167">
        <f t="shared" ref="O389:O412" si="177">G389+H389-L389-I389</f>
        <v>10023.975409836066</v>
      </c>
    </row>
    <row r="390" spans="1:15" x14ac:dyDescent="0.2">
      <c r="A390" s="275" t="s">
        <v>38</v>
      </c>
      <c r="B390" s="276" t="s">
        <v>90</v>
      </c>
      <c r="C390" s="282">
        <f>D389+1</f>
        <v>41091</v>
      </c>
      <c r="D390" s="282">
        <f>EOMONTH(D389,3)</f>
        <v>41182</v>
      </c>
      <c r="E390" s="283">
        <f t="shared" ref="E390:E412" si="178">D390-C390+1</f>
        <v>92</v>
      </c>
      <c r="F390" s="284">
        <f>VLOOKUP(D390,'FERC Interest Rate'!$A:$B,2,TRUE)</f>
        <v>3.2500000000000001E-2</v>
      </c>
      <c r="G390" s="167">
        <f t="shared" ref="G390:G412" si="179">O389</f>
        <v>10023.975409836066</v>
      </c>
      <c r="H390" s="167">
        <f t="shared" si="173"/>
        <v>81.889853757950377</v>
      </c>
      <c r="I390" s="291">
        <v>0</v>
      </c>
      <c r="J390" s="286">
        <v>0</v>
      </c>
      <c r="K390" s="288">
        <f t="shared" si="174"/>
        <v>0</v>
      </c>
      <c r="L390" s="286">
        <v>0</v>
      </c>
      <c r="M390" s="289">
        <f t="shared" si="175"/>
        <v>0</v>
      </c>
      <c r="N390" s="290">
        <f t="shared" si="176"/>
        <v>10105.865263594016</v>
      </c>
      <c r="O390" s="167">
        <f t="shared" si="177"/>
        <v>10105.865263594016</v>
      </c>
    </row>
    <row r="391" spans="1:15" x14ac:dyDescent="0.2">
      <c r="A391" s="292"/>
      <c r="B391" s="283"/>
      <c r="C391" s="282">
        <f t="shared" ref="C391:C412" si="180">D390+1</f>
        <v>41183</v>
      </c>
      <c r="D391" s="282">
        <f t="shared" ref="D391:D412" si="181">EOMONTH(D390,3)</f>
        <v>41274</v>
      </c>
      <c r="E391" s="283">
        <f t="shared" si="178"/>
        <v>92</v>
      </c>
      <c r="F391" s="284">
        <f>VLOOKUP(D391,'FERC Interest Rate'!$A:$B,2,TRUE)</f>
        <v>3.2500000000000001E-2</v>
      </c>
      <c r="G391" s="167">
        <f t="shared" si="179"/>
        <v>10105.865263594016</v>
      </c>
      <c r="H391" s="167">
        <f t="shared" si="173"/>
        <v>82.558844639743469</v>
      </c>
      <c r="I391" s="291">
        <v>0</v>
      </c>
      <c r="J391" s="286">
        <v>0</v>
      </c>
      <c r="K391" s="288">
        <f t="shared" si="174"/>
        <v>0</v>
      </c>
      <c r="L391" s="286">
        <v>0</v>
      </c>
      <c r="M391" s="289">
        <f t="shared" si="175"/>
        <v>0</v>
      </c>
      <c r="N391" s="290">
        <f t="shared" si="176"/>
        <v>10188.424108233759</v>
      </c>
      <c r="O391" s="167">
        <f t="shared" si="177"/>
        <v>10188.424108233759</v>
      </c>
    </row>
    <row r="392" spans="1:15" x14ac:dyDescent="0.2">
      <c r="A392" s="292"/>
      <c r="B392" s="283"/>
      <c r="C392" s="282">
        <f t="shared" si="180"/>
        <v>41275</v>
      </c>
      <c r="D392" s="282">
        <f t="shared" si="181"/>
        <v>41364</v>
      </c>
      <c r="E392" s="283">
        <f t="shared" si="178"/>
        <v>90</v>
      </c>
      <c r="F392" s="284">
        <f>VLOOKUP(D392,'FERC Interest Rate'!$A:$B,2,TRUE)</f>
        <v>3.2500000000000001E-2</v>
      </c>
      <c r="G392" s="167">
        <f t="shared" si="179"/>
        <v>10188.424108233759</v>
      </c>
      <c r="H392" s="167">
        <f t="shared" si="173"/>
        <v>81.646960319407526</v>
      </c>
      <c r="I392" s="291">
        <v>0</v>
      </c>
      <c r="J392" s="286">
        <v>0</v>
      </c>
      <c r="K392" s="288">
        <f t="shared" si="174"/>
        <v>0</v>
      </c>
      <c r="L392" s="286">
        <v>0</v>
      </c>
      <c r="M392" s="289">
        <f t="shared" si="175"/>
        <v>0</v>
      </c>
      <c r="N392" s="290">
        <f t="shared" si="176"/>
        <v>10270.071068553167</v>
      </c>
      <c r="O392" s="167">
        <f t="shared" si="177"/>
        <v>10270.071068553167</v>
      </c>
    </row>
    <row r="393" spans="1:15" x14ac:dyDescent="0.2">
      <c r="A393" s="292"/>
      <c r="B393" s="283"/>
      <c r="C393" s="282">
        <f>D392+1</f>
        <v>41365</v>
      </c>
      <c r="D393" s="282">
        <f t="shared" si="181"/>
        <v>41455</v>
      </c>
      <c r="E393" s="283">
        <f>D393-C393+1</f>
        <v>91</v>
      </c>
      <c r="F393" s="284">
        <f>VLOOKUP(D393,'FERC Interest Rate'!$A:$B,2,TRUE)</f>
        <v>3.2500000000000001E-2</v>
      </c>
      <c r="G393" s="167">
        <f t="shared" si="179"/>
        <v>10270.071068553167</v>
      </c>
      <c r="H393" s="167">
        <f t="shared" si="173"/>
        <v>83.215712836290393</v>
      </c>
      <c r="I393" s="291">
        <v>0</v>
      </c>
      <c r="J393" s="286">
        <v>0</v>
      </c>
      <c r="K393" s="288">
        <f t="shared" si="174"/>
        <v>0</v>
      </c>
      <c r="L393" s="286">
        <v>0</v>
      </c>
      <c r="M393" s="289">
        <f t="shared" si="175"/>
        <v>0</v>
      </c>
      <c r="N393" s="290">
        <f t="shared" si="176"/>
        <v>10353.286781389457</v>
      </c>
      <c r="O393" s="167">
        <f t="shared" si="177"/>
        <v>10353.286781389457</v>
      </c>
    </row>
    <row r="394" spans="1:15" x14ac:dyDescent="0.2">
      <c r="A394" s="292"/>
      <c r="B394" s="283"/>
      <c r="C394" s="282">
        <f>D393+1</f>
        <v>41456</v>
      </c>
      <c r="D394" s="282">
        <f t="shared" si="181"/>
        <v>41547</v>
      </c>
      <c r="E394" s="283">
        <f>D394-C394+1</f>
        <v>92</v>
      </c>
      <c r="F394" s="284">
        <f>VLOOKUP(D394,'FERC Interest Rate'!$A:$B,2,TRUE)</f>
        <v>3.2500000000000001E-2</v>
      </c>
      <c r="G394" s="167">
        <f t="shared" si="179"/>
        <v>10353.286781389457</v>
      </c>
      <c r="H394" s="167">
        <f t="shared" si="173"/>
        <v>84.811856099601329</v>
      </c>
      <c r="I394" s="291">
        <v>0</v>
      </c>
      <c r="J394" s="286">
        <v>0</v>
      </c>
      <c r="K394" s="288">
        <f t="shared" si="174"/>
        <v>0</v>
      </c>
      <c r="L394" s="286">
        <v>0</v>
      </c>
      <c r="M394" s="289">
        <f t="shared" si="175"/>
        <v>0</v>
      </c>
      <c r="N394" s="290">
        <f t="shared" si="176"/>
        <v>10438.098637489058</v>
      </c>
      <c r="O394" s="167">
        <f t="shared" si="177"/>
        <v>10438.098637489058</v>
      </c>
    </row>
    <row r="395" spans="1:15" x14ac:dyDescent="0.2">
      <c r="A395" s="292"/>
      <c r="B395" s="283"/>
      <c r="C395" s="282">
        <f>D394+1</f>
        <v>41548</v>
      </c>
      <c r="D395" s="282">
        <f t="shared" si="181"/>
        <v>41639</v>
      </c>
      <c r="E395" s="283">
        <f>D395-C395+1</f>
        <v>92</v>
      </c>
      <c r="F395" s="284">
        <f>VLOOKUP(D395,'FERC Interest Rate'!$A:$B,2,TRUE)</f>
        <v>3.2500000000000001E-2</v>
      </c>
      <c r="G395" s="167">
        <f t="shared" si="179"/>
        <v>10438.098637489058</v>
      </c>
      <c r="H395" s="167">
        <f t="shared" si="173"/>
        <v>85.506616235869274</v>
      </c>
      <c r="I395" s="291">
        <v>0</v>
      </c>
      <c r="J395" s="286">
        <v>0</v>
      </c>
      <c r="K395" s="288">
        <f t="shared" si="174"/>
        <v>0</v>
      </c>
      <c r="L395" s="286">
        <v>0</v>
      </c>
      <c r="M395" s="289">
        <f t="shared" si="175"/>
        <v>0</v>
      </c>
      <c r="N395" s="290">
        <f t="shared" si="176"/>
        <v>10523.605253724927</v>
      </c>
      <c r="O395" s="167">
        <f t="shared" si="177"/>
        <v>10523.605253724927</v>
      </c>
    </row>
    <row r="396" spans="1:15" x14ac:dyDescent="0.2">
      <c r="A396" s="96" t="s">
        <v>54</v>
      </c>
      <c r="B396" s="81" t="str">
        <f>+IF(MONTH(C396)&lt;4,"Q1",IF(MONTH(C396)&lt;7,"Q2",IF(MONTH(C396)&lt;10,"Q3","Q4")))&amp;"/"&amp;YEAR(C396)</f>
        <v>Q1/2014</v>
      </c>
      <c r="C396" s="82">
        <f>D395+1</f>
        <v>41640</v>
      </c>
      <c r="D396" s="82">
        <f t="shared" si="181"/>
        <v>41729</v>
      </c>
      <c r="E396" s="81">
        <f>D396-C396+1</f>
        <v>90</v>
      </c>
      <c r="F396" s="83">
        <f>VLOOKUP(D396,'FERC Interest Rate'!$A:$B,2,TRUE)</f>
        <v>3.2500000000000001E-2</v>
      </c>
      <c r="G396" s="84">
        <f t="shared" si="179"/>
        <v>10523.605253724927</v>
      </c>
      <c r="H396" s="167">
        <f t="shared" si="173"/>
        <v>84.333001005877833</v>
      </c>
      <c r="I396" s="109">
        <f>(SUM($H$389:$H$412)/20)*4</f>
        <v>121.58765094616115</v>
      </c>
      <c r="J396" s="85">
        <v>0</v>
      </c>
      <c r="K396" s="129">
        <f t="shared" si="174"/>
        <v>121.58765094616115</v>
      </c>
      <c r="L396" s="85">
        <f>($G$389/20)*4</f>
        <v>2000</v>
      </c>
      <c r="M396" s="130">
        <f t="shared" si="175"/>
        <v>2121.5876509461614</v>
      </c>
      <c r="N396" s="8">
        <f t="shared" si="176"/>
        <v>10607.938254730805</v>
      </c>
      <c r="O396" s="84">
        <f t="shared" si="177"/>
        <v>8486.3506037846437</v>
      </c>
    </row>
    <row r="397" spans="1:15" x14ac:dyDescent="0.2">
      <c r="A397" s="96" t="s">
        <v>55</v>
      </c>
      <c r="B397" s="81" t="str">
        <f>+IF(MONTH(C397)&lt;4,"Q1",IF(MONTH(C397)&lt;7,"Q2",IF(MONTH(C397)&lt;10,"Q3","Q4")))&amp;"/"&amp;YEAR(C397)</f>
        <v>Q2/2014</v>
      </c>
      <c r="C397" s="82">
        <f t="shared" si="180"/>
        <v>41730</v>
      </c>
      <c r="D397" s="82">
        <f t="shared" si="181"/>
        <v>41820</v>
      </c>
      <c r="E397" s="81">
        <f t="shared" si="178"/>
        <v>91</v>
      </c>
      <c r="F397" s="83">
        <f>VLOOKUP(D397,'FERC Interest Rate'!$A:$B,2,TRUE)</f>
        <v>3.2500000000000001E-2</v>
      </c>
      <c r="G397" s="84">
        <f t="shared" si="179"/>
        <v>8486.3506037846437</v>
      </c>
      <c r="H397" s="84">
        <v>0</v>
      </c>
      <c r="I397" s="109">
        <f t="shared" ref="I397:I412" si="182">SUM($H$389:$H$412)/20</f>
        <v>30.396912736540287</v>
      </c>
      <c r="J397" s="85">
        <f t="shared" ref="J397:J412" si="183">G397*F397*(E397/(DATE(YEAR(D397),12,31)-DATE(YEAR(D397),1,1)+1))</f>
        <v>68.762690166282425</v>
      </c>
      <c r="K397" s="129">
        <f t="shared" si="174"/>
        <v>99.159602902822712</v>
      </c>
      <c r="L397" s="85">
        <f t="shared" ref="L397:L412" si="184">$G$389/20</f>
        <v>500</v>
      </c>
      <c r="M397" s="130">
        <f t="shared" si="175"/>
        <v>599.15960290282271</v>
      </c>
      <c r="N397" s="8">
        <f t="shared" si="176"/>
        <v>8555.1132939509262</v>
      </c>
      <c r="O397" s="84">
        <f t="shared" si="177"/>
        <v>7955.9536910481038</v>
      </c>
    </row>
    <row r="398" spans="1:15" x14ac:dyDescent="0.2">
      <c r="A398" s="96" t="s">
        <v>56</v>
      </c>
      <c r="B398" s="81" t="str">
        <f t="shared" ref="B398:B412" si="185">+IF(MONTH(C398)&lt;4,"Q1",IF(MONTH(C398)&lt;7,"Q2",IF(MONTH(C398)&lt;10,"Q3","Q4")))&amp;"/"&amp;YEAR(C398)</f>
        <v>Q3/2014</v>
      </c>
      <c r="C398" s="82">
        <f t="shared" si="180"/>
        <v>41821</v>
      </c>
      <c r="D398" s="82">
        <f t="shared" si="181"/>
        <v>41912</v>
      </c>
      <c r="E398" s="81">
        <f t="shared" si="178"/>
        <v>92</v>
      </c>
      <c r="F398" s="83">
        <f>VLOOKUP(D398,'FERC Interest Rate'!$A:$B,2,TRUE)</f>
        <v>3.2500000000000001E-2</v>
      </c>
      <c r="G398" s="84">
        <f t="shared" si="179"/>
        <v>7955.9536910481038</v>
      </c>
      <c r="H398" s="84">
        <v>0</v>
      </c>
      <c r="I398" s="109">
        <f t="shared" si="182"/>
        <v>30.396912736540287</v>
      </c>
      <c r="J398" s="85">
        <f t="shared" si="183"/>
        <v>65.173428866394062</v>
      </c>
      <c r="K398" s="129">
        <f t="shared" si="174"/>
        <v>95.570341602934349</v>
      </c>
      <c r="L398" s="85">
        <f t="shared" si="184"/>
        <v>500</v>
      </c>
      <c r="M398" s="130">
        <f t="shared" si="175"/>
        <v>595.57034160293438</v>
      </c>
      <c r="N398" s="8">
        <f t="shared" si="176"/>
        <v>8021.1271199144976</v>
      </c>
      <c r="O398" s="84">
        <f t="shared" si="177"/>
        <v>7425.5567783115639</v>
      </c>
    </row>
    <row r="399" spans="1:15" x14ac:dyDescent="0.2">
      <c r="A399" s="96" t="s">
        <v>57</v>
      </c>
      <c r="B399" s="81" t="str">
        <f t="shared" si="185"/>
        <v>Q4/2014</v>
      </c>
      <c r="C399" s="82">
        <f t="shared" si="180"/>
        <v>41913</v>
      </c>
      <c r="D399" s="82">
        <f t="shared" si="181"/>
        <v>42004</v>
      </c>
      <c r="E399" s="81">
        <f t="shared" si="178"/>
        <v>92</v>
      </c>
      <c r="F399" s="83">
        <f>VLOOKUP(D399,'FERC Interest Rate'!$A:$B,2,TRUE)</f>
        <v>3.2500000000000001E-2</v>
      </c>
      <c r="G399" s="84">
        <f t="shared" si="179"/>
        <v>7425.5567783115639</v>
      </c>
      <c r="H399" s="84">
        <v>0</v>
      </c>
      <c r="I399" s="109">
        <f t="shared" si="182"/>
        <v>30.396912736540287</v>
      </c>
      <c r="J399" s="85">
        <f t="shared" si="183"/>
        <v>60.828533608634466</v>
      </c>
      <c r="K399" s="129">
        <f t="shared" si="174"/>
        <v>91.22544634517476</v>
      </c>
      <c r="L399" s="85">
        <f t="shared" si="184"/>
        <v>500</v>
      </c>
      <c r="M399" s="130">
        <f t="shared" si="175"/>
        <v>591.22544634517476</v>
      </c>
      <c r="N399" s="8">
        <f t="shared" si="176"/>
        <v>7486.3853119201985</v>
      </c>
      <c r="O399" s="84">
        <f t="shared" si="177"/>
        <v>6895.159865575024</v>
      </c>
    </row>
    <row r="400" spans="1:15" x14ac:dyDescent="0.2">
      <c r="A400" s="96" t="s">
        <v>58</v>
      </c>
      <c r="B400" s="81" t="str">
        <f t="shared" si="185"/>
        <v>Q1/2015</v>
      </c>
      <c r="C400" s="82">
        <f t="shared" si="180"/>
        <v>42005</v>
      </c>
      <c r="D400" s="82">
        <f t="shared" si="181"/>
        <v>42094</v>
      </c>
      <c r="E400" s="81">
        <f t="shared" si="178"/>
        <v>90</v>
      </c>
      <c r="F400" s="83">
        <f>VLOOKUP(D400,'FERC Interest Rate'!$A:$B,2,TRUE)</f>
        <v>3.2500000000000001E-2</v>
      </c>
      <c r="G400" s="84">
        <f t="shared" si="179"/>
        <v>6895.159865575024</v>
      </c>
      <c r="H400" s="84">
        <v>0</v>
      </c>
      <c r="I400" s="109">
        <f t="shared" si="182"/>
        <v>30.396912736540287</v>
      </c>
      <c r="J400" s="85">
        <f t="shared" si="183"/>
        <v>55.255733169334093</v>
      </c>
      <c r="K400" s="129">
        <f t="shared" si="174"/>
        <v>85.65264590587438</v>
      </c>
      <c r="L400" s="85">
        <f t="shared" si="184"/>
        <v>500</v>
      </c>
      <c r="M400" s="130">
        <f t="shared" si="175"/>
        <v>585.65264590587435</v>
      </c>
      <c r="N400" s="8">
        <f t="shared" si="176"/>
        <v>6950.4155987443582</v>
      </c>
      <c r="O400" s="84">
        <f t="shared" si="177"/>
        <v>6364.7629528384841</v>
      </c>
    </row>
    <row r="401" spans="1:15" x14ac:dyDescent="0.2">
      <c r="A401" s="96" t="s">
        <v>59</v>
      </c>
      <c r="B401" s="81" t="str">
        <f t="shared" si="185"/>
        <v>Q2/2015</v>
      </c>
      <c r="C401" s="82">
        <f t="shared" si="180"/>
        <v>42095</v>
      </c>
      <c r="D401" s="82">
        <f t="shared" si="181"/>
        <v>42185</v>
      </c>
      <c r="E401" s="81">
        <f t="shared" si="178"/>
        <v>91</v>
      </c>
      <c r="F401" s="83">
        <f>VLOOKUP(D401,'FERC Interest Rate'!$A:$B,2,TRUE)</f>
        <v>3.2500000000000001E-2</v>
      </c>
      <c r="G401" s="84">
        <f t="shared" si="179"/>
        <v>6364.7629528384841</v>
      </c>
      <c r="H401" s="84">
        <v>0</v>
      </c>
      <c r="I401" s="109">
        <f t="shared" si="182"/>
        <v>30.396912736540287</v>
      </c>
      <c r="J401" s="85">
        <f t="shared" si="183"/>
        <v>51.572017624711826</v>
      </c>
      <c r="K401" s="129">
        <f t="shared" si="174"/>
        <v>81.96893036125212</v>
      </c>
      <c r="L401" s="85">
        <f t="shared" si="184"/>
        <v>500</v>
      </c>
      <c r="M401" s="130">
        <f t="shared" si="175"/>
        <v>581.96893036125209</v>
      </c>
      <c r="N401" s="8">
        <f t="shared" si="176"/>
        <v>6416.3349704631955</v>
      </c>
      <c r="O401" s="84">
        <f t="shared" si="177"/>
        <v>5834.3660401019442</v>
      </c>
    </row>
    <row r="402" spans="1:15" x14ac:dyDescent="0.2">
      <c r="A402" s="96" t="s">
        <v>60</v>
      </c>
      <c r="B402" s="81" t="str">
        <f t="shared" si="185"/>
        <v>Q3/2015</v>
      </c>
      <c r="C402" s="82">
        <f t="shared" si="180"/>
        <v>42186</v>
      </c>
      <c r="D402" s="82">
        <f t="shared" si="181"/>
        <v>42277</v>
      </c>
      <c r="E402" s="81">
        <f t="shared" si="178"/>
        <v>92</v>
      </c>
      <c r="F402" s="83">
        <f>VLOOKUP(D402,'FERC Interest Rate'!$A:$B,2,TRUE)</f>
        <v>3.2500000000000001E-2</v>
      </c>
      <c r="G402" s="84">
        <f t="shared" si="179"/>
        <v>5834.3660401019442</v>
      </c>
      <c r="H402" s="84">
        <v>0</v>
      </c>
      <c r="I402" s="109">
        <f t="shared" si="182"/>
        <v>30.396912736540287</v>
      </c>
      <c r="J402" s="85">
        <f t="shared" si="183"/>
        <v>47.793847835355656</v>
      </c>
      <c r="K402" s="129">
        <f t="shared" si="174"/>
        <v>78.190760571895936</v>
      </c>
      <c r="L402" s="85">
        <f t="shared" si="184"/>
        <v>500</v>
      </c>
      <c r="M402" s="130">
        <f t="shared" si="175"/>
        <v>578.19076057189591</v>
      </c>
      <c r="N402" s="8">
        <f t="shared" si="176"/>
        <v>5882.1598879372996</v>
      </c>
      <c r="O402" s="84">
        <f t="shared" si="177"/>
        <v>5303.9691273654043</v>
      </c>
    </row>
    <row r="403" spans="1:15" x14ac:dyDescent="0.2">
      <c r="A403" s="96" t="s">
        <v>61</v>
      </c>
      <c r="B403" s="81" t="str">
        <f t="shared" si="185"/>
        <v>Q4/2015</v>
      </c>
      <c r="C403" s="82">
        <f t="shared" si="180"/>
        <v>42278</v>
      </c>
      <c r="D403" s="82">
        <f t="shared" si="181"/>
        <v>42369</v>
      </c>
      <c r="E403" s="81">
        <f t="shared" si="178"/>
        <v>92</v>
      </c>
      <c r="F403" s="83">
        <f>VLOOKUP(D403,'FERC Interest Rate'!$A:$B,2,TRUE)</f>
        <v>3.2500000000000001E-2</v>
      </c>
      <c r="G403" s="84">
        <f t="shared" si="179"/>
        <v>5303.9691273654043</v>
      </c>
      <c r="H403" s="84">
        <v>0</v>
      </c>
      <c r="I403" s="109">
        <f t="shared" si="182"/>
        <v>30.396912736540287</v>
      </c>
      <c r="J403" s="85">
        <f t="shared" si="183"/>
        <v>43.44895257759606</v>
      </c>
      <c r="K403" s="129">
        <f t="shared" si="174"/>
        <v>73.845865314136347</v>
      </c>
      <c r="L403" s="85">
        <f t="shared" si="184"/>
        <v>500</v>
      </c>
      <c r="M403" s="130">
        <f t="shared" si="175"/>
        <v>573.84586531413629</v>
      </c>
      <c r="N403" s="8">
        <f t="shared" si="176"/>
        <v>5347.4180799430005</v>
      </c>
      <c r="O403" s="84">
        <f t="shared" si="177"/>
        <v>4773.5722146288645</v>
      </c>
    </row>
    <row r="404" spans="1:15" x14ac:dyDescent="0.2">
      <c r="A404" s="96" t="s">
        <v>62</v>
      </c>
      <c r="B404" s="81" t="str">
        <f t="shared" si="185"/>
        <v>Q1/2016</v>
      </c>
      <c r="C404" s="82">
        <f t="shared" si="180"/>
        <v>42370</v>
      </c>
      <c r="D404" s="82">
        <f t="shared" si="181"/>
        <v>42460</v>
      </c>
      <c r="E404" s="81">
        <f t="shared" si="178"/>
        <v>91</v>
      </c>
      <c r="F404" s="83">
        <f>VLOOKUP(D404,'FERC Interest Rate'!$A:$B,2,TRUE)</f>
        <v>3.2500000000000001E-2</v>
      </c>
      <c r="G404" s="84">
        <f t="shared" si="179"/>
        <v>4773.5722146288645</v>
      </c>
      <c r="H404" s="84">
        <v>0</v>
      </c>
      <c r="I404" s="109">
        <f t="shared" si="182"/>
        <v>30.396912736540287</v>
      </c>
      <c r="J404" s="85">
        <f t="shared" si="183"/>
        <v>38.573332854548816</v>
      </c>
      <c r="K404" s="129">
        <f t="shared" si="174"/>
        <v>68.97024559108911</v>
      </c>
      <c r="L404" s="85">
        <f t="shared" si="184"/>
        <v>500</v>
      </c>
      <c r="M404" s="130">
        <f t="shared" si="175"/>
        <v>568.97024559108911</v>
      </c>
      <c r="N404" s="8">
        <f t="shared" si="176"/>
        <v>4812.1455474834129</v>
      </c>
      <c r="O404" s="84">
        <f t="shared" si="177"/>
        <v>4243.1753018923246</v>
      </c>
    </row>
    <row r="405" spans="1:15" x14ac:dyDescent="0.2">
      <c r="A405" s="96" t="s">
        <v>63</v>
      </c>
      <c r="B405" s="81" t="str">
        <f t="shared" si="185"/>
        <v>Q2/2016</v>
      </c>
      <c r="C405" s="82">
        <f t="shared" si="180"/>
        <v>42461</v>
      </c>
      <c r="D405" s="82">
        <f t="shared" si="181"/>
        <v>42551</v>
      </c>
      <c r="E405" s="81">
        <f t="shared" si="178"/>
        <v>91</v>
      </c>
      <c r="F405" s="83">
        <f>VLOOKUP(D405,'FERC Interest Rate'!$A:$B,2,TRUE)</f>
        <v>3.4599999999999999E-2</v>
      </c>
      <c r="G405" s="84">
        <f t="shared" si="179"/>
        <v>4243.1753018923246</v>
      </c>
      <c r="H405" s="84">
        <v>0</v>
      </c>
      <c r="I405" s="109">
        <f t="shared" si="182"/>
        <v>30.396912736540287</v>
      </c>
      <c r="J405" s="85">
        <f t="shared" si="183"/>
        <v>36.50290097141577</v>
      </c>
      <c r="K405" s="129">
        <f t="shared" si="174"/>
        <v>66.899813707956056</v>
      </c>
      <c r="L405" s="85">
        <f t="shared" si="184"/>
        <v>500</v>
      </c>
      <c r="M405" s="130">
        <f t="shared" si="175"/>
        <v>566.89981370795601</v>
      </c>
      <c r="N405" s="8">
        <f t="shared" si="176"/>
        <v>4279.6782028637399</v>
      </c>
      <c r="O405" s="84">
        <f t="shared" si="177"/>
        <v>3712.7783891557842</v>
      </c>
    </row>
    <row r="406" spans="1:15" x14ac:dyDescent="0.2">
      <c r="A406" s="96" t="s">
        <v>64</v>
      </c>
      <c r="B406" s="81" t="str">
        <f t="shared" si="185"/>
        <v>Q3/2016</v>
      </c>
      <c r="C406" s="82">
        <f t="shared" si="180"/>
        <v>42552</v>
      </c>
      <c r="D406" s="82">
        <f t="shared" si="181"/>
        <v>42643</v>
      </c>
      <c r="E406" s="81">
        <f t="shared" si="178"/>
        <v>92</v>
      </c>
      <c r="F406" s="83">
        <f>VLOOKUP(D406,'FERC Interest Rate'!$A:$B,2,TRUE)</f>
        <v>3.5000000000000003E-2</v>
      </c>
      <c r="G406" s="84">
        <f t="shared" si="179"/>
        <v>3712.7783891557842</v>
      </c>
      <c r="H406" s="84">
        <v>0</v>
      </c>
      <c r="I406" s="109">
        <f t="shared" si="182"/>
        <v>30.396912736540287</v>
      </c>
      <c r="J406" s="85">
        <f t="shared" si="183"/>
        <v>32.664334461971656</v>
      </c>
      <c r="K406" s="129">
        <f t="shared" si="174"/>
        <v>63.061247198511943</v>
      </c>
      <c r="L406" s="85">
        <f t="shared" si="184"/>
        <v>500</v>
      </c>
      <c r="M406" s="130">
        <f t="shared" si="175"/>
        <v>563.06124719851198</v>
      </c>
      <c r="N406" s="8">
        <f t="shared" si="176"/>
        <v>3745.4427236177557</v>
      </c>
      <c r="O406" s="84">
        <f t="shared" si="177"/>
        <v>3182.3814764192439</v>
      </c>
    </row>
    <row r="407" spans="1:15" x14ac:dyDescent="0.2">
      <c r="A407" s="96" t="s">
        <v>65</v>
      </c>
      <c r="B407" s="81" t="str">
        <f t="shared" si="185"/>
        <v>Q4/2016</v>
      </c>
      <c r="C407" s="82">
        <f t="shared" si="180"/>
        <v>42644</v>
      </c>
      <c r="D407" s="82">
        <f t="shared" si="181"/>
        <v>42735</v>
      </c>
      <c r="E407" s="81">
        <f t="shared" si="178"/>
        <v>92</v>
      </c>
      <c r="F407" s="83">
        <f>VLOOKUP(D407,'FERC Interest Rate'!$A:$B,2,TRUE)</f>
        <v>3.5000000000000003E-2</v>
      </c>
      <c r="G407" s="84">
        <f t="shared" si="179"/>
        <v>3182.3814764192439</v>
      </c>
      <c r="H407" s="84">
        <v>0</v>
      </c>
      <c r="I407" s="109">
        <f t="shared" si="182"/>
        <v>30.396912736540287</v>
      </c>
      <c r="J407" s="85">
        <f t="shared" si="183"/>
        <v>27.99800096740428</v>
      </c>
      <c r="K407" s="129">
        <f t="shared" si="174"/>
        <v>58.394913703944567</v>
      </c>
      <c r="L407" s="85">
        <f t="shared" si="184"/>
        <v>500</v>
      </c>
      <c r="M407" s="130">
        <f t="shared" si="175"/>
        <v>558.39491370394455</v>
      </c>
      <c r="N407" s="8">
        <f t="shared" si="176"/>
        <v>3210.379477386648</v>
      </c>
      <c r="O407" s="84">
        <f t="shared" si="177"/>
        <v>2651.9845636827035</v>
      </c>
    </row>
    <row r="408" spans="1:15" x14ac:dyDescent="0.2">
      <c r="A408" s="96" t="s">
        <v>66</v>
      </c>
      <c r="B408" s="81" t="str">
        <f t="shared" si="185"/>
        <v>Q1/2017</v>
      </c>
      <c r="C408" s="82">
        <f t="shared" si="180"/>
        <v>42736</v>
      </c>
      <c r="D408" s="82">
        <f t="shared" si="181"/>
        <v>42825</v>
      </c>
      <c r="E408" s="81">
        <f t="shared" si="178"/>
        <v>90</v>
      </c>
      <c r="F408" s="83">
        <f>VLOOKUP(D408,'FERC Interest Rate'!$A:$B,2,TRUE)</f>
        <v>3.5000000000000003E-2</v>
      </c>
      <c r="G408" s="84">
        <f t="shared" si="179"/>
        <v>2651.9845636827035</v>
      </c>
      <c r="H408" s="84">
        <v>0</v>
      </c>
      <c r="I408" s="109">
        <f t="shared" si="182"/>
        <v>30.396912736540287</v>
      </c>
      <c r="J408" s="85">
        <f t="shared" si="183"/>
        <v>22.886990070138399</v>
      </c>
      <c r="K408" s="129">
        <f t="shared" si="174"/>
        <v>53.283902806678682</v>
      </c>
      <c r="L408" s="85">
        <f t="shared" si="184"/>
        <v>500</v>
      </c>
      <c r="M408" s="130">
        <f t="shared" si="175"/>
        <v>553.28390280667873</v>
      </c>
      <c r="N408" s="8">
        <f t="shared" si="176"/>
        <v>2674.8715537528419</v>
      </c>
      <c r="O408" s="84">
        <f t="shared" si="177"/>
        <v>2121.5876509461632</v>
      </c>
    </row>
    <row r="409" spans="1:15" x14ac:dyDescent="0.2">
      <c r="A409" s="96" t="s">
        <v>67</v>
      </c>
      <c r="B409" s="81" t="str">
        <f t="shared" si="185"/>
        <v>Q2/2017</v>
      </c>
      <c r="C409" s="82">
        <f t="shared" si="180"/>
        <v>42826</v>
      </c>
      <c r="D409" s="82">
        <f t="shared" si="181"/>
        <v>42916</v>
      </c>
      <c r="E409" s="81">
        <f t="shared" si="178"/>
        <v>91</v>
      </c>
      <c r="F409" s="83">
        <f>VLOOKUP(D409,'FERC Interest Rate'!$A:$B,2,TRUE)</f>
        <v>3.7100000000000001E-2</v>
      </c>
      <c r="G409" s="84">
        <f t="shared" si="179"/>
        <v>2121.5876509461632</v>
      </c>
      <c r="H409" s="84">
        <v>0</v>
      </c>
      <c r="I409" s="109">
        <f t="shared" si="182"/>
        <v>30.396912736540287</v>
      </c>
      <c r="J409" s="85">
        <f t="shared" si="183"/>
        <v>19.623813885916004</v>
      </c>
      <c r="K409" s="129">
        <f t="shared" si="174"/>
        <v>50.020726622456294</v>
      </c>
      <c r="L409" s="85">
        <f t="shared" si="184"/>
        <v>500</v>
      </c>
      <c r="M409" s="130">
        <f t="shared" si="175"/>
        <v>550.02072662245632</v>
      </c>
      <c r="N409" s="8">
        <f t="shared" si="176"/>
        <v>2141.2114648320794</v>
      </c>
      <c r="O409" s="84">
        <f t="shared" si="177"/>
        <v>1591.1907382096229</v>
      </c>
    </row>
    <row r="410" spans="1:15" x14ac:dyDescent="0.2">
      <c r="A410" s="96" t="s">
        <v>68</v>
      </c>
      <c r="B410" s="81" t="str">
        <f t="shared" si="185"/>
        <v>Q3/2017</v>
      </c>
      <c r="C410" s="82">
        <f t="shared" si="180"/>
        <v>42917</v>
      </c>
      <c r="D410" s="82">
        <f t="shared" si="181"/>
        <v>43008</v>
      </c>
      <c r="E410" s="81">
        <f t="shared" si="178"/>
        <v>92</v>
      </c>
      <c r="F410" s="83">
        <f>VLOOKUP(D410,'FERC Interest Rate'!$A:$B,2,TRUE)</f>
        <v>3.9600000000000003E-2</v>
      </c>
      <c r="G410" s="84">
        <f t="shared" si="179"/>
        <v>1591.1907382096229</v>
      </c>
      <c r="H410" s="84">
        <v>0</v>
      </c>
      <c r="I410" s="109">
        <f t="shared" si="182"/>
        <v>30.396912736540287</v>
      </c>
      <c r="J410" s="85">
        <f t="shared" si="183"/>
        <v>15.882263280672051</v>
      </c>
      <c r="K410" s="129">
        <f t="shared" si="174"/>
        <v>46.279176017212336</v>
      </c>
      <c r="L410" s="85">
        <f t="shared" si="184"/>
        <v>500</v>
      </c>
      <c r="M410" s="130">
        <f t="shared" si="175"/>
        <v>546.27917601721231</v>
      </c>
      <c r="N410" s="8">
        <f t="shared" si="176"/>
        <v>1607.0730014902949</v>
      </c>
      <c r="O410" s="84">
        <f t="shared" si="177"/>
        <v>1060.7938254730825</v>
      </c>
    </row>
    <row r="411" spans="1:15" x14ac:dyDescent="0.2">
      <c r="A411" s="96" t="s">
        <v>69</v>
      </c>
      <c r="B411" s="81" t="str">
        <f t="shared" si="185"/>
        <v>Q4/2017</v>
      </c>
      <c r="C411" s="82">
        <f t="shared" si="180"/>
        <v>43009</v>
      </c>
      <c r="D411" s="82">
        <f t="shared" si="181"/>
        <v>43100</v>
      </c>
      <c r="E411" s="81">
        <f t="shared" si="178"/>
        <v>92</v>
      </c>
      <c r="F411" s="83">
        <f>VLOOKUP(D411,'FERC Interest Rate'!$A:$B,2,TRUE)</f>
        <v>4.2099999999999999E-2</v>
      </c>
      <c r="G411" s="84">
        <f t="shared" si="179"/>
        <v>1060.7938254730825</v>
      </c>
      <c r="H411" s="84">
        <v>0</v>
      </c>
      <c r="I411" s="109">
        <f t="shared" si="182"/>
        <v>30.396912736540287</v>
      </c>
      <c r="J411" s="85">
        <f t="shared" si="183"/>
        <v>11.256620944718749</v>
      </c>
      <c r="K411" s="129">
        <f t="shared" si="174"/>
        <v>41.653533681259034</v>
      </c>
      <c r="L411" s="85">
        <f t="shared" si="184"/>
        <v>500</v>
      </c>
      <c r="M411" s="130">
        <f t="shared" si="175"/>
        <v>541.65353368125898</v>
      </c>
      <c r="N411" s="8">
        <f t="shared" si="176"/>
        <v>1072.0504464178014</v>
      </c>
      <c r="O411" s="84">
        <f t="shared" si="177"/>
        <v>530.39691273654216</v>
      </c>
    </row>
    <row r="412" spans="1:15" x14ac:dyDescent="0.2">
      <c r="A412" s="96" t="s">
        <v>70</v>
      </c>
      <c r="B412" s="81" t="str">
        <f t="shared" si="185"/>
        <v>Q1/2018</v>
      </c>
      <c r="C412" s="82">
        <f t="shared" si="180"/>
        <v>43101</v>
      </c>
      <c r="D412" s="82">
        <f t="shared" si="181"/>
        <v>43190</v>
      </c>
      <c r="E412" s="81">
        <f t="shared" si="178"/>
        <v>90</v>
      </c>
      <c r="F412" s="83">
        <f>VLOOKUP(D412,'FERC Interest Rate'!$A:$B,2,TRUE)</f>
        <v>4.2500000000000003E-2</v>
      </c>
      <c r="G412" s="84">
        <f t="shared" si="179"/>
        <v>530.39691273654216</v>
      </c>
      <c r="H412" s="84">
        <v>0</v>
      </c>
      <c r="I412" s="109">
        <f t="shared" si="182"/>
        <v>30.396912736540287</v>
      </c>
      <c r="J412" s="85">
        <f t="shared" si="183"/>
        <v>5.5582690170336262</v>
      </c>
      <c r="K412" s="129">
        <f t="shared" si="174"/>
        <v>35.95518175357391</v>
      </c>
      <c r="L412" s="85">
        <f t="shared" si="184"/>
        <v>500</v>
      </c>
      <c r="M412" s="130">
        <f t="shared" si="175"/>
        <v>535.95518175357392</v>
      </c>
      <c r="N412" s="8">
        <f t="shared" si="176"/>
        <v>535.95518175357574</v>
      </c>
      <c r="O412" s="84">
        <f t="shared" si="177"/>
        <v>1.8758328224066645E-12</v>
      </c>
    </row>
    <row r="413" spans="1:15" x14ac:dyDescent="0.2">
      <c r="A413" s="96"/>
      <c r="B413" s="81"/>
      <c r="C413" s="82"/>
      <c r="D413" s="82"/>
      <c r="E413" s="81"/>
      <c r="F413" s="83"/>
      <c r="G413" s="84"/>
      <c r="H413" s="84"/>
      <c r="I413" s="109"/>
      <c r="J413" s="85"/>
      <c r="K413" s="129"/>
      <c r="L413" s="85"/>
      <c r="M413" s="130"/>
      <c r="N413" s="8"/>
      <c r="O413" s="84"/>
    </row>
    <row r="414" spans="1:15" ht="13.5" thickBot="1" x14ac:dyDescent="0.25">
      <c r="A414" s="151"/>
      <c r="B414" s="152"/>
      <c r="C414" s="153"/>
      <c r="D414" s="153"/>
      <c r="E414" s="154"/>
      <c r="F414" s="152"/>
      <c r="G414" s="140">
        <f>+SUM(G389:G413)</f>
        <v>154037.30665498998</v>
      </c>
      <c r="H414" s="140">
        <f t="shared" ref="H414:O414" si="186">+SUM(H389:H413)</f>
        <v>607.93825473080574</v>
      </c>
      <c r="I414" s="141">
        <f t="shared" si="186"/>
        <v>607.93825473080597</v>
      </c>
      <c r="J414" s="140">
        <f t="shared" si="186"/>
        <v>603.78173030212793</v>
      </c>
      <c r="K414" s="140">
        <f t="shared" si="186"/>
        <v>1211.7199850329337</v>
      </c>
      <c r="L414" s="140">
        <f t="shared" si="186"/>
        <v>10000</v>
      </c>
      <c r="M414" s="142">
        <f t="shared" si="186"/>
        <v>11211.719985032936</v>
      </c>
      <c r="N414" s="140">
        <f t="shared" si="186"/>
        <v>155249.02664002287</v>
      </c>
      <c r="O414" s="140">
        <f t="shared" si="186"/>
        <v>144037.30665498995</v>
      </c>
    </row>
    <row r="415" spans="1:15" ht="13.5" thickTop="1" x14ac:dyDescent="0.2">
      <c r="B415" s="117"/>
      <c r="C415" s="117"/>
      <c r="D415" s="117"/>
      <c r="E415" s="117"/>
      <c r="F415" s="117"/>
      <c r="G415" s="117"/>
      <c r="H415" s="117"/>
      <c r="I415" s="116"/>
      <c r="J415" s="117"/>
      <c r="K415" s="117"/>
      <c r="L415" s="117"/>
      <c r="M415" s="131"/>
      <c r="O415" s="117"/>
    </row>
    <row r="416" spans="1:15" ht="38.25" x14ac:dyDescent="0.2">
      <c r="A416" s="90" t="s">
        <v>53</v>
      </c>
      <c r="B416" s="90" t="s">
        <v>3</v>
      </c>
      <c r="C416" s="90" t="s">
        <v>4</v>
      </c>
      <c r="D416" s="90" t="s">
        <v>5</v>
      </c>
      <c r="E416" s="90" t="s">
        <v>6</v>
      </c>
      <c r="F416" s="90" t="s">
        <v>7</v>
      </c>
      <c r="G416" s="90" t="s">
        <v>93</v>
      </c>
      <c r="H416" s="90" t="s">
        <v>94</v>
      </c>
      <c r="I416" s="105" t="s">
        <v>95</v>
      </c>
      <c r="J416" s="106" t="s">
        <v>96</v>
      </c>
      <c r="K416" s="106" t="s">
        <v>97</v>
      </c>
      <c r="L416" s="106" t="s">
        <v>98</v>
      </c>
      <c r="M416" s="107" t="s">
        <v>99</v>
      </c>
      <c r="N416" s="90" t="s">
        <v>100</v>
      </c>
      <c r="O416" s="90" t="s">
        <v>101</v>
      </c>
    </row>
    <row r="417" spans="1:15" x14ac:dyDescent="0.2">
      <c r="A417" s="309" t="s">
        <v>15</v>
      </c>
      <c r="B417" s="309"/>
      <c r="C417" s="282">
        <f>VLOOKUP(B418,A$1:F$33,2,FALSE)</f>
        <v>41089</v>
      </c>
      <c r="D417" s="282">
        <f>DATE(YEAR(C417),IF(MONTH(C417)&lt;=3,3,IF(MONTH(C417)&lt;=6,6,IF(MONTH(C417)&lt;=9,9,12))),IF(OR(MONTH(C417)&lt;=3,MONTH(C417)&gt;=10),31,30))</f>
        <v>41090</v>
      </c>
      <c r="E417" s="283">
        <f>D417-C417+1</f>
        <v>2</v>
      </c>
      <c r="F417" s="284">
        <f>VLOOKUP(D417,'FERC Interest Rate'!$A:$B,2,TRUE)</f>
        <v>3.2500000000000001E-2</v>
      </c>
      <c r="G417" s="167">
        <f>VLOOKUP(B418,$A$1:$F$33,5,FALSE)</f>
        <v>10000</v>
      </c>
      <c r="H417" s="167">
        <f t="shared" ref="H417:H424" si="187">G417*F417*(E417/(DATE(YEAR(D417),12,31)-DATE(YEAR(D417),1,1)+1))</f>
        <v>1.7759562841530054</v>
      </c>
      <c r="I417" s="291">
        <v>0</v>
      </c>
      <c r="J417" s="286">
        <v>0</v>
      </c>
      <c r="K417" s="288">
        <f t="shared" ref="K417:K440" si="188">+SUM(I417:J417)</f>
        <v>0</v>
      </c>
      <c r="L417" s="286">
        <v>0</v>
      </c>
      <c r="M417" s="289">
        <f t="shared" ref="M417:M440" si="189">+SUM(K417:L417)</f>
        <v>0</v>
      </c>
      <c r="N417" s="290">
        <f t="shared" ref="N417:N440" si="190">+G417+H417+J417</f>
        <v>10001.775956284153</v>
      </c>
      <c r="O417" s="167">
        <f t="shared" ref="O417:O440" si="191">G417+H417-L417-I417</f>
        <v>10001.775956284153</v>
      </c>
    </row>
    <row r="418" spans="1:15" x14ac:dyDescent="0.2">
      <c r="A418" s="275" t="s">
        <v>38</v>
      </c>
      <c r="B418" s="276" t="s">
        <v>91</v>
      </c>
      <c r="C418" s="282">
        <f>D417+1</f>
        <v>41091</v>
      </c>
      <c r="D418" s="282">
        <f>EOMONTH(D417,3)</f>
        <v>41182</v>
      </c>
      <c r="E418" s="283">
        <f t="shared" ref="E418:E440" si="192">D418-C418+1</f>
        <v>92</v>
      </c>
      <c r="F418" s="284">
        <f>VLOOKUP(D418,'FERC Interest Rate'!$A:$B,2,TRUE)</f>
        <v>3.2500000000000001E-2</v>
      </c>
      <c r="G418" s="167">
        <f t="shared" ref="G418:G440" si="193">O417</f>
        <v>10001.775956284153</v>
      </c>
      <c r="H418" s="167">
        <f t="shared" si="187"/>
        <v>81.708497566365082</v>
      </c>
      <c r="I418" s="291">
        <v>0</v>
      </c>
      <c r="J418" s="286">
        <v>0</v>
      </c>
      <c r="K418" s="288">
        <f t="shared" si="188"/>
        <v>0</v>
      </c>
      <c r="L418" s="286">
        <v>0</v>
      </c>
      <c r="M418" s="289">
        <f t="shared" si="189"/>
        <v>0</v>
      </c>
      <c r="N418" s="290">
        <f t="shared" si="190"/>
        <v>10083.484453850519</v>
      </c>
      <c r="O418" s="167">
        <f t="shared" si="191"/>
        <v>10083.484453850519</v>
      </c>
    </row>
    <row r="419" spans="1:15" x14ac:dyDescent="0.2">
      <c r="A419" s="292"/>
      <c r="B419" s="283"/>
      <c r="C419" s="282">
        <f t="shared" ref="C419:C440" si="194">D418+1</f>
        <v>41183</v>
      </c>
      <c r="D419" s="282">
        <f t="shared" ref="D419:D440" si="195">EOMONTH(D418,3)</f>
        <v>41274</v>
      </c>
      <c r="E419" s="283">
        <f t="shared" si="192"/>
        <v>92</v>
      </c>
      <c r="F419" s="284">
        <f>VLOOKUP(D419,'FERC Interest Rate'!$A:$B,2,TRUE)</f>
        <v>3.2500000000000001E-2</v>
      </c>
      <c r="G419" s="167">
        <f t="shared" si="193"/>
        <v>10083.484453850519</v>
      </c>
      <c r="H419" s="167">
        <f t="shared" si="187"/>
        <v>82.376006877084848</v>
      </c>
      <c r="I419" s="291">
        <v>0</v>
      </c>
      <c r="J419" s="286">
        <v>0</v>
      </c>
      <c r="K419" s="288">
        <f t="shared" si="188"/>
        <v>0</v>
      </c>
      <c r="L419" s="286">
        <v>0</v>
      </c>
      <c r="M419" s="289">
        <f t="shared" si="189"/>
        <v>0</v>
      </c>
      <c r="N419" s="290">
        <f t="shared" si="190"/>
        <v>10165.860460727603</v>
      </c>
      <c r="O419" s="167">
        <f t="shared" si="191"/>
        <v>10165.860460727603</v>
      </c>
    </row>
    <row r="420" spans="1:15" x14ac:dyDescent="0.2">
      <c r="A420" s="292"/>
      <c r="B420" s="283"/>
      <c r="C420" s="282">
        <f t="shared" si="194"/>
        <v>41275</v>
      </c>
      <c r="D420" s="282">
        <f t="shared" si="195"/>
        <v>41364</v>
      </c>
      <c r="E420" s="283">
        <f t="shared" si="192"/>
        <v>90</v>
      </c>
      <c r="F420" s="284">
        <f>VLOOKUP(D420,'FERC Interest Rate'!$A:$B,2,TRUE)</f>
        <v>3.2500000000000001E-2</v>
      </c>
      <c r="G420" s="167">
        <f t="shared" si="193"/>
        <v>10165.860460727603</v>
      </c>
      <c r="H420" s="167">
        <f t="shared" si="187"/>
        <v>81.466142048296547</v>
      </c>
      <c r="I420" s="291">
        <v>0</v>
      </c>
      <c r="J420" s="286">
        <v>0</v>
      </c>
      <c r="K420" s="288">
        <f t="shared" si="188"/>
        <v>0</v>
      </c>
      <c r="L420" s="286">
        <v>0</v>
      </c>
      <c r="M420" s="289">
        <f t="shared" si="189"/>
        <v>0</v>
      </c>
      <c r="N420" s="290">
        <f t="shared" si="190"/>
        <v>10247.3266027759</v>
      </c>
      <c r="O420" s="167">
        <f t="shared" si="191"/>
        <v>10247.3266027759</v>
      </c>
    </row>
    <row r="421" spans="1:15" x14ac:dyDescent="0.2">
      <c r="A421" s="292"/>
      <c r="B421" s="283"/>
      <c r="C421" s="282">
        <f>D420+1</f>
        <v>41365</v>
      </c>
      <c r="D421" s="282">
        <f t="shared" si="195"/>
        <v>41455</v>
      </c>
      <c r="E421" s="283">
        <f>D421-C421+1</f>
        <v>91</v>
      </c>
      <c r="F421" s="284">
        <f>VLOOKUP(D421,'FERC Interest Rate'!$A:$B,2,TRUE)</f>
        <v>3.2500000000000001E-2</v>
      </c>
      <c r="G421" s="167">
        <f t="shared" si="193"/>
        <v>10247.3266027759</v>
      </c>
      <c r="H421" s="167">
        <f t="shared" si="187"/>
        <v>83.031420349889657</v>
      </c>
      <c r="I421" s="291">
        <v>0</v>
      </c>
      <c r="J421" s="286">
        <v>0</v>
      </c>
      <c r="K421" s="288">
        <f t="shared" si="188"/>
        <v>0</v>
      </c>
      <c r="L421" s="286">
        <v>0</v>
      </c>
      <c r="M421" s="289">
        <f t="shared" si="189"/>
        <v>0</v>
      </c>
      <c r="N421" s="290">
        <f t="shared" si="190"/>
        <v>10330.358023125789</v>
      </c>
      <c r="O421" s="167">
        <f t="shared" si="191"/>
        <v>10330.358023125789</v>
      </c>
    </row>
    <row r="422" spans="1:15" x14ac:dyDescent="0.2">
      <c r="A422" s="292"/>
      <c r="B422" s="283"/>
      <c r="C422" s="282">
        <f>D421+1</f>
        <v>41456</v>
      </c>
      <c r="D422" s="282">
        <f t="shared" si="195"/>
        <v>41547</v>
      </c>
      <c r="E422" s="283">
        <f>D422-C422+1</f>
        <v>92</v>
      </c>
      <c r="F422" s="284">
        <f>VLOOKUP(D422,'FERC Interest Rate'!$A:$B,2,TRUE)</f>
        <v>3.2500000000000001E-2</v>
      </c>
      <c r="G422" s="167">
        <f t="shared" si="193"/>
        <v>10330.358023125789</v>
      </c>
      <c r="H422" s="167">
        <f t="shared" si="187"/>
        <v>84.62402873738661</v>
      </c>
      <c r="I422" s="291">
        <v>0</v>
      </c>
      <c r="J422" s="286">
        <v>0</v>
      </c>
      <c r="K422" s="288">
        <f t="shared" si="188"/>
        <v>0</v>
      </c>
      <c r="L422" s="286">
        <v>0</v>
      </c>
      <c r="M422" s="289">
        <f t="shared" si="189"/>
        <v>0</v>
      </c>
      <c r="N422" s="290">
        <f t="shared" si="190"/>
        <v>10414.982051863175</v>
      </c>
      <c r="O422" s="167">
        <f t="shared" si="191"/>
        <v>10414.982051863175</v>
      </c>
    </row>
    <row r="423" spans="1:15" x14ac:dyDescent="0.2">
      <c r="A423" s="292"/>
      <c r="B423" s="283"/>
      <c r="C423" s="282">
        <f>D422+1</f>
        <v>41548</v>
      </c>
      <c r="D423" s="282">
        <f t="shared" si="195"/>
        <v>41639</v>
      </c>
      <c r="E423" s="283">
        <f>D423-C423+1</f>
        <v>92</v>
      </c>
      <c r="F423" s="284">
        <f>VLOOKUP(D423,'FERC Interest Rate'!$A:$B,2,TRUE)</f>
        <v>3.2500000000000001E-2</v>
      </c>
      <c r="G423" s="167">
        <f t="shared" si="193"/>
        <v>10414.982051863175</v>
      </c>
      <c r="H423" s="167">
        <f t="shared" si="187"/>
        <v>85.317250233070951</v>
      </c>
      <c r="I423" s="291">
        <v>0</v>
      </c>
      <c r="J423" s="286">
        <v>0</v>
      </c>
      <c r="K423" s="288">
        <f t="shared" si="188"/>
        <v>0</v>
      </c>
      <c r="L423" s="286">
        <v>0</v>
      </c>
      <c r="M423" s="289">
        <f t="shared" si="189"/>
        <v>0</v>
      </c>
      <c r="N423" s="290">
        <f t="shared" si="190"/>
        <v>10500.299302096246</v>
      </c>
      <c r="O423" s="167">
        <f t="shared" si="191"/>
        <v>10500.299302096246</v>
      </c>
    </row>
    <row r="424" spans="1:15" x14ac:dyDescent="0.2">
      <c r="A424" s="96" t="s">
        <v>54</v>
      </c>
      <c r="B424" s="81" t="str">
        <f>+IF(MONTH(C424)&lt;4,"Q1",IF(MONTH(C424)&lt;7,"Q2",IF(MONTH(C424)&lt;10,"Q3","Q4")))&amp;"/"&amp;YEAR(C424)</f>
        <v>Q1/2014</v>
      </c>
      <c r="C424" s="82">
        <f>D423+1</f>
        <v>41640</v>
      </c>
      <c r="D424" s="82">
        <f t="shared" si="195"/>
        <v>41729</v>
      </c>
      <c r="E424" s="81">
        <f>D424-C424+1</f>
        <v>90</v>
      </c>
      <c r="F424" s="83">
        <f>VLOOKUP(D424,'FERC Interest Rate'!$A:$B,2,TRUE)</f>
        <v>3.2500000000000001E-2</v>
      </c>
      <c r="G424" s="84">
        <f t="shared" si="193"/>
        <v>10500.299302096246</v>
      </c>
      <c r="H424" s="167">
        <f t="shared" si="187"/>
        <v>84.14623413323703</v>
      </c>
      <c r="I424" s="109">
        <f>(SUM($H$417:$H$440)/20)*4</f>
        <v>116.88910724589675</v>
      </c>
      <c r="J424" s="85">
        <v>0</v>
      </c>
      <c r="K424" s="129">
        <f t="shared" si="188"/>
        <v>116.88910724589675</v>
      </c>
      <c r="L424" s="85">
        <f>($G$417/20)*4</f>
        <v>2000</v>
      </c>
      <c r="M424" s="130">
        <f t="shared" si="189"/>
        <v>2116.8891072458969</v>
      </c>
      <c r="N424" s="8">
        <f t="shared" si="190"/>
        <v>10584.445536229483</v>
      </c>
      <c r="O424" s="84">
        <f t="shared" si="191"/>
        <v>8467.5564289835856</v>
      </c>
    </row>
    <row r="425" spans="1:15" x14ac:dyDescent="0.2">
      <c r="A425" s="96" t="s">
        <v>55</v>
      </c>
      <c r="B425" s="81" t="str">
        <f>+IF(MONTH(C425)&lt;4,"Q1",IF(MONTH(C425)&lt;7,"Q2",IF(MONTH(C425)&lt;10,"Q3","Q4")))&amp;"/"&amp;YEAR(C425)</f>
        <v>Q2/2014</v>
      </c>
      <c r="C425" s="82">
        <f>D424+1</f>
        <v>41730</v>
      </c>
      <c r="D425" s="82">
        <f t="shared" si="195"/>
        <v>41820</v>
      </c>
      <c r="E425" s="81">
        <f>D425-C425+1</f>
        <v>91</v>
      </c>
      <c r="F425" s="83">
        <f>VLOOKUP(D425,'FERC Interest Rate'!$A:$B,2,TRUE)</f>
        <v>3.2500000000000001E-2</v>
      </c>
      <c r="G425" s="84">
        <f t="shared" si="193"/>
        <v>8467.5564289835856</v>
      </c>
      <c r="H425" s="84">
        <v>0</v>
      </c>
      <c r="I425" s="109">
        <f t="shared" ref="I425:I440" si="196">SUM($H$417:$H$440)/20</f>
        <v>29.222276811474188</v>
      </c>
      <c r="J425" s="85">
        <f t="shared" ref="J425:J440" si="197">G425*F425*(E425/(DATE(YEAR(D425),12,31)-DATE(YEAR(D425),1,1)+1))</f>
        <v>68.610405859503999</v>
      </c>
      <c r="K425" s="129">
        <f t="shared" si="188"/>
        <v>97.832682670978187</v>
      </c>
      <c r="L425" s="85">
        <f t="shared" ref="L425:L440" si="198">$G$417/20</f>
        <v>500</v>
      </c>
      <c r="M425" s="130">
        <f t="shared" si="189"/>
        <v>597.83268267097822</v>
      </c>
      <c r="N425" s="8">
        <f t="shared" si="190"/>
        <v>8536.1668348430903</v>
      </c>
      <c r="O425" s="84">
        <f t="shared" si="191"/>
        <v>7938.3341521721113</v>
      </c>
    </row>
    <row r="426" spans="1:15" x14ac:dyDescent="0.2">
      <c r="A426" s="96" t="s">
        <v>56</v>
      </c>
      <c r="B426" s="81" t="str">
        <f t="shared" ref="B426:B440" si="199">+IF(MONTH(C426)&lt;4,"Q1",IF(MONTH(C426)&lt;7,"Q2",IF(MONTH(C426)&lt;10,"Q3","Q4")))&amp;"/"&amp;YEAR(C426)</f>
        <v>Q3/2014</v>
      </c>
      <c r="C426" s="82">
        <f t="shared" si="194"/>
        <v>41821</v>
      </c>
      <c r="D426" s="82">
        <f t="shared" si="195"/>
        <v>41912</v>
      </c>
      <c r="E426" s="81">
        <f t="shared" si="192"/>
        <v>92</v>
      </c>
      <c r="F426" s="83">
        <f>VLOOKUP(D426,'FERC Interest Rate'!$A:$B,2,TRUE)</f>
        <v>3.2500000000000001E-2</v>
      </c>
      <c r="G426" s="84">
        <f t="shared" si="193"/>
        <v>7938.3341521721113</v>
      </c>
      <c r="H426" s="84">
        <v>0</v>
      </c>
      <c r="I426" s="109">
        <f t="shared" si="196"/>
        <v>29.222276811474188</v>
      </c>
      <c r="J426" s="85">
        <f t="shared" si="197"/>
        <v>65.029093465738669</v>
      </c>
      <c r="K426" s="129">
        <f t="shared" si="188"/>
        <v>94.251370277212857</v>
      </c>
      <c r="L426" s="85">
        <f t="shared" si="198"/>
        <v>500</v>
      </c>
      <c r="M426" s="130">
        <f t="shared" si="189"/>
        <v>594.2513702772128</v>
      </c>
      <c r="N426" s="8">
        <f t="shared" si="190"/>
        <v>8003.36324563785</v>
      </c>
      <c r="O426" s="84">
        <f t="shared" si="191"/>
        <v>7409.111875360637</v>
      </c>
    </row>
    <row r="427" spans="1:15" x14ac:dyDescent="0.2">
      <c r="A427" s="96" t="s">
        <v>57</v>
      </c>
      <c r="B427" s="81" t="str">
        <f t="shared" si="199"/>
        <v>Q4/2014</v>
      </c>
      <c r="C427" s="82">
        <f t="shared" si="194"/>
        <v>41913</v>
      </c>
      <c r="D427" s="82">
        <f t="shared" si="195"/>
        <v>42004</v>
      </c>
      <c r="E427" s="81">
        <f t="shared" si="192"/>
        <v>92</v>
      </c>
      <c r="F427" s="83">
        <f>VLOOKUP(D427,'FERC Interest Rate'!$A:$B,2,TRUE)</f>
        <v>3.2500000000000001E-2</v>
      </c>
      <c r="G427" s="84">
        <f t="shared" si="193"/>
        <v>7409.111875360637</v>
      </c>
      <c r="H427" s="84">
        <v>0</v>
      </c>
      <c r="I427" s="109">
        <f t="shared" si="196"/>
        <v>29.222276811474188</v>
      </c>
      <c r="J427" s="85">
        <f t="shared" si="197"/>
        <v>60.693820568022758</v>
      </c>
      <c r="K427" s="129">
        <f t="shared" si="188"/>
        <v>89.916097379496946</v>
      </c>
      <c r="L427" s="85">
        <f t="shared" si="198"/>
        <v>500</v>
      </c>
      <c r="M427" s="130">
        <f t="shared" si="189"/>
        <v>589.91609737949693</v>
      </c>
      <c r="N427" s="8">
        <f t="shared" si="190"/>
        <v>7469.8056959286596</v>
      </c>
      <c r="O427" s="84">
        <f t="shared" si="191"/>
        <v>6879.8895985491627</v>
      </c>
    </row>
    <row r="428" spans="1:15" x14ac:dyDescent="0.2">
      <c r="A428" s="96" t="s">
        <v>58</v>
      </c>
      <c r="B428" s="81" t="str">
        <f t="shared" si="199"/>
        <v>Q1/2015</v>
      </c>
      <c r="C428" s="82">
        <f t="shared" si="194"/>
        <v>42005</v>
      </c>
      <c r="D428" s="82">
        <f t="shared" si="195"/>
        <v>42094</v>
      </c>
      <c r="E428" s="81">
        <f t="shared" si="192"/>
        <v>90</v>
      </c>
      <c r="F428" s="83">
        <f>VLOOKUP(D428,'FERC Interest Rate'!$A:$B,2,TRUE)</f>
        <v>3.2500000000000001E-2</v>
      </c>
      <c r="G428" s="84">
        <f t="shared" si="193"/>
        <v>6879.8895985491627</v>
      </c>
      <c r="H428" s="84">
        <v>0</v>
      </c>
      <c r="I428" s="109">
        <f t="shared" si="196"/>
        <v>29.222276811474188</v>
      </c>
      <c r="J428" s="85">
        <f t="shared" si="197"/>
        <v>55.133361851387129</v>
      </c>
      <c r="K428" s="129">
        <f t="shared" si="188"/>
        <v>84.35563866286131</v>
      </c>
      <c r="L428" s="85">
        <f t="shared" si="198"/>
        <v>500</v>
      </c>
      <c r="M428" s="130">
        <f t="shared" si="189"/>
        <v>584.35563866286134</v>
      </c>
      <c r="N428" s="8">
        <f t="shared" si="190"/>
        <v>6935.0229604005499</v>
      </c>
      <c r="O428" s="84">
        <f t="shared" si="191"/>
        <v>6350.6673217376883</v>
      </c>
    </row>
    <row r="429" spans="1:15" x14ac:dyDescent="0.2">
      <c r="A429" s="96" t="s">
        <v>59</v>
      </c>
      <c r="B429" s="81" t="str">
        <f t="shared" si="199"/>
        <v>Q2/2015</v>
      </c>
      <c r="C429" s="82">
        <f t="shared" si="194"/>
        <v>42095</v>
      </c>
      <c r="D429" s="82">
        <f t="shared" si="195"/>
        <v>42185</v>
      </c>
      <c r="E429" s="81">
        <f t="shared" si="192"/>
        <v>91</v>
      </c>
      <c r="F429" s="83">
        <f>VLOOKUP(D429,'FERC Interest Rate'!$A:$B,2,TRUE)</f>
        <v>3.2500000000000001E-2</v>
      </c>
      <c r="G429" s="84">
        <f t="shared" si="193"/>
        <v>6350.6673217376883</v>
      </c>
      <c r="H429" s="84">
        <v>0</v>
      </c>
      <c r="I429" s="109">
        <f t="shared" si="196"/>
        <v>29.222276811474188</v>
      </c>
      <c r="J429" s="85">
        <f t="shared" si="197"/>
        <v>51.457804394627978</v>
      </c>
      <c r="K429" s="129">
        <f t="shared" si="188"/>
        <v>80.680081206102159</v>
      </c>
      <c r="L429" s="85">
        <f t="shared" si="198"/>
        <v>500</v>
      </c>
      <c r="M429" s="130">
        <f t="shared" si="189"/>
        <v>580.68008120610216</v>
      </c>
      <c r="N429" s="8">
        <f t="shared" si="190"/>
        <v>6402.1251261323159</v>
      </c>
      <c r="O429" s="84">
        <f t="shared" si="191"/>
        <v>5821.445044926214</v>
      </c>
    </row>
    <row r="430" spans="1:15" x14ac:dyDescent="0.2">
      <c r="A430" s="96" t="s">
        <v>60</v>
      </c>
      <c r="B430" s="81" t="str">
        <f t="shared" si="199"/>
        <v>Q3/2015</v>
      </c>
      <c r="C430" s="82">
        <f t="shared" si="194"/>
        <v>42186</v>
      </c>
      <c r="D430" s="82">
        <f t="shared" si="195"/>
        <v>42277</v>
      </c>
      <c r="E430" s="81">
        <f t="shared" si="192"/>
        <v>92</v>
      </c>
      <c r="F430" s="83">
        <f>VLOOKUP(D430,'FERC Interest Rate'!$A:$B,2,TRUE)</f>
        <v>3.2500000000000001E-2</v>
      </c>
      <c r="G430" s="84">
        <f t="shared" si="193"/>
        <v>5821.445044926214</v>
      </c>
      <c r="H430" s="84">
        <v>0</v>
      </c>
      <c r="I430" s="109">
        <f t="shared" si="196"/>
        <v>29.222276811474188</v>
      </c>
      <c r="J430" s="85">
        <f t="shared" si="197"/>
        <v>47.688001874875013</v>
      </c>
      <c r="K430" s="129">
        <f t="shared" si="188"/>
        <v>76.910278686349201</v>
      </c>
      <c r="L430" s="85">
        <f t="shared" si="198"/>
        <v>500</v>
      </c>
      <c r="M430" s="130">
        <f t="shared" si="189"/>
        <v>576.91027868634922</v>
      </c>
      <c r="N430" s="8">
        <f t="shared" si="190"/>
        <v>5869.1330468010892</v>
      </c>
      <c r="O430" s="84">
        <f t="shared" si="191"/>
        <v>5292.2227681147397</v>
      </c>
    </row>
    <row r="431" spans="1:15" x14ac:dyDescent="0.2">
      <c r="A431" s="96" t="s">
        <v>61</v>
      </c>
      <c r="B431" s="81" t="str">
        <f t="shared" si="199"/>
        <v>Q4/2015</v>
      </c>
      <c r="C431" s="82">
        <f t="shared" si="194"/>
        <v>42278</v>
      </c>
      <c r="D431" s="82">
        <f t="shared" si="195"/>
        <v>42369</v>
      </c>
      <c r="E431" s="81">
        <f t="shared" si="192"/>
        <v>92</v>
      </c>
      <c r="F431" s="83">
        <f>VLOOKUP(D431,'FERC Interest Rate'!$A:$B,2,TRUE)</f>
        <v>3.2500000000000001E-2</v>
      </c>
      <c r="G431" s="84">
        <f t="shared" si="193"/>
        <v>5292.2227681147397</v>
      </c>
      <c r="H431" s="84">
        <v>0</v>
      </c>
      <c r="I431" s="109">
        <f t="shared" si="196"/>
        <v>29.222276811474188</v>
      </c>
      <c r="J431" s="85">
        <f t="shared" si="197"/>
        <v>43.352728977159103</v>
      </c>
      <c r="K431" s="129">
        <f t="shared" si="188"/>
        <v>72.575005788633291</v>
      </c>
      <c r="L431" s="85">
        <f t="shared" si="198"/>
        <v>500</v>
      </c>
      <c r="M431" s="130">
        <f t="shared" si="189"/>
        <v>572.57500578863323</v>
      </c>
      <c r="N431" s="8">
        <f t="shared" si="190"/>
        <v>5335.5754970918988</v>
      </c>
      <c r="O431" s="84">
        <f t="shared" si="191"/>
        <v>4763.0004913032653</v>
      </c>
    </row>
    <row r="432" spans="1:15" x14ac:dyDescent="0.2">
      <c r="A432" s="96" t="s">
        <v>62</v>
      </c>
      <c r="B432" s="81" t="str">
        <f t="shared" si="199"/>
        <v>Q1/2016</v>
      </c>
      <c r="C432" s="82">
        <f t="shared" si="194"/>
        <v>42370</v>
      </c>
      <c r="D432" s="82">
        <f t="shared" si="195"/>
        <v>42460</v>
      </c>
      <c r="E432" s="81">
        <f t="shared" si="192"/>
        <v>91</v>
      </c>
      <c r="F432" s="83">
        <f>VLOOKUP(D432,'FERC Interest Rate'!$A:$B,2,TRUE)</f>
        <v>3.2500000000000001E-2</v>
      </c>
      <c r="G432" s="84">
        <f t="shared" si="193"/>
        <v>4763.0004913032653</v>
      </c>
      <c r="H432" s="84">
        <v>0</v>
      </c>
      <c r="I432" s="109">
        <f t="shared" si="196"/>
        <v>29.222276811474188</v>
      </c>
      <c r="J432" s="85">
        <f t="shared" si="197"/>
        <v>38.487906975490183</v>
      </c>
      <c r="K432" s="129">
        <f t="shared" si="188"/>
        <v>67.710183786964365</v>
      </c>
      <c r="L432" s="85">
        <f t="shared" si="198"/>
        <v>500</v>
      </c>
      <c r="M432" s="130">
        <f t="shared" si="189"/>
        <v>567.71018378696431</v>
      </c>
      <c r="N432" s="8">
        <f t="shared" si="190"/>
        <v>4801.4883982787551</v>
      </c>
      <c r="O432" s="84">
        <f t="shared" si="191"/>
        <v>4233.778214491791</v>
      </c>
    </row>
    <row r="433" spans="1:15" x14ac:dyDescent="0.2">
      <c r="A433" s="96" t="s">
        <v>63</v>
      </c>
      <c r="B433" s="81" t="str">
        <f t="shared" si="199"/>
        <v>Q2/2016</v>
      </c>
      <c r="C433" s="82">
        <f t="shared" si="194"/>
        <v>42461</v>
      </c>
      <c r="D433" s="82">
        <f t="shared" si="195"/>
        <v>42551</v>
      </c>
      <c r="E433" s="81">
        <f t="shared" si="192"/>
        <v>91</v>
      </c>
      <c r="F433" s="83">
        <f>VLOOKUP(D433,'FERC Interest Rate'!$A:$B,2,TRUE)</f>
        <v>3.4599999999999999E-2</v>
      </c>
      <c r="G433" s="84">
        <f t="shared" si="193"/>
        <v>4233.778214491791</v>
      </c>
      <c r="H433" s="84">
        <v>0</v>
      </c>
      <c r="I433" s="109">
        <f t="shared" si="196"/>
        <v>29.222276811474188</v>
      </c>
      <c r="J433" s="85">
        <f t="shared" si="197"/>
        <v>36.422060344668992</v>
      </c>
      <c r="K433" s="129">
        <f t="shared" si="188"/>
        <v>65.64433715614318</v>
      </c>
      <c r="L433" s="85">
        <f t="shared" si="198"/>
        <v>500</v>
      </c>
      <c r="M433" s="130">
        <f t="shared" si="189"/>
        <v>565.64433715614314</v>
      </c>
      <c r="N433" s="8">
        <f t="shared" si="190"/>
        <v>4270.2002748364603</v>
      </c>
      <c r="O433" s="84">
        <f t="shared" si="191"/>
        <v>3704.5559376803167</v>
      </c>
    </row>
    <row r="434" spans="1:15" x14ac:dyDescent="0.2">
      <c r="A434" s="96" t="s">
        <v>64</v>
      </c>
      <c r="B434" s="81" t="str">
        <f t="shared" si="199"/>
        <v>Q3/2016</v>
      </c>
      <c r="C434" s="82">
        <f t="shared" si="194"/>
        <v>42552</v>
      </c>
      <c r="D434" s="82">
        <f t="shared" si="195"/>
        <v>42643</v>
      </c>
      <c r="E434" s="81">
        <f t="shared" si="192"/>
        <v>92</v>
      </c>
      <c r="F434" s="83">
        <f>VLOOKUP(D434,'FERC Interest Rate'!$A:$B,2,TRUE)</f>
        <v>3.5000000000000003E-2</v>
      </c>
      <c r="G434" s="84">
        <f t="shared" si="193"/>
        <v>3704.5559376803167</v>
      </c>
      <c r="H434" s="84">
        <v>0</v>
      </c>
      <c r="I434" s="109">
        <f t="shared" si="196"/>
        <v>29.222276811474188</v>
      </c>
      <c r="J434" s="85">
        <f t="shared" si="197"/>
        <v>32.591994861559073</v>
      </c>
      <c r="K434" s="129">
        <f t="shared" si="188"/>
        <v>61.814271673033261</v>
      </c>
      <c r="L434" s="85">
        <f t="shared" si="198"/>
        <v>500</v>
      </c>
      <c r="M434" s="130">
        <f t="shared" si="189"/>
        <v>561.81427167303332</v>
      </c>
      <c r="N434" s="8">
        <f t="shared" si="190"/>
        <v>3737.1479325418759</v>
      </c>
      <c r="O434" s="84">
        <f t="shared" si="191"/>
        <v>3175.3336608688423</v>
      </c>
    </row>
    <row r="435" spans="1:15" x14ac:dyDescent="0.2">
      <c r="A435" s="96" t="s">
        <v>65</v>
      </c>
      <c r="B435" s="81" t="str">
        <f t="shared" si="199"/>
        <v>Q4/2016</v>
      </c>
      <c r="C435" s="82">
        <f t="shared" si="194"/>
        <v>42644</v>
      </c>
      <c r="D435" s="82">
        <f t="shared" si="195"/>
        <v>42735</v>
      </c>
      <c r="E435" s="81">
        <f t="shared" si="192"/>
        <v>92</v>
      </c>
      <c r="F435" s="83">
        <f>VLOOKUP(D435,'FERC Interest Rate'!$A:$B,2,TRUE)</f>
        <v>3.5000000000000003E-2</v>
      </c>
      <c r="G435" s="84">
        <f t="shared" si="193"/>
        <v>3175.3336608688423</v>
      </c>
      <c r="H435" s="84">
        <v>0</v>
      </c>
      <c r="I435" s="109">
        <f t="shared" si="196"/>
        <v>29.222276811474188</v>
      </c>
      <c r="J435" s="85">
        <f t="shared" si="197"/>
        <v>27.93599559562206</v>
      </c>
      <c r="K435" s="129">
        <f t="shared" si="188"/>
        <v>57.158272407096248</v>
      </c>
      <c r="L435" s="85">
        <f t="shared" si="198"/>
        <v>500</v>
      </c>
      <c r="M435" s="130">
        <f t="shared" si="189"/>
        <v>557.15827240709621</v>
      </c>
      <c r="N435" s="8">
        <f t="shared" si="190"/>
        <v>3203.2696564644643</v>
      </c>
      <c r="O435" s="84">
        <f t="shared" si="191"/>
        <v>2646.111384057368</v>
      </c>
    </row>
    <row r="436" spans="1:15" x14ac:dyDescent="0.2">
      <c r="A436" s="96" t="s">
        <v>66</v>
      </c>
      <c r="B436" s="81" t="str">
        <f t="shared" si="199"/>
        <v>Q1/2017</v>
      </c>
      <c r="C436" s="82">
        <f t="shared" si="194"/>
        <v>42736</v>
      </c>
      <c r="D436" s="82">
        <f t="shared" si="195"/>
        <v>42825</v>
      </c>
      <c r="E436" s="81">
        <f t="shared" si="192"/>
        <v>90</v>
      </c>
      <c r="F436" s="83">
        <f>VLOOKUP(D436,'FERC Interest Rate'!$A:$B,2,TRUE)</f>
        <v>3.5000000000000003E-2</v>
      </c>
      <c r="G436" s="84">
        <f t="shared" si="193"/>
        <v>2646.111384057368</v>
      </c>
      <c r="H436" s="84">
        <v>0</v>
      </c>
      <c r="I436" s="109">
        <f t="shared" si="196"/>
        <v>29.222276811474188</v>
      </c>
      <c r="J436" s="85">
        <f t="shared" si="197"/>
        <v>22.836303725426603</v>
      </c>
      <c r="K436" s="129">
        <f t="shared" si="188"/>
        <v>52.058580536900791</v>
      </c>
      <c r="L436" s="85">
        <f t="shared" si="198"/>
        <v>500</v>
      </c>
      <c r="M436" s="130">
        <f t="shared" si="189"/>
        <v>552.05858053690076</v>
      </c>
      <c r="N436" s="8">
        <f t="shared" si="190"/>
        <v>2668.9476877827947</v>
      </c>
      <c r="O436" s="84">
        <f t="shared" si="191"/>
        <v>2116.8891072458937</v>
      </c>
    </row>
    <row r="437" spans="1:15" x14ac:dyDescent="0.2">
      <c r="A437" s="96" t="s">
        <v>67</v>
      </c>
      <c r="B437" s="81" t="str">
        <f t="shared" si="199"/>
        <v>Q2/2017</v>
      </c>
      <c r="C437" s="82">
        <f t="shared" si="194"/>
        <v>42826</v>
      </c>
      <c r="D437" s="82">
        <f t="shared" si="195"/>
        <v>42916</v>
      </c>
      <c r="E437" s="81">
        <f t="shared" si="192"/>
        <v>91</v>
      </c>
      <c r="F437" s="83">
        <f>VLOOKUP(D437,'FERC Interest Rate'!$A:$B,2,TRUE)</f>
        <v>3.7100000000000001E-2</v>
      </c>
      <c r="G437" s="84">
        <f t="shared" si="193"/>
        <v>2116.8891072458937</v>
      </c>
      <c r="H437" s="84">
        <v>0</v>
      </c>
      <c r="I437" s="109">
        <f t="shared" si="196"/>
        <v>29.222276811474188</v>
      </c>
      <c r="J437" s="85">
        <f t="shared" si="197"/>
        <v>19.580354287596883</v>
      </c>
      <c r="K437" s="129">
        <f t="shared" si="188"/>
        <v>48.802631099071071</v>
      </c>
      <c r="L437" s="85">
        <f t="shared" si="198"/>
        <v>500</v>
      </c>
      <c r="M437" s="130">
        <f t="shared" si="189"/>
        <v>548.80263109907105</v>
      </c>
      <c r="N437" s="8">
        <f t="shared" si="190"/>
        <v>2136.4694615334906</v>
      </c>
      <c r="O437" s="84">
        <f t="shared" si="191"/>
        <v>1587.6668304344196</v>
      </c>
    </row>
    <row r="438" spans="1:15" x14ac:dyDescent="0.2">
      <c r="A438" s="96" t="s">
        <v>68</v>
      </c>
      <c r="B438" s="81" t="str">
        <f t="shared" si="199"/>
        <v>Q3/2017</v>
      </c>
      <c r="C438" s="82">
        <f t="shared" si="194"/>
        <v>42917</v>
      </c>
      <c r="D438" s="82">
        <f t="shared" si="195"/>
        <v>43008</v>
      </c>
      <c r="E438" s="81">
        <f t="shared" si="192"/>
        <v>92</v>
      </c>
      <c r="F438" s="83">
        <f>VLOOKUP(D438,'FERC Interest Rate'!$A:$B,2,TRUE)</f>
        <v>3.9600000000000003E-2</v>
      </c>
      <c r="G438" s="84">
        <f t="shared" si="193"/>
        <v>1587.6668304344196</v>
      </c>
      <c r="H438" s="84">
        <v>0</v>
      </c>
      <c r="I438" s="109">
        <f t="shared" si="196"/>
        <v>29.222276811474188</v>
      </c>
      <c r="J438" s="85">
        <f t="shared" si="197"/>
        <v>15.847089853804597</v>
      </c>
      <c r="K438" s="129">
        <f t="shared" si="188"/>
        <v>45.069366665278785</v>
      </c>
      <c r="L438" s="85">
        <f t="shared" si="198"/>
        <v>500</v>
      </c>
      <c r="M438" s="130">
        <f t="shared" si="189"/>
        <v>545.06936666527884</v>
      </c>
      <c r="N438" s="8">
        <f t="shared" si="190"/>
        <v>1603.5139202882242</v>
      </c>
      <c r="O438" s="84">
        <f t="shared" si="191"/>
        <v>1058.4445536229455</v>
      </c>
    </row>
    <row r="439" spans="1:15" x14ac:dyDescent="0.2">
      <c r="A439" s="96" t="s">
        <v>69</v>
      </c>
      <c r="B439" s="81" t="str">
        <f t="shared" si="199"/>
        <v>Q4/2017</v>
      </c>
      <c r="C439" s="82">
        <f t="shared" si="194"/>
        <v>43009</v>
      </c>
      <c r="D439" s="82">
        <f t="shared" si="195"/>
        <v>43100</v>
      </c>
      <c r="E439" s="81">
        <f t="shared" si="192"/>
        <v>92</v>
      </c>
      <c r="F439" s="83">
        <f>VLOOKUP(D439,'FERC Interest Rate'!$A:$B,2,TRUE)</f>
        <v>4.2099999999999999E-2</v>
      </c>
      <c r="G439" s="84">
        <f t="shared" si="193"/>
        <v>1058.4445536229455</v>
      </c>
      <c r="H439" s="84">
        <v>0</v>
      </c>
      <c r="I439" s="109">
        <f t="shared" si="196"/>
        <v>29.222276811474188</v>
      </c>
      <c r="J439" s="85">
        <f t="shared" si="197"/>
        <v>11.231691630390117</v>
      </c>
      <c r="K439" s="129">
        <f t="shared" si="188"/>
        <v>40.453968441864305</v>
      </c>
      <c r="L439" s="85">
        <f t="shared" si="198"/>
        <v>500</v>
      </c>
      <c r="M439" s="130">
        <f t="shared" si="189"/>
        <v>540.45396844186428</v>
      </c>
      <c r="N439" s="8">
        <f t="shared" si="190"/>
        <v>1069.6762452533355</v>
      </c>
      <c r="O439" s="84">
        <f t="shared" si="191"/>
        <v>529.22227681147126</v>
      </c>
    </row>
    <row r="440" spans="1:15" x14ac:dyDescent="0.2">
      <c r="A440" s="96" t="s">
        <v>70</v>
      </c>
      <c r="B440" s="81" t="str">
        <f t="shared" si="199"/>
        <v>Q1/2018</v>
      </c>
      <c r="C440" s="82">
        <f t="shared" si="194"/>
        <v>43101</v>
      </c>
      <c r="D440" s="82">
        <f t="shared" si="195"/>
        <v>43190</v>
      </c>
      <c r="E440" s="81">
        <f t="shared" si="192"/>
        <v>90</v>
      </c>
      <c r="F440" s="83">
        <f>VLOOKUP(D440,'FERC Interest Rate'!$A:$B,2,TRUE)</f>
        <v>4.2500000000000003E-2</v>
      </c>
      <c r="G440" s="84">
        <f t="shared" si="193"/>
        <v>529.22227681147126</v>
      </c>
      <c r="H440" s="84">
        <v>0</v>
      </c>
      <c r="I440" s="109">
        <f t="shared" si="196"/>
        <v>29.222276811474188</v>
      </c>
      <c r="J440" s="85">
        <f t="shared" si="197"/>
        <v>5.5459594761750068</v>
      </c>
      <c r="K440" s="129">
        <f t="shared" si="188"/>
        <v>34.768236287649195</v>
      </c>
      <c r="L440" s="85">
        <f t="shared" si="198"/>
        <v>500</v>
      </c>
      <c r="M440" s="130">
        <f t="shared" si="189"/>
        <v>534.76823628764919</v>
      </c>
      <c r="N440" s="8">
        <f t="shared" si="190"/>
        <v>534.76823628764623</v>
      </c>
      <c r="O440" s="84">
        <f t="shared" si="191"/>
        <v>-2.9274360713316128E-12</v>
      </c>
    </row>
    <row r="441" spans="1:15" x14ac:dyDescent="0.2">
      <c r="B441" s="11"/>
      <c r="C441" s="98"/>
      <c r="D441" s="98"/>
      <c r="E441" s="10"/>
      <c r="F441" s="11"/>
      <c r="G441" s="85"/>
      <c r="H441" s="12"/>
      <c r="I441" s="115"/>
      <c r="J441" s="85"/>
      <c r="K441" s="117"/>
      <c r="L441" s="70"/>
      <c r="M441" s="110"/>
    </row>
    <row r="442" spans="1:15" ht="13.5" thickBot="1" x14ac:dyDescent="0.25">
      <c r="A442" s="151"/>
      <c r="B442" s="151"/>
      <c r="C442" s="151"/>
      <c r="D442" s="151"/>
      <c r="E442" s="151"/>
      <c r="F442" s="151"/>
      <c r="G442" s="79">
        <f>+SUM(G417:G441)</f>
        <v>153718.31649708384</v>
      </c>
      <c r="H442" s="79">
        <f t="shared" ref="H442:O442" si="200">+SUM(H417:H441)</f>
        <v>584.44553622948376</v>
      </c>
      <c r="I442" s="119">
        <f t="shared" si="200"/>
        <v>584.44553622948411</v>
      </c>
      <c r="J442" s="79">
        <f t="shared" si="200"/>
        <v>602.44457374204819</v>
      </c>
      <c r="K442" s="79">
        <f t="shared" si="200"/>
        <v>1186.890109971532</v>
      </c>
      <c r="L442" s="79">
        <f t="shared" si="200"/>
        <v>10000</v>
      </c>
      <c r="M442" s="120">
        <f t="shared" si="200"/>
        <v>11186.890109971535</v>
      </c>
      <c r="N442" s="79">
        <f t="shared" si="200"/>
        <v>154905.2066070553</v>
      </c>
      <c r="O442" s="79">
        <f t="shared" si="200"/>
        <v>143718.31649708384</v>
      </c>
    </row>
    <row r="443" spans="1:15" ht="14.25" thickTop="1" thickBot="1" x14ac:dyDescent="0.25">
      <c r="I443" s="121"/>
      <c r="J443" s="122"/>
      <c r="K443" s="122"/>
      <c r="L443" s="122"/>
      <c r="M443" s="123"/>
    </row>
  </sheetData>
  <mergeCells count="3">
    <mergeCell ref="A417:B417"/>
    <mergeCell ref="A62:F62"/>
    <mergeCell ref="A37:B38"/>
  </mergeCells>
  <pageMargins left="0.7" right="0.7" top="0.75" bottom="0.75" header="0.3" footer="0.3"/>
  <pageSetup scale="53" fitToHeight="0" orientation="landscape" r:id="rId1"/>
  <headerFooter alignWithMargins="0">
    <oddHeader>&amp;RTO2019 Annual Update
Attachment 4
WP Schedule 22
Page &amp;P of &amp;N</oddHeader>
    <oddFooter>&amp;R&amp;A</oddFooter>
  </headerFooter>
  <rowBreaks count="7" manualBreakCount="7">
    <brk id="61" max="14" man="1"/>
    <brk id="122" max="14" man="1"/>
    <brk id="183" max="14" man="1"/>
    <brk id="243" max="14" man="1"/>
    <brk id="301" max="14" man="1"/>
    <brk id="359" max="14" man="1"/>
    <brk id="415" max="1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93"/>
  <sheetViews>
    <sheetView zoomScale="80" zoomScaleNormal="80" workbookViewId="0"/>
  </sheetViews>
  <sheetFormatPr defaultColWidth="9.140625" defaultRowHeight="12.75" x14ac:dyDescent="0.2"/>
  <cols>
    <col min="1" max="1" width="11.140625" style="6" customWidth="1"/>
    <col min="2" max="2" width="13.28515625" style="6" customWidth="1"/>
    <col min="3" max="4" width="14.85546875" style="6" customWidth="1"/>
    <col min="5" max="5" width="9.7109375" style="6" bestFit="1" customWidth="1"/>
    <col min="6" max="6" width="15" style="6" customWidth="1"/>
    <col min="7" max="9" width="16.140625" style="6" customWidth="1"/>
    <col min="10" max="10" width="17" style="6" customWidth="1"/>
    <col min="11" max="15" width="16.140625" style="6" customWidth="1"/>
    <col min="16" max="16384" width="9.140625" style="6"/>
  </cols>
  <sheetData>
    <row r="1" spans="1:15" ht="38.25" x14ac:dyDescent="0.2">
      <c r="A1" s="101" t="s">
        <v>8</v>
      </c>
      <c r="B1" s="102" t="s">
        <v>88</v>
      </c>
      <c r="C1" s="101" t="s">
        <v>2</v>
      </c>
      <c r="D1" s="101" t="s">
        <v>1</v>
      </c>
      <c r="E1" s="102" t="s">
        <v>74</v>
      </c>
      <c r="F1" s="102" t="s">
        <v>48</v>
      </c>
    </row>
    <row r="2" spans="1:15" ht="12.75" customHeight="1" thickBot="1" x14ac:dyDescent="0.25">
      <c r="A2" s="96" t="s">
        <v>54</v>
      </c>
      <c r="B2" s="76">
        <v>41275</v>
      </c>
      <c r="C2" s="55">
        <v>5567720</v>
      </c>
      <c r="D2" s="55">
        <v>0</v>
      </c>
      <c r="E2" s="55">
        <v>0</v>
      </c>
      <c r="F2" s="7">
        <f>SUM(C2:E2)</f>
        <v>5567720</v>
      </c>
    </row>
    <row r="3" spans="1:15" x14ac:dyDescent="0.2">
      <c r="B3" s="44" t="s">
        <v>0</v>
      </c>
      <c r="C3" s="124">
        <f>SUM(C2:C2)</f>
        <v>5567720</v>
      </c>
      <c r="D3" s="124">
        <f>SUM(D2:D2)</f>
        <v>0</v>
      </c>
      <c r="E3" s="124">
        <f>SUM(E2:E2)</f>
        <v>0</v>
      </c>
      <c r="F3" s="124">
        <f>SUM(F2:F2)</f>
        <v>5567720</v>
      </c>
      <c r="J3" s="159"/>
      <c r="K3" s="158" t="s">
        <v>14</v>
      </c>
      <c r="L3" s="250" t="s">
        <v>13</v>
      </c>
    </row>
    <row r="4" spans="1:15" x14ac:dyDescent="0.2">
      <c r="A4" s="17" t="s">
        <v>19</v>
      </c>
      <c r="B4" s="18" t="s">
        <v>22</v>
      </c>
      <c r="C4" s="8">
        <v>2469500</v>
      </c>
      <c r="D4" s="8">
        <v>0</v>
      </c>
      <c r="E4" s="8">
        <v>0</v>
      </c>
      <c r="F4" s="8">
        <f>SUM(C4:E4)</f>
        <v>2469500</v>
      </c>
      <c r="J4" s="156" t="s">
        <v>11</v>
      </c>
      <c r="K4" s="103">
        <v>41850</v>
      </c>
      <c r="L4" s="251">
        <v>41590</v>
      </c>
    </row>
    <row r="5" spans="1:15" ht="13.5" thickBot="1" x14ac:dyDescent="0.25">
      <c r="A5" s="17" t="s">
        <v>20</v>
      </c>
      <c r="B5" s="18" t="s">
        <v>22</v>
      </c>
      <c r="C5" s="8">
        <v>0</v>
      </c>
      <c r="D5" s="8">
        <v>0</v>
      </c>
      <c r="E5" s="8">
        <v>0</v>
      </c>
      <c r="F5" s="8">
        <f>SUM(C5:E5)</f>
        <v>0</v>
      </c>
      <c r="J5" s="157" t="s">
        <v>17</v>
      </c>
      <c r="K5" s="104">
        <v>41955</v>
      </c>
      <c r="L5" s="252">
        <v>41977</v>
      </c>
    </row>
    <row r="6" spans="1:15" ht="13.5" thickBot="1" x14ac:dyDescent="0.25">
      <c r="A6" s="44"/>
      <c r="B6" s="80" t="s">
        <v>52</v>
      </c>
      <c r="C6" s="79">
        <f>+SUM(C3:C5)</f>
        <v>8037220</v>
      </c>
      <c r="D6" s="79">
        <f>+SUM(D3:D5)</f>
        <v>0</v>
      </c>
      <c r="E6" s="79">
        <f>+SUM(E3:E5)</f>
        <v>0</v>
      </c>
      <c r="F6" s="79">
        <f>+SUM(F3:F5)</f>
        <v>8037220</v>
      </c>
    </row>
    <row r="7" spans="1:15" ht="14.25" thickTop="1" thickBot="1" x14ac:dyDescent="0.25">
      <c r="B7" s="44"/>
      <c r="C7" s="13"/>
      <c r="D7" s="13"/>
      <c r="E7" s="13"/>
      <c r="F7" s="13"/>
    </row>
    <row r="8" spans="1:15" x14ac:dyDescent="0.2">
      <c r="B8" s="43"/>
      <c r="C8" s="5"/>
      <c r="D8" s="17"/>
      <c r="I8" s="143"/>
      <c r="J8" s="128"/>
      <c r="K8" s="128"/>
      <c r="L8" s="128"/>
      <c r="M8" s="108"/>
    </row>
    <row r="9" spans="1:15" ht="38.25" x14ac:dyDescent="0.2">
      <c r="A9" s="90" t="s">
        <v>53</v>
      </c>
      <c r="B9" s="90" t="s">
        <v>3</v>
      </c>
      <c r="C9" s="90" t="s">
        <v>4</v>
      </c>
      <c r="D9" s="90" t="s">
        <v>5</v>
      </c>
      <c r="E9" s="90" t="s">
        <v>6</v>
      </c>
      <c r="F9" s="90" t="s">
        <v>7</v>
      </c>
      <c r="G9" s="90" t="s">
        <v>93</v>
      </c>
      <c r="H9" s="90" t="s">
        <v>94</v>
      </c>
      <c r="I9" s="105" t="s">
        <v>95</v>
      </c>
      <c r="J9" s="106" t="s">
        <v>96</v>
      </c>
      <c r="K9" s="106" t="s">
        <v>97</v>
      </c>
      <c r="L9" s="106" t="s">
        <v>98</v>
      </c>
      <c r="M9" s="107" t="s">
        <v>99</v>
      </c>
      <c r="N9" s="90" t="s">
        <v>100</v>
      </c>
      <c r="O9" s="90" t="s">
        <v>101</v>
      </c>
    </row>
    <row r="10" spans="1:15" x14ac:dyDescent="0.2">
      <c r="A10" s="311" t="s">
        <v>2</v>
      </c>
      <c r="B10" s="311"/>
      <c r="C10" s="282">
        <f>$L$4</f>
        <v>41590</v>
      </c>
      <c r="D10" s="282">
        <f>DATE(YEAR(C10),IF(MONTH(C10)&lt;=3,3,IF(MONTH(C10)&lt;=6,6,IF(MONTH(C10)&lt;=9,9,12))),IF(OR(MONTH(C10)&lt;=3,MONTH(C10)&gt;=10),31,30))</f>
        <v>41639</v>
      </c>
      <c r="E10" s="283">
        <f>D10-C10+1</f>
        <v>50</v>
      </c>
      <c r="F10" s="284">
        <f>VLOOKUP(D10,'FERC Interest Rate'!$A:$B,2,TRUE)</f>
        <v>3.2500000000000001E-2</v>
      </c>
      <c r="G10" s="167">
        <f>$C$3</f>
        <v>5567720</v>
      </c>
      <c r="H10" s="167">
        <f>G10*F10*(E10/(DATE(YEAR(D10),12,31)-DATE(YEAR(D10),1,1)+1))</f>
        <v>24787.794520547945</v>
      </c>
      <c r="I10" s="285">
        <v>0</v>
      </c>
      <c r="J10" s="286">
        <v>0</v>
      </c>
      <c r="K10" s="288">
        <f>+SUM(I10:J10)</f>
        <v>0</v>
      </c>
      <c r="L10" s="286">
        <v>0</v>
      </c>
      <c r="M10" s="289">
        <f>+SUM(K10:L10)</f>
        <v>0</v>
      </c>
      <c r="N10" s="290">
        <f>+G10+H10+J10</f>
        <v>5592507.7945205476</v>
      </c>
      <c r="O10" s="167">
        <f t="shared" ref="O10:O33" si="0">G10+H10-L10-I10</f>
        <v>5592507.7945205476</v>
      </c>
    </row>
    <row r="11" spans="1:15" x14ac:dyDescent="0.2">
      <c r="A11" s="312"/>
      <c r="B11" s="312"/>
      <c r="C11" s="282">
        <f>D10+1</f>
        <v>41640</v>
      </c>
      <c r="D11" s="282">
        <f t="shared" ref="D11:D33" si="1">EOMONTH(D10,3)</f>
        <v>41729</v>
      </c>
      <c r="E11" s="283">
        <f>D11-C11+1</f>
        <v>90</v>
      </c>
      <c r="F11" s="284">
        <f>VLOOKUP(D11,'FERC Interest Rate'!$A:$B,2,TRUE)</f>
        <v>3.2500000000000001E-2</v>
      </c>
      <c r="G11" s="167">
        <f t="shared" ref="G11:G33" si="2">O10</f>
        <v>5592507.7945205476</v>
      </c>
      <c r="H11" s="167">
        <f>G11*F11*(E11/(DATE(YEAR(D11),12,31)-DATE(YEAR(D11),1,1)+1))</f>
        <v>44816.672051979731</v>
      </c>
      <c r="I11" s="285">
        <v>0</v>
      </c>
      <c r="J11" s="286">
        <v>0</v>
      </c>
      <c r="K11" s="288">
        <f t="shared" ref="K11:K33" si="3">+SUM(I11:J11)</f>
        <v>0</v>
      </c>
      <c r="L11" s="286">
        <v>0</v>
      </c>
      <c r="M11" s="289">
        <f t="shared" ref="M11:M33" si="4">+SUM(K11:L11)</f>
        <v>0</v>
      </c>
      <c r="N11" s="290">
        <f t="shared" ref="N11:N33" si="5">+G11+H11+J11</f>
        <v>5637324.4665725278</v>
      </c>
      <c r="O11" s="167">
        <f t="shared" si="0"/>
        <v>5637324.4665725278</v>
      </c>
    </row>
    <row r="12" spans="1:15" x14ac:dyDescent="0.2">
      <c r="B12" s="81"/>
      <c r="C12" s="282">
        <f>D11+1</f>
        <v>41730</v>
      </c>
      <c r="D12" s="282">
        <f t="shared" si="1"/>
        <v>41820</v>
      </c>
      <c r="E12" s="283">
        <f>D12-C12+1</f>
        <v>91</v>
      </c>
      <c r="F12" s="284">
        <f>VLOOKUP(D12,'FERC Interest Rate'!$A:$B,2,TRUE)</f>
        <v>3.2500000000000001E-2</v>
      </c>
      <c r="G12" s="167">
        <f t="shared" si="2"/>
        <v>5637324.4665725278</v>
      </c>
      <c r="H12" s="167">
        <f>G12*F12*(E12/(DATE(YEAR(D12),12,31)-DATE(YEAR(D12),1,1)+1))</f>
        <v>45677.77290380343</v>
      </c>
      <c r="I12" s="285">
        <v>0</v>
      </c>
      <c r="J12" s="286">
        <v>0</v>
      </c>
      <c r="K12" s="288">
        <f t="shared" si="3"/>
        <v>0</v>
      </c>
      <c r="L12" s="286">
        <v>0</v>
      </c>
      <c r="M12" s="289">
        <f t="shared" si="4"/>
        <v>0</v>
      </c>
      <c r="N12" s="290">
        <f t="shared" si="5"/>
        <v>5683002.2394763315</v>
      </c>
      <c r="O12" s="167">
        <f t="shared" si="0"/>
        <v>5683002.2394763315</v>
      </c>
    </row>
    <row r="13" spans="1:15" x14ac:dyDescent="0.2">
      <c r="B13" s="81"/>
      <c r="C13" s="282">
        <f>D12+1</f>
        <v>41821</v>
      </c>
      <c r="D13" s="282">
        <f t="shared" si="1"/>
        <v>41912</v>
      </c>
      <c r="E13" s="283">
        <f>D13-C13+1</f>
        <v>92</v>
      </c>
      <c r="F13" s="284">
        <f>VLOOKUP(D13,'FERC Interest Rate'!$A:$B,2,TRUE)</f>
        <v>3.2500000000000001E-2</v>
      </c>
      <c r="G13" s="167">
        <f t="shared" si="2"/>
        <v>5683002.2394763315</v>
      </c>
      <c r="H13" s="167">
        <f>G13*F13*(E13/(DATE(YEAR(D13),12,31)-DATE(YEAR(D13),1,1)+1))</f>
        <v>46553.90875625817</v>
      </c>
      <c r="I13" s="285">
        <v>0</v>
      </c>
      <c r="J13" s="286">
        <v>0</v>
      </c>
      <c r="K13" s="288">
        <f t="shared" si="3"/>
        <v>0</v>
      </c>
      <c r="L13" s="286">
        <v>0</v>
      </c>
      <c r="M13" s="289">
        <f t="shared" si="4"/>
        <v>0</v>
      </c>
      <c r="N13" s="290">
        <f t="shared" si="5"/>
        <v>5729556.1482325895</v>
      </c>
      <c r="O13" s="167">
        <f t="shared" si="0"/>
        <v>5729556.1482325895</v>
      </c>
    </row>
    <row r="14" spans="1:15" x14ac:dyDescent="0.2">
      <c r="A14" s="96" t="s">
        <v>54</v>
      </c>
      <c r="B14" s="81" t="str">
        <f t="shared" ref="B14:B33" si="6">+IF(MONTH(C14)&lt;4,"Q1",IF(MONTH(C14)&lt;7,"Q2",IF(MONTH(C14)&lt;10,"Q3","Q4")))&amp;"/"&amp;YEAR(C14)</f>
        <v>Q4/2014</v>
      </c>
      <c r="C14" s="82">
        <f>D13+1</f>
        <v>41913</v>
      </c>
      <c r="D14" s="82">
        <f t="shared" si="1"/>
        <v>42004</v>
      </c>
      <c r="E14" s="81">
        <f>D14-C14+1</f>
        <v>92</v>
      </c>
      <c r="F14" s="83">
        <f>VLOOKUP(D14,'FERC Interest Rate'!$A:$B,2,TRUE)</f>
        <v>3.2500000000000001E-2</v>
      </c>
      <c r="G14" s="84">
        <f t="shared" si="2"/>
        <v>5729556.1482325895</v>
      </c>
      <c r="H14" s="167">
        <f>G14*F14*(E14/(DATE(YEAR(D14),12,31)-DATE(YEAR(D14),1,1)+1))</f>
        <v>46935.268173192999</v>
      </c>
      <c r="I14" s="109">
        <f t="shared" ref="I14:I33" si="7">SUM($H$10:$H$34)/20</f>
        <v>10438.570820289115</v>
      </c>
      <c r="J14" s="286">
        <v>0</v>
      </c>
      <c r="K14" s="129">
        <f t="shared" si="3"/>
        <v>10438.570820289115</v>
      </c>
      <c r="L14" s="85">
        <f>$C$3/20</f>
        <v>278386</v>
      </c>
      <c r="M14" s="130">
        <f t="shared" si="4"/>
        <v>288824.57082028914</v>
      </c>
      <c r="N14" s="8">
        <f t="shared" si="5"/>
        <v>5776491.4164057821</v>
      </c>
      <c r="O14" s="84">
        <f t="shared" si="0"/>
        <v>5487666.8455854934</v>
      </c>
    </row>
    <row r="15" spans="1:15" x14ac:dyDescent="0.2">
      <c r="A15" s="96" t="s">
        <v>55</v>
      </c>
      <c r="B15" s="81" t="str">
        <f t="shared" si="6"/>
        <v>Q1/2015</v>
      </c>
      <c r="C15" s="82">
        <f t="shared" ref="C15:C29" si="8">D14+1</f>
        <v>42005</v>
      </c>
      <c r="D15" s="82">
        <f t="shared" si="1"/>
        <v>42094</v>
      </c>
      <c r="E15" s="81">
        <f t="shared" ref="E15:E29" si="9">D15-C15+1</f>
        <v>90</v>
      </c>
      <c r="F15" s="83">
        <f>VLOOKUP(D15,'FERC Interest Rate'!$A:$B,2,TRUE)</f>
        <v>3.2500000000000001E-2</v>
      </c>
      <c r="G15" s="84">
        <f t="shared" si="2"/>
        <v>5487666.8455854934</v>
      </c>
      <c r="H15" s="84">
        <v>0</v>
      </c>
      <c r="I15" s="109">
        <f t="shared" si="7"/>
        <v>10438.570820289115</v>
      </c>
      <c r="J15" s="85">
        <f t="shared" ref="J15:J33" si="10">G15*F15*(E15/(DATE(YEAR(D15),12,31)-DATE(YEAR(D15),1,1)+1))</f>
        <v>43976.508283116622</v>
      </c>
      <c r="K15" s="129">
        <f t="shared" si="3"/>
        <v>54415.079103405733</v>
      </c>
      <c r="L15" s="85">
        <f>$C$3/20</f>
        <v>278386</v>
      </c>
      <c r="M15" s="130">
        <f t="shared" si="4"/>
        <v>332801.0791034057</v>
      </c>
      <c r="N15" s="8">
        <f t="shared" si="5"/>
        <v>5531643.3538686102</v>
      </c>
      <c r="O15" s="84">
        <f t="shared" si="0"/>
        <v>5198842.2747652046</v>
      </c>
    </row>
    <row r="16" spans="1:15" x14ac:dyDescent="0.2">
      <c r="A16" s="96" t="s">
        <v>56</v>
      </c>
      <c r="B16" s="81" t="str">
        <f t="shared" si="6"/>
        <v>Q2/2015</v>
      </c>
      <c r="C16" s="82">
        <f t="shared" si="8"/>
        <v>42095</v>
      </c>
      <c r="D16" s="82">
        <f t="shared" si="1"/>
        <v>42185</v>
      </c>
      <c r="E16" s="81">
        <f t="shared" si="9"/>
        <v>91</v>
      </c>
      <c r="F16" s="83">
        <f>VLOOKUP(D16,'FERC Interest Rate'!$A:$B,2,TRUE)</f>
        <v>3.2500000000000001E-2</v>
      </c>
      <c r="G16" s="84">
        <f t="shared" si="2"/>
        <v>5198842.2747652046</v>
      </c>
      <c r="H16" s="84">
        <v>0</v>
      </c>
      <c r="I16" s="109">
        <f t="shared" si="7"/>
        <v>10438.570820289115</v>
      </c>
      <c r="J16" s="85">
        <f t="shared" si="10"/>
        <v>42124.865829090668</v>
      </c>
      <c r="K16" s="129">
        <f t="shared" si="3"/>
        <v>52563.436649379786</v>
      </c>
      <c r="L16" s="85">
        <f>$C$3/20</f>
        <v>278386</v>
      </c>
      <c r="M16" s="130">
        <f t="shared" si="4"/>
        <v>330949.43664937979</v>
      </c>
      <c r="N16" s="8">
        <f t="shared" si="5"/>
        <v>5240967.1405942952</v>
      </c>
      <c r="O16" s="84">
        <f t="shared" si="0"/>
        <v>4910017.7039449159</v>
      </c>
    </row>
    <row r="17" spans="1:15" x14ac:dyDescent="0.2">
      <c r="A17" s="96" t="s">
        <v>57</v>
      </c>
      <c r="B17" s="81" t="str">
        <f t="shared" si="6"/>
        <v>Q3/2015</v>
      </c>
      <c r="C17" s="82">
        <f t="shared" si="8"/>
        <v>42186</v>
      </c>
      <c r="D17" s="82">
        <f t="shared" si="1"/>
        <v>42277</v>
      </c>
      <c r="E17" s="81">
        <f t="shared" si="9"/>
        <v>92</v>
      </c>
      <c r="F17" s="83">
        <f>VLOOKUP(D17,'FERC Interest Rate'!$A:$B,2,TRUE)</f>
        <v>3.2500000000000001E-2</v>
      </c>
      <c r="G17" s="84">
        <f t="shared" si="2"/>
        <v>4910017.7039449159</v>
      </c>
      <c r="H17" s="84">
        <v>0</v>
      </c>
      <c r="I17" s="109">
        <f t="shared" si="7"/>
        <v>10438.570820289115</v>
      </c>
      <c r="J17" s="85">
        <f t="shared" si="10"/>
        <v>40221.788862452871</v>
      </c>
      <c r="K17" s="129">
        <f t="shared" si="3"/>
        <v>50660.359682741982</v>
      </c>
      <c r="L17" s="85">
        <f t="shared" ref="L17:L33" si="11">$C$3/20</f>
        <v>278386</v>
      </c>
      <c r="M17" s="130">
        <f t="shared" si="4"/>
        <v>329046.35968274198</v>
      </c>
      <c r="N17" s="8">
        <f t="shared" si="5"/>
        <v>4950239.4928073687</v>
      </c>
      <c r="O17" s="84">
        <f t="shared" si="0"/>
        <v>4621193.1331246272</v>
      </c>
    </row>
    <row r="18" spans="1:15" x14ac:dyDescent="0.2">
      <c r="A18" s="96" t="s">
        <v>58</v>
      </c>
      <c r="B18" s="81" t="str">
        <f t="shared" si="6"/>
        <v>Q4/2015</v>
      </c>
      <c r="C18" s="82">
        <f t="shared" si="8"/>
        <v>42278</v>
      </c>
      <c r="D18" s="82">
        <f t="shared" si="1"/>
        <v>42369</v>
      </c>
      <c r="E18" s="81">
        <f t="shared" si="9"/>
        <v>92</v>
      </c>
      <c r="F18" s="83">
        <f>VLOOKUP(D18,'FERC Interest Rate'!$A:$B,2,TRUE)</f>
        <v>3.2500000000000001E-2</v>
      </c>
      <c r="G18" s="84">
        <f t="shared" si="2"/>
        <v>4621193.1331246272</v>
      </c>
      <c r="H18" s="84">
        <v>0</v>
      </c>
      <c r="I18" s="109">
        <f t="shared" si="7"/>
        <v>10438.570820289115</v>
      </c>
      <c r="J18" s="85">
        <f t="shared" si="10"/>
        <v>37855.801282308596</v>
      </c>
      <c r="K18" s="129">
        <f t="shared" si="3"/>
        <v>48294.372102597714</v>
      </c>
      <c r="L18" s="85">
        <f t="shared" si="11"/>
        <v>278386</v>
      </c>
      <c r="M18" s="130">
        <f t="shared" si="4"/>
        <v>326680.37210259773</v>
      </c>
      <c r="N18" s="8">
        <f t="shared" si="5"/>
        <v>4659048.9344069362</v>
      </c>
      <c r="O18" s="84">
        <f t="shared" si="0"/>
        <v>4332368.5623043384</v>
      </c>
    </row>
    <row r="19" spans="1:15" x14ac:dyDescent="0.2">
      <c r="A19" s="96" t="s">
        <v>59</v>
      </c>
      <c r="B19" s="81" t="str">
        <f t="shared" si="6"/>
        <v>Q1/2016</v>
      </c>
      <c r="C19" s="82">
        <f t="shared" si="8"/>
        <v>42370</v>
      </c>
      <c r="D19" s="82">
        <f t="shared" si="1"/>
        <v>42460</v>
      </c>
      <c r="E19" s="81">
        <f t="shared" si="9"/>
        <v>91</v>
      </c>
      <c r="F19" s="83">
        <f>VLOOKUP(D19,'FERC Interest Rate'!$A:$B,2,TRUE)</f>
        <v>3.2500000000000001E-2</v>
      </c>
      <c r="G19" s="84">
        <f t="shared" si="2"/>
        <v>4332368.5623043384</v>
      </c>
      <c r="H19" s="84">
        <v>0</v>
      </c>
      <c r="I19" s="109">
        <f t="shared" si="7"/>
        <v>10438.570820289115</v>
      </c>
      <c r="J19" s="85">
        <f t="shared" si="10"/>
        <v>35008.142139385469</v>
      </c>
      <c r="K19" s="129">
        <f t="shared" si="3"/>
        <v>45446.71295967458</v>
      </c>
      <c r="L19" s="85">
        <f t="shared" si="11"/>
        <v>278386</v>
      </c>
      <c r="M19" s="130">
        <f t="shared" si="4"/>
        <v>323832.71295967459</v>
      </c>
      <c r="N19" s="8">
        <f t="shared" si="5"/>
        <v>4367376.7044437239</v>
      </c>
      <c r="O19" s="84">
        <f t="shared" si="0"/>
        <v>4043543.9914840492</v>
      </c>
    </row>
    <row r="20" spans="1:15" x14ac:dyDescent="0.2">
      <c r="A20" s="96" t="s">
        <v>60</v>
      </c>
      <c r="B20" s="81" t="str">
        <f t="shared" si="6"/>
        <v>Q2/2016</v>
      </c>
      <c r="C20" s="82">
        <f t="shared" si="8"/>
        <v>42461</v>
      </c>
      <c r="D20" s="82">
        <f t="shared" si="1"/>
        <v>42551</v>
      </c>
      <c r="E20" s="81">
        <f t="shared" si="9"/>
        <v>91</v>
      </c>
      <c r="F20" s="83">
        <f>VLOOKUP(D20,'FERC Interest Rate'!$A:$B,2,TRUE)</f>
        <v>3.4599999999999999E-2</v>
      </c>
      <c r="G20" s="84">
        <f t="shared" si="2"/>
        <v>4043543.9914840492</v>
      </c>
      <c r="H20" s="84">
        <v>0</v>
      </c>
      <c r="I20" s="109">
        <f t="shared" si="7"/>
        <v>10438.570820289115</v>
      </c>
      <c r="J20" s="85">
        <f t="shared" si="10"/>
        <v>34785.526261165782</v>
      </c>
      <c r="K20" s="129">
        <f t="shared" si="3"/>
        <v>45224.097081454893</v>
      </c>
      <c r="L20" s="85">
        <f t="shared" si="11"/>
        <v>278386</v>
      </c>
      <c r="M20" s="130">
        <f t="shared" si="4"/>
        <v>323610.09708145488</v>
      </c>
      <c r="N20" s="8">
        <f t="shared" si="5"/>
        <v>4078329.517745215</v>
      </c>
      <c r="O20" s="84">
        <f t="shared" si="0"/>
        <v>3754719.42066376</v>
      </c>
    </row>
    <row r="21" spans="1:15" x14ac:dyDescent="0.2">
      <c r="A21" s="96" t="s">
        <v>61</v>
      </c>
      <c r="B21" s="81" t="str">
        <f t="shared" si="6"/>
        <v>Q3/2016</v>
      </c>
      <c r="C21" s="82">
        <f t="shared" si="8"/>
        <v>42552</v>
      </c>
      <c r="D21" s="82">
        <f t="shared" si="1"/>
        <v>42643</v>
      </c>
      <c r="E21" s="81">
        <f t="shared" si="9"/>
        <v>92</v>
      </c>
      <c r="F21" s="83">
        <f>VLOOKUP(D21,'FERC Interest Rate'!$A:$B,2,TRUE)</f>
        <v>3.5000000000000003E-2</v>
      </c>
      <c r="G21" s="84">
        <f t="shared" si="2"/>
        <v>3754719.42066376</v>
      </c>
      <c r="H21" s="84">
        <v>0</v>
      </c>
      <c r="I21" s="109">
        <f t="shared" si="7"/>
        <v>10438.570820289115</v>
      </c>
      <c r="J21" s="85">
        <f t="shared" si="10"/>
        <v>33033.323864856036</v>
      </c>
      <c r="K21" s="129">
        <f t="shared" si="3"/>
        <v>43471.894685145147</v>
      </c>
      <c r="L21" s="85">
        <f t="shared" si="11"/>
        <v>278386</v>
      </c>
      <c r="M21" s="130">
        <f t="shared" si="4"/>
        <v>321857.89468514512</v>
      </c>
      <c r="N21" s="8">
        <f t="shared" si="5"/>
        <v>3787752.7445286158</v>
      </c>
      <c r="O21" s="84">
        <f t="shared" si="0"/>
        <v>3465894.8498434708</v>
      </c>
    </row>
    <row r="22" spans="1:15" x14ac:dyDescent="0.2">
      <c r="A22" s="96" t="s">
        <v>62</v>
      </c>
      <c r="B22" s="81" t="str">
        <f t="shared" si="6"/>
        <v>Q4/2016</v>
      </c>
      <c r="C22" s="82">
        <f t="shared" si="8"/>
        <v>42644</v>
      </c>
      <c r="D22" s="82">
        <f t="shared" si="1"/>
        <v>42735</v>
      </c>
      <c r="E22" s="81">
        <f t="shared" si="9"/>
        <v>92</v>
      </c>
      <c r="F22" s="83">
        <f>VLOOKUP(D22,'FERC Interest Rate'!$A:$B,2,TRUE)</f>
        <v>3.5000000000000003E-2</v>
      </c>
      <c r="G22" s="84">
        <f t="shared" si="2"/>
        <v>3465894.8498434708</v>
      </c>
      <c r="H22" s="84">
        <v>0</v>
      </c>
      <c r="I22" s="109">
        <f t="shared" si="7"/>
        <v>10438.570820289115</v>
      </c>
      <c r="J22" s="85">
        <f t="shared" si="10"/>
        <v>30492.298952174802</v>
      </c>
      <c r="K22" s="129">
        <f t="shared" si="3"/>
        <v>40930.869772463921</v>
      </c>
      <c r="L22" s="85">
        <f t="shared" si="11"/>
        <v>278386</v>
      </c>
      <c r="M22" s="130">
        <f t="shared" si="4"/>
        <v>319316.86977246392</v>
      </c>
      <c r="N22" s="8">
        <f t="shared" si="5"/>
        <v>3496387.1487956457</v>
      </c>
      <c r="O22" s="84">
        <f t="shared" si="0"/>
        <v>3177070.2790231816</v>
      </c>
    </row>
    <row r="23" spans="1:15" x14ac:dyDescent="0.2">
      <c r="A23" s="96" t="s">
        <v>63</v>
      </c>
      <c r="B23" s="81" t="str">
        <f t="shared" si="6"/>
        <v>Q1/2017</v>
      </c>
      <c r="C23" s="82">
        <f t="shared" si="8"/>
        <v>42736</v>
      </c>
      <c r="D23" s="82">
        <f t="shared" si="1"/>
        <v>42825</v>
      </c>
      <c r="E23" s="81">
        <f t="shared" si="9"/>
        <v>90</v>
      </c>
      <c r="F23" s="83">
        <f>VLOOKUP(D23,'FERC Interest Rate'!$A:$B,2,TRUE)</f>
        <v>3.5000000000000003E-2</v>
      </c>
      <c r="G23" s="84">
        <f>O22</f>
        <v>3177070.2790231816</v>
      </c>
      <c r="H23" s="84">
        <v>0</v>
      </c>
      <c r="I23" s="109">
        <f>SUM($H$10:$H$34)/20</f>
        <v>10438.570820289115</v>
      </c>
      <c r="J23" s="85">
        <f t="shared" si="10"/>
        <v>27418.551723076773</v>
      </c>
      <c r="K23" s="129">
        <f t="shared" si="3"/>
        <v>37857.122543365884</v>
      </c>
      <c r="L23" s="85">
        <f t="shared" si="11"/>
        <v>278386</v>
      </c>
      <c r="M23" s="130">
        <f t="shared" si="4"/>
        <v>316243.12254336587</v>
      </c>
      <c r="N23" s="8">
        <f t="shared" si="5"/>
        <v>3204488.8307462586</v>
      </c>
      <c r="O23" s="84">
        <f t="shared" si="0"/>
        <v>2888245.7082028924</v>
      </c>
    </row>
    <row r="24" spans="1:15" x14ac:dyDescent="0.2">
      <c r="A24" s="96" t="s">
        <v>64</v>
      </c>
      <c r="B24" s="81" t="str">
        <f t="shared" si="6"/>
        <v>Q2/2017</v>
      </c>
      <c r="C24" s="82">
        <f t="shared" si="8"/>
        <v>42826</v>
      </c>
      <c r="D24" s="82">
        <f t="shared" si="1"/>
        <v>42916</v>
      </c>
      <c r="E24" s="81">
        <f t="shared" si="9"/>
        <v>91</v>
      </c>
      <c r="F24" s="83">
        <f>VLOOKUP(D24,'FERC Interest Rate'!$A:$B,2,TRUE)</f>
        <v>3.7100000000000001E-2</v>
      </c>
      <c r="G24" s="84">
        <f t="shared" si="2"/>
        <v>2888245.7082028924</v>
      </c>
      <c r="H24" s="84">
        <v>0</v>
      </c>
      <c r="I24" s="109">
        <f t="shared" si="7"/>
        <v>10438.570820289115</v>
      </c>
      <c r="J24" s="85">
        <f t="shared" si="10"/>
        <v>26715.085850585714</v>
      </c>
      <c r="K24" s="129">
        <f t="shared" si="3"/>
        <v>37153.656670874829</v>
      </c>
      <c r="L24" s="85">
        <f t="shared" si="11"/>
        <v>278386</v>
      </c>
      <c r="M24" s="130">
        <f t="shared" si="4"/>
        <v>315539.6566708748</v>
      </c>
      <c r="N24" s="8">
        <f t="shared" si="5"/>
        <v>2914960.7940534782</v>
      </c>
      <c r="O24" s="84">
        <f t="shared" si="0"/>
        <v>2599421.1373826033</v>
      </c>
    </row>
    <row r="25" spans="1:15" x14ac:dyDescent="0.2">
      <c r="A25" s="96" t="s">
        <v>65</v>
      </c>
      <c r="B25" s="81" t="str">
        <f t="shared" si="6"/>
        <v>Q3/2017</v>
      </c>
      <c r="C25" s="82">
        <f t="shared" si="8"/>
        <v>42917</v>
      </c>
      <c r="D25" s="82">
        <f t="shared" si="1"/>
        <v>43008</v>
      </c>
      <c r="E25" s="81">
        <f t="shared" si="9"/>
        <v>92</v>
      </c>
      <c r="F25" s="83">
        <f>VLOOKUP(D25,'FERC Interest Rate'!$A:$B,2,TRUE)</f>
        <v>3.9600000000000003E-2</v>
      </c>
      <c r="G25" s="84">
        <f t="shared" si="2"/>
        <v>2599421.1373826033</v>
      </c>
      <c r="H25" s="84">
        <v>0</v>
      </c>
      <c r="I25" s="109">
        <f t="shared" si="7"/>
        <v>10438.570820289115</v>
      </c>
      <c r="J25" s="85">
        <f t="shared" si="10"/>
        <v>25945.783801951511</v>
      </c>
      <c r="K25" s="129">
        <f t="shared" si="3"/>
        <v>36384.354622240629</v>
      </c>
      <c r="L25" s="85">
        <f t="shared" si="11"/>
        <v>278386</v>
      </c>
      <c r="M25" s="130">
        <f t="shared" si="4"/>
        <v>314770.35462224064</v>
      </c>
      <c r="N25" s="8">
        <f t="shared" si="5"/>
        <v>2625366.9211845547</v>
      </c>
      <c r="O25" s="84">
        <f t="shared" si="0"/>
        <v>2310596.5665623141</v>
      </c>
    </row>
    <row r="26" spans="1:15" x14ac:dyDescent="0.2">
      <c r="A26" s="96" t="s">
        <v>66</v>
      </c>
      <c r="B26" s="81" t="str">
        <f t="shared" si="6"/>
        <v>Q4/2017</v>
      </c>
      <c r="C26" s="82">
        <f t="shared" si="8"/>
        <v>43009</v>
      </c>
      <c r="D26" s="82">
        <f t="shared" si="1"/>
        <v>43100</v>
      </c>
      <c r="E26" s="81">
        <f t="shared" si="9"/>
        <v>92</v>
      </c>
      <c r="F26" s="83">
        <f>VLOOKUP(D26,'FERC Interest Rate'!$A:$B,2,TRUE)</f>
        <v>4.2099999999999999E-2</v>
      </c>
      <c r="G26" s="84">
        <f t="shared" si="2"/>
        <v>2310596.5665623141</v>
      </c>
      <c r="H26" s="84">
        <v>0</v>
      </c>
      <c r="I26" s="109">
        <f t="shared" si="7"/>
        <v>10438.570820289115</v>
      </c>
      <c r="J26" s="85">
        <f t="shared" si="10"/>
        <v>24518.911292079876</v>
      </c>
      <c r="K26" s="129">
        <f t="shared" si="3"/>
        <v>34957.482112368991</v>
      </c>
      <c r="L26" s="85">
        <f t="shared" si="11"/>
        <v>278386</v>
      </c>
      <c r="M26" s="130">
        <f t="shared" si="4"/>
        <v>313343.48211236898</v>
      </c>
      <c r="N26" s="8">
        <f t="shared" si="5"/>
        <v>2335115.4778543939</v>
      </c>
      <c r="O26" s="84">
        <f t="shared" si="0"/>
        <v>2021771.9957420249</v>
      </c>
    </row>
    <row r="27" spans="1:15" x14ac:dyDescent="0.2">
      <c r="A27" s="96" t="s">
        <v>67</v>
      </c>
      <c r="B27" s="81" t="str">
        <f t="shared" si="6"/>
        <v>Q1/2018</v>
      </c>
      <c r="C27" s="82">
        <f t="shared" si="8"/>
        <v>43101</v>
      </c>
      <c r="D27" s="82">
        <f t="shared" si="1"/>
        <v>43190</v>
      </c>
      <c r="E27" s="81">
        <f t="shared" si="9"/>
        <v>90</v>
      </c>
      <c r="F27" s="83">
        <f>VLOOKUP(D27,'FERC Interest Rate'!$A:$B,2,TRUE)</f>
        <v>4.2500000000000003E-2</v>
      </c>
      <c r="G27" s="84">
        <f t="shared" si="2"/>
        <v>2021771.9957420249</v>
      </c>
      <c r="H27" s="84">
        <v>0</v>
      </c>
      <c r="I27" s="109">
        <f t="shared" si="7"/>
        <v>10438.570820289115</v>
      </c>
      <c r="J27" s="85">
        <f t="shared" si="10"/>
        <v>21187.062695104782</v>
      </c>
      <c r="K27" s="129">
        <f t="shared" si="3"/>
        <v>31625.633515393896</v>
      </c>
      <c r="L27" s="85">
        <f t="shared" si="11"/>
        <v>278386</v>
      </c>
      <c r="M27" s="130">
        <f t="shared" si="4"/>
        <v>310011.63351539389</v>
      </c>
      <c r="N27" s="8">
        <f t="shared" si="5"/>
        <v>2042959.0584371297</v>
      </c>
      <c r="O27" s="84">
        <f t="shared" si="0"/>
        <v>1732947.4249217357</v>
      </c>
    </row>
    <row r="28" spans="1:15" x14ac:dyDescent="0.2">
      <c r="A28" s="96" t="s">
        <v>68</v>
      </c>
      <c r="B28" s="81" t="str">
        <f t="shared" si="6"/>
        <v>Q2/2018</v>
      </c>
      <c r="C28" s="82">
        <f t="shared" si="8"/>
        <v>43191</v>
      </c>
      <c r="D28" s="82">
        <f t="shared" si="1"/>
        <v>43281</v>
      </c>
      <c r="E28" s="81">
        <f t="shared" si="9"/>
        <v>91</v>
      </c>
      <c r="F28" s="83">
        <f>VLOOKUP(D28,'FERC Interest Rate'!$A:$B,2,TRUE)</f>
        <v>4.4699999999999997E-2</v>
      </c>
      <c r="G28" s="84">
        <f t="shared" si="2"/>
        <v>1732947.4249217357</v>
      </c>
      <c r="H28" s="84">
        <v>0</v>
      </c>
      <c r="I28" s="109">
        <f t="shared" si="7"/>
        <v>10438.570820289115</v>
      </c>
      <c r="J28" s="85">
        <f t="shared" si="10"/>
        <v>19312.630795490804</v>
      </c>
      <c r="K28" s="129">
        <f t="shared" si="3"/>
        <v>29751.201615779919</v>
      </c>
      <c r="L28" s="85">
        <f t="shared" si="11"/>
        <v>278386</v>
      </c>
      <c r="M28" s="130">
        <f t="shared" si="4"/>
        <v>308137.20161577989</v>
      </c>
      <c r="N28" s="8">
        <f t="shared" si="5"/>
        <v>1752260.0557172264</v>
      </c>
      <c r="O28" s="84">
        <f t="shared" si="0"/>
        <v>1444122.8541014465</v>
      </c>
    </row>
    <row r="29" spans="1:15" x14ac:dyDescent="0.2">
      <c r="A29" s="96" t="s">
        <v>69</v>
      </c>
      <c r="B29" s="81" t="str">
        <f t="shared" si="6"/>
        <v>Q3/2018</v>
      </c>
      <c r="C29" s="82">
        <f t="shared" si="8"/>
        <v>43282</v>
      </c>
      <c r="D29" s="82">
        <f t="shared" si="1"/>
        <v>43373</v>
      </c>
      <c r="E29" s="81">
        <f t="shared" si="9"/>
        <v>92</v>
      </c>
      <c r="F29" s="83">
        <f>VLOOKUP(D29,'FERC Interest Rate'!$A:$B,2,TRUE)</f>
        <v>5.011111E-2</v>
      </c>
      <c r="G29" s="84">
        <f t="shared" si="2"/>
        <v>1444122.8541014465</v>
      </c>
      <c r="H29" s="84">
        <v>0</v>
      </c>
      <c r="I29" s="109">
        <f t="shared" si="7"/>
        <v>10438.570820289115</v>
      </c>
      <c r="J29" s="85">
        <f t="shared" si="10"/>
        <v>18240.348290345264</v>
      </c>
      <c r="K29" s="129">
        <f t="shared" si="3"/>
        <v>28678.919110634379</v>
      </c>
      <c r="L29" s="85">
        <f t="shared" si="11"/>
        <v>278386</v>
      </c>
      <c r="M29" s="130">
        <f t="shared" si="4"/>
        <v>307064.91911063436</v>
      </c>
      <c r="N29" s="8">
        <f t="shared" si="5"/>
        <v>1462363.2023917916</v>
      </c>
      <c r="O29" s="84">
        <f t="shared" si="0"/>
        <v>1155298.2832811573</v>
      </c>
    </row>
    <row r="30" spans="1:15" x14ac:dyDescent="0.2">
      <c r="A30" s="96" t="s">
        <v>70</v>
      </c>
      <c r="B30" s="81" t="str">
        <f t="shared" si="6"/>
        <v>Q4/2018</v>
      </c>
      <c r="C30" s="82">
        <f>D29+1</f>
        <v>43374</v>
      </c>
      <c r="D30" s="82">
        <f t="shared" si="1"/>
        <v>43465</v>
      </c>
      <c r="E30" s="81">
        <f>D30-C30+1</f>
        <v>92</v>
      </c>
      <c r="F30" s="83">
        <f>VLOOKUP(D30,'FERC Interest Rate'!$A:$B,2,TRUE)</f>
        <v>5.2822580000000001E-2</v>
      </c>
      <c r="G30" s="84">
        <f t="shared" si="2"/>
        <v>1155298.2832811573</v>
      </c>
      <c r="H30" s="84">
        <v>0</v>
      </c>
      <c r="I30" s="109">
        <f t="shared" si="7"/>
        <v>10438.570820289115</v>
      </c>
      <c r="J30" s="85">
        <f t="shared" si="10"/>
        <v>15381.854551529608</v>
      </c>
      <c r="K30" s="129">
        <f t="shared" si="3"/>
        <v>25820.425371818725</v>
      </c>
      <c r="L30" s="85">
        <f t="shared" si="11"/>
        <v>278386</v>
      </c>
      <c r="M30" s="130">
        <f t="shared" si="4"/>
        <v>304206.42537181871</v>
      </c>
      <c r="N30" s="8">
        <f t="shared" si="5"/>
        <v>1170680.1378326868</v>
      </c>
      <c r="O30" s="84">
        <f t="shared" si="0"/>
        <v>866473.71246086818</v>
      </c>
    </row>
    <row r="31" spans="1:15" x14ac:dyDescent="0.2">
      <c r="A31" s="96" t="s">
        <v>71</v>
      </c>
      <c r="B31" s="81" t="str">
        <f t="shared" si="6"/>
        <v>Q1/2019</v>
      </c>
      <c r="C31" s="82">
        <f>D30+1</f>
        <v>43466</v>
      </c>
      <c r="D31" s="82">
        <f t="shared" si="1"/>
        <v>43555</v>
      </c>
      <c r="E31" s="81">
        <f>D31-C31+1</f>
        <v>90</v>
      </c>
      <c r="F31" s="83">
        <f>VLOOKUP(D31,'FERC Interest Rate'!$A:$B,2,TRUE)</f>
        <v>5.5296770000000002E-2</v>
      </c>
      <c r="G31" s="84">
        <f t="shared" si="2"/>
        <v>866473.71246086818</v>
      </c>
      <c r="H31" s="84">
        <v>0</v>
      </c>
      <c r="I31" s="109">
        <f t="shared" si="7"/>
        <v>10438.570820289115</v>
      </c>
      <c r="J31" s="85">
        <f t="shared" si="10"/>
        <v>11814.213104135695</v>
      </c>
      <c r="K31" s="129">
        <f t="shared" si="3"/>
        <v>22252.78392442481</v>
      </c>
      <c r="L31" s="85">
        <f t="shared" si="11"/>
        <v>278386</v>
      </c>
      <c r="M31" s="130">
        <f t="shared" si="4"/>
        <v>300638.78392442479</v>
      </c>
      <c r="N31" s="8">
        <f t="shared" si="5"/>
        <v>878287.92556500388</v>
      </c>
      <c r="O31" s="84">
        <f t="shared" si="0"/>
        <v>577649.1416405791</v>
      </c>
    </row>
    <row r="32" spans="1:15" x14ac:dyDescent="0.2">
      <c r="A32" s="96" t="s">
        <v>72</v>
      </c>
      <c r="B32" s="81" t="str">
        <f t="shared" si="6"/>
        <v>Q2/2019</v>
      </c>
      <c r="C32" s="82">
        <f>D31+1</f>
        <v>43556</v>
      </c>
      <c r="D32" s="82">
        <f t="shared" si="1"/>
        <v>43646</v>
      </c>
      <c r="E32" s="81">
        <f>D32-C32+1</f>
        <v>91</v>
      </c>
      <c r="F32" s="83">
        <f>VLOOKUP(D32,'FERC Interest Rate'!$A:$B,2,TRUE)</f>
        <v>5.7999999999999996E-2</v>
      </c>
      <c r="G32" s="84">
        <f t="shared" si="2"/>
        <v>577649.1416405791</v>
      </c>
      <c r="H32" s="84">
        <v>0</v>
      </c>
      <c r="I32" s="109">
        <f t="shared" si="7"/>
        <v>10438.570820289115</v>
      </c>
      <c r="J32" s="85">
        <f t="shared" si="10"/>
        <v>8352.9648481615786</v>
      </c>
      <c r="K32" s="129">
        <f t="shared" si="3"/>
        <v>18791.535668450691</v>
      </c>
      <c r="L32" s="85">
        <f t="shared" si="11"/>
        <v>278386</v>
      </c>
      <c r="M32" s="130">
        <f t="shared" si="4"/>
        <v>297177.5356684507</v>
      </c>
      <c r="N32" s="8">
        <f t="shared" si="5"/>
        <v>586002.10648874065</v>
      </c>
      <c r="O32" s="84">
        <f t="shared" si="0"/>
        <v>288824.57082028996</v>
      </c>
    </row>
    <row r="33" spans="1:15" x14ac:dyDescent="0.2">
      <c r="A33" s="96" t="s">
        <v>73</v>
      </c>
      <c r="B33" s="81" t="str">
        <f t="shared" si="6"/>
        <v>Q3/2019</v>
      </c>
      <c r="C33" s="82">
        <f>D32+1</f>
        <v>43647</v>
      </c>
      <c r="D33" s="82">
        <f t="shared" si="1"/>
        <v>43738</v>
      </c>
      <c r="E33" s="81">
        <f>D33-C33+1</f>
        <v>92</v>
      </c>
      <c r="F33" s="83">
        <f>VLOOKUP(D33,'FERC Interest Rate'!$A:$B,2,TRUE)</f>
        <v>0.06</v>
      </c>
      <c r="G33" s="84">
        <f t="shared" si="2"/>
        <v>288824.57082028996</v>
      </c>
      <c r="H33" s="84">
        <v>0</v>
      </c>
      <c r="I33" s="109">
        <f t="shared" si="7"/>
        <v>10438.570820289115</v>
      </c>
      <c r="J33" s="85">
        <f t="shared" si="10"/>
        <v>4367.9770710356179</v>
      </c>
      <c r="K33" s="129">
        <f t="shared" si="3"/>
        <v>14806.547891324732</v>
      </c>
      <c r="L33" s="85">
        <f t="shared" si="11"/>
        <v>278386</v>
      </c>
      <c r="M33" s="130">
        <f t="shared" si="4"/>
        <v>293192.54789132474</v>
      </c>
      <c r="N33" s="8">
        <f t="shared" si="5"/>
        <v>293192.54789132555</v>
      </c>
      <c r="O33" s="84">
        <f t="shared" si="0"/>
        <v>8.4037310443818569E-10</v>
      </c>
    </row>
    <row r="34" spans="1:15" x14ac:dyDescent="0.2">
      <c r="B34" s="11"/>
      <c r="C34" s="125"/>
      <c r="D34" s="125"/>
      <c r="E34" s="10"/>
      <c r="F34" s="11"/>
      <c r="G34" s="85"/>
      <c r="H34" s="12"/>
      <c r="I34" s="115"/>
      <c r="J34" s="85"/>
      <c r="K34" s="117"/>
      <c r="L34" s="70"/>
      <c r="M34" s="131"/>
      <c r="O34" s="85"/>
    </row>
    <row r="35" spans="1:15" ht="13.5" thickBot="1" x14ac:dyDescent="0.25">
      <c r="A35" s="151"/>
      <c r="B35" s="152"/>
      <c r="C35" s="155"/>
      <c r="D35" s="155"/>
      <c r="E35" s="154"/>
      <c r="F35" s="152"/>
      <c r="G35" s="140">
        <f>+SUM(G10:G34)</f>
        <v>83086779.10465695</v>
      </c>
      <c r="H35" s="140">
        <f t="shared" ref="H35:O35" si="12">+SUM(H10:H34)</f>
        <v>208771.41640578228</v>
      </c>
      <c r="I35" s="141">
        <f t="shared" si="12"/>
        <v>208771.41640578225</v>
      </c>
      <c r="J35" s="140">
        <f t="shared" si="12"/>
        <v>500753.63949804811</v>
      </c>
      <c r="K35" s="140">
        <f t="shared" si="12"/>
        <v>709525.05590383033</v>
      </c>
      <c r="L35" s="140">
        <f t="shared" si="12"/>
        <v>5567720</v>
      </c>
      <c r="M35" s="142">
        <f t="shared" si="12"/>
        <v>6277245.0559038306</v>
      </c>
      <c r="N35" s="140">
        <f t="shared" si="12"/>
        <v>83796304.160560772</v>
      </c>
      <c r="O35" s="140">
        <f t="shared" si="12"/>
        <v>77519059.10465695</v>
      </c>
    </row>
    <row r="36" spans="1:15" ht="13.5" thickTop="1" x14ac:dyDescent="0.2">
      <c r="B36" s="117"/>
      <c r="C36" s="117"/>
      <c r="D36" s="117"/>
      <c r="E36" s="117"/>
      <c r="F36" s="117"/>
      <c r="G36" s="117"/>
      <c r="H36" s="117"/>
      <c r="I36" s="116"/>
      <c r="J36" s="117"/>
      <c r="K36" s="117"/>
      <c r="L36" s="117"/>
      <c r="M36" s="131"/>
      <c r="O36" s="117"/>
    </row>
    <row r="37" spans="1:15" ht="38.25" x14ac:dyDescent="0.2">
      <c r="A37" s="90" t="s">
        <v>53</v>
      </c>
      <c r="B37" s="90" t="s">
        <v>3</v>
      </c>
      <c r="C37" s="90" t="s">
        <v>4</v>
      </c>
      <c r="D37" s="90" t="s">
        <v>5</v>
      </c>
      <c r="E37" s="90" t="s">
        <v>6</v>
      </c>
      <c r="F37" s="90" t="s">
        <v>7</v>
      </c>
      <c r="G37" s="90" t="s">
        <v>93</v>
      </c>
      <c r="H37" s="90" t="s">
        <v>94</v>
      </c>
      <c r="I37" s="105" t="s">
        <v>95</v>
      </c>
      <c r="J37" s="106" t="s">
        <v>96</v>
      </c>
      <c r="K37" s="106" t="s">
        <v>97</v>
      </c>
      <c r="L37" s="106" t="s">
        <v>98</v>
      </c>
      <c r="M37" s="107" t="s">
        <v>99</v>
      </c>
      <c r="N37" s="90" t="s">
        <v>100</v>
      </c>
      <c r="O37" s="90" t="s">
        <v>101</v>
      </c>
    </row>
    <row r="38" spans="1:15" x14ac:dyDescent="0.2">
      <c r="A38" s="311" t="s">
        <v>129</v>
      </c>
      <c r="B38" s="311"/>
      <c r="C38" s="282">
        <f>$L$4</f>
        <v>41590</v>
      </c>
      <c r="D38" s="82">
        <f>DATE(YEAR(C38),IF(MONTH(C38)&lt;=3,3,IF(MONTH(C38)&lt;=6,6,IF(MONTH(C38)&lt;=9,9,12))),IF(OR(MONTH(C38)&lt;=3,MONTH(C38)&gt;=10),31,30))</f>
        <v>41639</v>
      </c>
      <c r="E38" s="81">
        <f>D38-C38+1</f>
        <v>50</v>
      </c>
      <c r="F38" s="83">
        <f>VLOOKUP(D38,'FERC Interest Rate'!$A:$B,2,TRUE)</f>
        <v>3.2500000000000001E-2</v>
      </c>
      <c r="G38" s="84">
        <f>$C$4</f>
        <v>2469500</v>
      </c>
      <c r="H38" s="84">
        <f t="shared" ref="H38:H42" si="13">G38*F38*(E38/(DATE(YEAR(D38),12,31)-DATE(YEAR(D38),1,1)+1))</f>
        <v>10994.349315068492</v>
      </c>
      <c r="I38" s="109">
        <v>0</v>
      </c>
      <c r="J38" s="85">
        <v>0</v>
      </c>
      <c r="K38" s="129">
        <f t="shared" ref="K38:K61" si="14">+SUM(I38:J38)</f>
        <v>0</v>
      </c>
      <c r="L38" s="85">
        <v>0</v>
      </c>
      <c r="M38" s="130">
        <f t="shared" ref="M38:M61" si="15">+SUM(K38:L38)</f>
        <v>0</v>
      </c>
      <c r="N38" s="8">
        <f t="shared" ref="N38:N61" si="16">+G38+H38+J38</f>
        <v>2480494.3493150687</v>
      </c>
      <c r="O38" s="84">
        <f t="shared" ref="O38:O61" si="17">G38+H38-L38-I38</f>
        <v>2480494.3493150687</v>
      </c>
    </row>
    <row r="39" spans="1:15" x14ac:dyDescent="0.2">
      <c r="A39" s="312"/>
      <c r="B39" s="312"/>
      <c r="C39" s="82">
        <f>D38+1</f>
        <v>41640</v>
      </c>
      <c r="D39" s="82">
        <f>EOMONTH(D38,3)</f>
        <v>41729</v>
      </c>
      <c r="E39" s="81">
        <f t="shared" ref="E39:E61" si="18">D39-C39+1</f>
        <v>90</v>
      </c>
      <c r="F39" s="83">
        <f>VLOOKUP(D39,'FERC Interest Rate'!$A:$B,2,TRUE)</f>
        <v>3.2500000000000001E-2</v>
      </c>
      <c r="G39" s="84">
        <f t="shared" ref="G39:G61" si="19">O38</f>
        <v>2480494.3493150687</v>
      </c>
      <c r="H39" s="84">
        <f t="shared" si="13"/>
        <v>19877.9341691687</v>
      </c>
      <c r="I39" s="109">
        <v>0</v>
      </c>
      <c r="J39" s="85">
        <v>0</v>
      </c>
      <c r="K39" s="129">
        <f t="shared" si="14"/>
        <v>0</v>
      </c>
      <c r="L39" s="85">
        <v>0</v>
      </c>
      <c r="M39" s="130">
        <f t="shared" si="15"/>
        <v>0</v>
      </c>
      <c r="N39" s="8">
        <f t="shared" si="16"/>
        <v>2500372.2834842373</v>
      </c>
      <c r="O39" s="84">
        <f t="shared" si="17"/>
        <v>2500372.2834842373</v>
      </c>
    </row>
    <row r="40" spans="1:15" x14ac:dyDescent="0.2">
      <c r="B40" s="81"/>
      <c r="C40" s="82">
        <f t="shared" ref="C40:C61" si="20">D39+1</f>
        <v>41730</v>
      </c>
      <c r="D40" s="82">
        <f t="shared" ref="D40:D61" si="21">EOMONTH(D39,3)</f>
        <v>41820</v>
      </c>
      <c r="E40" s="81">
        <f t="shared" si="18"/>
        <v>91</v>
      </c>
      <c r="F40" s="83">
        <f>VLOOKUP(D40,'FERC Interest Rate'!$A:$B,2,TRUE)</f>
        <v>3.2500000000000001E-2</v>
      </c>
      <c r="G40" s="84">
        <f t="shared" si="19"/>
        <v>2500372.2834842373</v>
      </c>
      <c r="H40" s="84">
        <f t="shared" si="13"/>
        <v>20259.865831245566</v>
      </c>
      <c r="I40" s="109">
        <v>0</v>
      </c>
      <c r="J40" s="85">
        <v>0</v>
      </c>
      <c r="K40" s="129">
        <f t="shared" si="14"/>
        <v>0</v>
      </c>
      <c r="L40" s="85">
        <v>0</v>
      </c>
      <c r="M40" s="130">
        <f t="shared" si="15"/>
        <v>0</v>
      </c>
      <c r="N40" s="8">
        <f t="shared" si="16"/>
        <v>2520632.1493154829</v>
      </c>
      <c r="O40" s="84">
        <f t="shared" si="17"/>
        <v>2520632.1493154829</v>
      </c>
    </row>
    <row r="41" spans="1:15" x14ac:dyDescent="0.2">
      <c r="B41" s="81"/>
      <c r="C41" s="82">
        <f t="shared" si="20"/>
        <v>41821</v>
      </c>
      <c r="D41" s="82">
        <f t="shared" si="21"/>
        <v>41912</v>
      </c>
      <c r="E41" s="81">
        <f t="shared" si="18"/>
        <v>92</v>
      </c>
      <c r="F41" s="83">
        <f>VLOOKUP(D41,'FERC Interest Rate'!$A:$B,2,TRUE)</f>
        <v>3.2500000000000001E-2</v>
      </c>
      <c r="G41" s="84">
        <f t="shared" si="19"/>
        <v>2520632.1493154829</v>
      </c>
      <c r="H41" s="84">
        <f t="shared" si="13"/>
        <v>20648.466099872039</v>
      </c>
      <c r="I41" s="109">
        <v>0</v>
      </c>
      <c r="J41" s="85">
        <v>0</v>
      </c>
      <c r="K41" s="129">
        <f t="shared" ref="K41:K47" si="22">+SUM(I41:J41)</f>
        <v>0</v>
      </c>
      <c r="L41" s="85">
        <v>0</v>
      </c>
      <c r="M41" s="130">
        <f t="shared" si="15"/>
        <v>0</v>
      </c>
      <c r="N41" s="8">
        <f t="shared" si="16"/>
        <v>2541280.6154153552</v>
      </c>
      <c r="O41" s="84">
        <f t="shared" si="17"/>
        <v>2541280.6154153552</v>
      </c>
    </row>
    <row r="42" spans="1:15" x14ac:dyDescent="0.2">
      <c r="A42" s="96" t="s">
        <v>54</v>
      </c>
      <c r="B42" s="81" t="str">
        <f t="shared" ref="B42:B61" si="23">+IF(MONTH(C42)&lt;4,"Q1",IF(MONTH(C42)&lt;7,"Q2",IF(MONTH(C42)&lt;10,"Q3","Q4")))&amp;"/"&amp;YEAR(C42)</f>
        <v>Q4/2014</v>
      </c>
      <c r="C42" s="82">
        <f t="shared" si="20"/>
        <v>41913</v>
      </c>
      <c r="D42" s="82">
        <f t="shared" si="21"/>
        <v>42004</v>
      </c>
      <c r="E42" s="81">
        <f t="shared" si="18"/>
        <v>92</v>
      </c>
      <c r="F42" s="83">
        <f>VLOOKUP(D42,'FERC Interest Rate'!$A:$B,2,TRUE)</f>
        <v>3.2500000000000001E-2</v>
      </c>
      <c r="G42" s="84">
        <f t="shared" si="19"/>
        <v>2541280.6154153552</v>
      </c>
      <c r="H42" s="84">
        <f t="shared" si="13"/>
        <v>20817.613808470993</v>
      </c>
      <c r="I42" s="109">
        <v>0</v>
      </c>
      <c r="J42" s="85">
        <v>0</v>
      </c>
      <c r="K42" s="129">
        <f t="shared" si="22"/>
        <v>0</v>
      </c>
      <c r="L42" s="85">
        <v>0</v>
      </c>
      <c r="M42" s="130">
        <f t="shared" si="15"/>
        <v>0</v>
      </c>
      <c r="N42" s="8">
        <f t="shared" si="16"/>
        <v>2562098.229223826</v>
      </c>
      <c r="O42" s="84">
        <f t="shared" si="17"/>
        <v>2562098.229223826</v>
      </c>
    </row>
    <row r="43" spans="1:15" x14ac:dyDescent="0.2">
      <c r="A43" s="96" t="s">
        <v>55</v>
      </c>
      <c r="B43" s="81" t="str">
        <f t="shared" si="23"/>
        <v>Q1/2015</v>
      </c>
      <c r="C43" s="82">
        <f t="shared" si="20"/>
        <v>42005</v>
      </c>
      <c r="D43" s="82">
        <f t="shared" si="21"/>
        <v>42094</v>
      </c>
      <c r="E43" s="81">
        <f t="shared" si="18"/>
        <v>90</v>
      </c>
      <c r="F43" s="83">
        <f>VLOOKUP(D43,'FERC Interest Rate'!$A:$B,2,TRUE)</f>
        <v>3.2500000000000001E-2</v>
      </c>
      <c r="G43" s="84">
        <f t="shared" si="19"/>
        <v>2562098.229223826</v>
      </c>
      <c r="H43" s="84">
        <v>0</v>
      </c>
      <c r="I43" s="109">
        <v>0</v>
      </c>
      <c r="J43" s="85">
        <f t="shared" ref="J43:J51" si="24">G43*F43*(E43/(DATE(YEAR(D43),12,31)-DATE(YEAR(D43),1,1)+1))</f>
        <v>20531.883069807373</v>
      </c>
      <c r="K43" s="129">
        <f t="shared" si="22"/>
        <v>20531.883069807373</v>
      </c>
      <c r="L43" s="85">
        <v>0</v>
      </c>
      <c r="M43" s="130">
        <f t="shared" si="15"/>
        <v>20531.883069807373</v>
      </c>
      <c r="N43" s="8">
        <f t="shared" si="16"/>
        <v>2582630.1122936332</v>
      </c>
      <c r="O43" s="84">
        <f t="shared" si="17"/>
        <v>2562098.229223826</v>
      </c>
    </row>
    <row r="44" spans="1:15" x14ac:dyDescent="0.2">
      <c r="A44" s="96" t="s">
        <v>56</v>
      </c>
      <c r="B44" s="81" t="str">
        <f t="shared" si="23"/>
        <v>Q2/2015</v>
      </c>
      <c r="C44" s="82">
        <f t="shared" si="20"/>
        <v>42095</v>
      </c>
      <c r="D44" s="82">
        <f t="shared" si="21"/>
        <v>42185</v>
      </c>
      <c r="E44" s="81">
        <f t="shared" si="18"/>
        <v>91</v>
      </c>
      <c r="F44" s="83">
        <f>VLOOKUP(D44,'FERC Interest Rate'!$A:$B,2,TRUE)</f>
        <v>3.2500000000000001E-2</v>
      </c>
      <c r="G44" s="84">
        <f t="shared" si="19"/>
        <v>2562098.229223826</v>
      </c>
      <c r="H44" s="84">
        <v>0</v>
      </c>
      <c r="I44" s="109">
        <v>0</v>
      </c>
      <c r="J44" s="85">
        <f t="shared" si="24"/>
        <v>20760.015103916343</v>
      </c>
      <c r="K44" s="129">
        <f t="shared" si="22"/>
        <v>20760.015103916343</v>
      </c>
      <c r="L44" s="85">
        <v>0</v>
      </c>
      <c r="M44" s="130">
        <f t="shared" si="15"/>
        <v>20760.015103916343</v>
      </c>
      <c r="N44" s="8">
        <f t="shared" si="16"/>
        <v>2582858.2443277421</v>
      </c>
      <c r="O44" s="84">
        <f t="shared" si="17"/>
        <v>2562098.229223826</v>
      </c>
    </row>
    <row r="45" spans="1:15" x14ac:dyDescent="0.2">
      <c r="A45" s="96" t="s">
        <v>57</v>
      </c>
      <c r="B45" s="81" t="str">
        <f t="shared" si="23"/>
        <v>Q3/2015</v>
      </c>
      <c r="C45" s="82">
        <f t="shared" si="20"/>
        <v>42186</v>
      </c>
      <c r="D45" s="82">
        <f t="shared" si="21"/>
        <v>42277</v>
      </c>
      <c r="E45" s="81">
        <f t="shared" si="18"/>
        <v>92</v>
      </c>
      <c r="F45" s="83">
        <f>VLOOKUP(D45,'FERC Interest Rate'!$A:$B,2,TRUE)</f>
        <v>3.2500000000000001E-2</v>
      </c>
      <c r="G45" s="84">
        <f t="shared" si="19"/>
        <v>2562098.229223826</v>
      </c>
      <c r="H45" s="84">
        <v>0</v>
      </c>
      <c r="I45" s="109">
        <v>0</v>
      </c>
      <c r="J45" s="85">
        <f t="shared" si="24"/>
        <v>20988.147138025317</v>
      </c>
      <c r="K45" s="129">
        <f t="shared" si="22"/>
        <v>20988.147138025317</v>
      </c>
      <c r="L45" s="85">
        <v>0</v>
      </c>
      <c r="M45" s="130">
        <f t="shared" si="15"/>
        <v>20988.147138025317</v>
      </c>
      <c r="N45" s="8">
        <f t="shared" si="16"/>
        <v>2583086.3763618511</v>
      </c>
      <c r="O45" s="84">
        <f t="shared" si="17"/>
        <v>2562098.229223826</v>
      </c>
    </row>
    <row r="46" spans="1:15" x14ac:dyDescent="0.2">
      <c r="A46" s="96" t="s">
        <v>58</v>
      </c>
      <c r="B46" s="81" t="str">
        <f t="shared" si="23"/>
        <v>Q4/2015</v>
      </c>
      <c r="C46" s="82">
        <f t="shared" si="20"/>
        <v>42278</v>
      </c>
      <c r="D46" s="82">
        <f t="shared" si="21"/>
        <v>42369</v>
      </c>
      <c r="E46" s="81">
        <f t="shared" si="18"/>
        <v>92</v>
      </c>
      <c r="F46" s="83">
        <f>VLOOKUP(D46,'FERC Interest Rate'!$A:$B,2,TRUE)</f>
        <v>3.2500000000000001E-2</v>
      </c>
      <c r="G46" s="84">
        <f t="shared" si="19"/>
        <v>2562098.229223826</v>
      </c>
      <c r="H46" s="84">
        <v>0</v>
      </c>
      <c r="I46" s="109">
        <v>0</v>
      </c>
      <c r="J46" s="85">
        <f t="shared" si="24"/>
        <v>20988.147138025317</v>
      </c>
      <c r="K46" s="129">
        <f t="shared" si="22"/>
        <v>20988.147138025317</v>
      </c>
      <c r="L46" s="85">
        <v>0</v>
      </c>
      <c r="M46" s="130">
        <f t="shared" si="15"/>
        <v>20988.147138025317</v>
      </c>
      <c r="N46" s="8">
        <f t="shared" si="16"/>
        <v>2583086.3763618511</v>
      </c>
      <c r="O46" s="84">
        <f t="shared" si="17"/>
        <v>2562098.229223826</v>
      </c>
    </row>
    <row r="47" spans="1:15" x14ac:dyDescent="0.2">
      <c r="A47" s="96" t="s">
        <v>59</v>
      </c>
      <c r="B47" s="81" t="str">
        <f t="shared" si="23"/>
        <v>Q1/2016</v>
      </c>
      <c r="C47" s="82">
        <f t="shared" si="20"/>
        <v>42370</v>
      </c>
      <c r="D47" s="82">
        <f t="shared" si="21"/>
        <v>42460</v>
      </c>
      <c r="E47" s="81">
        <f t="shared" si="18"/>
        <v>91</v>
      </c>
      <c r="F47" s="83">
        <f>VLOOKUP(D47,'FERC Interest Rate'!$A:$B,2,TRUE)</f>
        <v>3.2500000000000001E-2</v>
      </c>
      <c r="G47" s="84">
        <f t="shared" si="19"/>
        <v>2562098.229223826</v>
      </c>
      <c r="H47" s="84">
        <v>0</v>
      </c>
      <c r="I47" s="109">
        <v>0</v>
      </c>
      <c r="J47" s="85">
        <f t="shared" si="24"/>
        <v>20703.293751173402</v>
      </c>
      <c r="K47" s="129">
        <f t="shared" si="22"/>
        <v>20703.293751173402</v>
      </c>
      <c r="L47" s="85">
        <v>0</v>
      </c>
      <c r="M47" s="130">
        <f t="shared" si="15"/>
        <v>20703.293751173402</v>
      </c>
      <c r="N47" s="8">
        <f t="shared" si="16"/>
        <v>2582801.5229749992</v>
      </c>
      <c r="O47" s="84">
        <f t="shared" si="17"/>
        <v>2562098.229223826</v>
      </c>
    </row>
    <row r="48" spans="1:15" x14ac:dyDescent="0.2">
      <c r="A48" s="96" t="s">
        <v>60</v>
      </c>
      <c r="B48" s="81" t="str">
        <f t="shared" si="23"/>
        <v>Q2/2016</v>
      </c>
      <c r="C48" s="82">
        <f t="shared" si="20"/>
        <v>42461</v>
      </c>
      <c r="D48" s="82">
        <f t="shared" si="21"/>
        <v>42551</v>
      </c>
      <c r="E48" s="81">
        <f t="shared" si="18"/>
        <v>91</v>
      </c>
      <c r="F48" s="83">
        <f>VLOOKUP(D48,'FERC Interest Rate'!$A:$B,2,TRUE)</f>
        <v>3.4599999999999999E-2</v>
      </c>
      <c r="G48" s="84">
        <f t="shared" si="19"/>
        <v>2562098.229223826</v>
      </c>
      <c r="H48" s="84">
        <v>0</v>
      </c>
      <c r="I48" s="109">
        <v>0</v>
      </c>
      <c r="J48" s="85">
        <f t="shared" si="24"/>
        <v>22041.04503971076</v>
      </c>
      <c r="K48" s="129">
        <f t="shared" si="14"/>
        <v>22041.04503971076</v>
      </c>
      <c r="L48" s="85">
        <v>0</v>
      </c>
      <c r="M48" s="130">
        <f t="shared" si="15"/>
        <v>22041.04503971076</v>
      </c>
      <c r="N48" s="8">
        <f t="shared" si="16"/>
        <v>2584139.2742635366</v>
      </c>
      <c r="O48" s="84">
        <f t="shared" si="17"/>
        <v>2562098.229223826</v>
      </c>
    </row>
    <row r="49" spans="1:15" x14ac:dyDescent="0.2">
      <c r="A49" s="96" t="s">
        <v>61</v>
      </c>
      <c r="B49" s="81" t="str">
        <f t="shared" si="23"/>
        <v>Q3/2016</v>
      </c>
      <c r="C49" s="82">
        <f t="shared" si="20"/>
        <v>42552</v>
      </c>
      <c r="D49" s="82">
        <f t="shared" si="21"/>
        <v>42643</v>
      </c>
      <c r="E49" s="81">
        <f t="shared" si="18"/>
        <v>92</v>
      </c>
      <c r="F49" s="83">
        <f>VLOOKUP(D49,'FERC Interest Rate'!$A:$B,2,TRUE)</f>
        <v>3.5000000000000003E-2</v>
      </c>
      <c r="G49" s="84">
        <f t="shared" si="19"/>
        <v>2562098.229223826</v>
      </c>
      <c r="H49" s="84">
        <v>0</v>
      </c>
      <c r="I49" s="109">
        <v>0</v>
      </c>
      <c r="J49" s="85">
        <f t="shared" si="24"/>
        <v>22540.864202460984</v>
      </c>
      <c r="K49" s="129">
        <f t="shared" si="14"/>
        <v>22540.864202460984</v>
      </c>
      <c r="L49" s="85">
        <v>0</v>
      </c>
      <c r="M49" s="130">
        <f t="shared" si="15"/>
        <v>22540.864202460984</v>
      </c>
      <c r="N49" s="8">
        <f t="shared" si="16"/>
        <v>2584639.0934262872</v>
      </c>
      <c r="O49" s="84">
        <f t="shared" si="17"/>
        <v>2562098.229223826</v>
      </c>
    </row>
    <row r="50" spans="1:15" x14ac:dyDescent="0.2">
      <c r="A50" s="96" t="s">
        <v>62</v>
      </c>
      <c r="B50" s="81" t="str">
        <f t="shared" si="23"/>
        <v>Q4/2016</v>
      </c>
      <c r="C50" s="82">
        <f t="shared" si="20"/>
        <v>42644</v>
      </c>
      <c r="D50" s="82">
        <f t="shared" si="21"/>
        <v>42735</v>
      </c>
      <c r="E50" s="81">
        <f t="shared" si="18"/>
        <v>92</v>
      </c>
      <c r="F50" s="83">
        <f>VLOOKUP(D50,'FERC Interest Rate'!$A:$B,2,TRUE)</f>
        <v>3.5000000000000003E-2</v>
      </c>
      <c r="G50" s="84">
        <f t="shared" si="19"/>
        <v>2562098.229223826</v>
      </c>
      <c r="H50" s="84">
        <v>0</v>
      </c>
      <c r="I50" s="109">
        <v>0</v>
      </c>
      <c r="J50" s="85">
        <f t="shared" si="24"/>
        <v>22540.864202460984</v>
      </c>
      <c r="K50" s="129">
        <f t="shared" si="14"/>
        <v>22540.864202460984</v>
      </c>
      <c r="L50" s="85">
        <v>0</v>
      </c>
      <c r="M50" s="130">
        <f t="shared" si="15"/>
        <v>22540.864202460984</v>
      </c>
      <c r="N50" s="8">
        <f t="shared" si="16"/>
        <v>2584639.0934262872</v>
      </c>
      <c r="O50" s="84">
        <f t="shared" si="17"/>
        <v>2562098.229223826</v>
      </c>
    </row>
    <row r="51" spans="1:15" x14ac:dyDescent="0.2">
      <c r="A51" s="96" t="s">
        <v>63</v>
      </c>
      <c r="B51" s="81" t="str">
        <f t="shared" si="23"/>
        <v>Q1/2017</v>
      </c>
      <c r="C51" s="82">
        <f t="shared" si="20"/>
        <v>42736</v>
      </c>
      <c r="D51" s="82">
        <f t="shared" si="21"/>
        <v>42825</v>
      </c>
      <c r="E51" s="81">
        <f t="shared" si="18"/>
        <v>90</v>
      </c>
      <c r="F51" s="83">
        <f>VLOOKUP(D51,'FERC Interest Rate'!$A:$B,2,TRUE)</f>
        <v>3.5000000000000003E-2</v>
      </c>
      <c r="G51" s="84">
        <f t="shared" si="19"/>
        <v>2562098.229223826</v>
      </c>
      <c r="H51" s="84">
        <v>0</v>
      </c>
      <c r="I51" s="109">
        <f>SUM($H$38:$H$62)/20*10</f>
        <v>46299.114611912897</v>
      </c>
      <c r="J51" s="85">
        <f t="shared" si="24"/>
        <v>22111.258690561786</v>
      </c>
      <c r="K51" s="129">
        <f t="shared" si="14"/>
        <v>68410.373302474676</v>
      </c>
      <c r="L51" s="85">
        <f>$G$38/20*10</f>
        <v>1234750</v>
      </c>
      <c r="M51" s="130">
        <f t="shared" si="15"/>
        <v>1303160.3733024746</v>
      </c>
      <c r="N51" s="8">
        <f t="shared" si="16"/>
        <v>2584209.4879143876</v>
      </c>
      <c r="O51" s="84">
        <f t="shared" si="17"/>
        <v>1281049.114611913</v>
      </c>
    </row>
    <row r="52" spans="1:15" x14ac:dyDescent="0.2">
      <c r="A52" s="96" t="s">
        <v>64</v>
      </c>
      <c r="B52" s="81" t="str">
        <f t="shared" si="23"/>
        <v>Q2/2017</v>
      </c>
      <c r="C52" s="82">
        <f t="shared" si="20"/>
        <v>42826</v>
      </c>
      <c r="D52" s="82">
        <f t="shared" si="21"/>
        <v>42916</v>
      </c>
      <c r="E52" s="81">
        <f t="shared" si="18"/>
        <v>91</v>
      </c>
      <c r="F52" s="83">
        <f>VLOOKUP(D52,'FERC Interest Rate'!$A:$B,2,TRUE)</f>
        <v>3.7100000000000001E-2</v>
      </c>
      <c r="G52" s="84">
        <f t="shared" si="19"/>
        <v>1281049.114611913</v>
      </c>
      <c r="H52" s="84">
        <v>0</v>
      </c>
      <c r="I52" s="109">
        <f t="shared" ref="I52:I61" si="25">SUM($H$38:$H$62)/20</f>
        <v>4629.9114611912901</v>
      </c>
      <c r="J52" s="85">
        <f t="shared" ref="J52:J61" si="26">G52*F52*(E52/(DATE(YEAR(D52),12,31)-DATE(YEAR(D52),1,1)+1))</f>
        <v>11849.177851619943</v>
      </c>
      <c r="K52" s="129">
        <f t="shared" si="14"/>
        <v>16479.089312811233</v>
      </c>
      <c r="L52" s="85">
        <f t="shared" ref="L52:L61" si="27">$G$38/20</f>
        <v>123475</v>
      </c>
      <c r="M52" s="130">
        <f t="shared" si="15"/>
        <v>139954.08931281124</v>
      </c>
      <c r="N52" s="8">
        <f t="shared" si="16"/>
        <v>1292898.2924635329</v>
      </c>
      <c r="O52" s="84">
        <f t="shared" si="17"/>
        <v>1152944.2031507217</v>
      </c>
    </row>
    <row r="53" spans="1:15" x14ac:dyDescent="0.2">
      <c r="A53" s="96" t="s">
        <v>65</v>
      </c>
      <c r="B53" s="81" t="str">
        <f t="shared" si="23"/>
        <v>Q3/2017</v>
      </c>
      <c r="C53" s="82">
        <f t="shared" si="20"/>
        <v>42917</v>
      </c>
      <c r="D53" s="82">
        <f t="shared" si="21"/>
        <v>43008</v>
      </c>
      <c r="E53" s="81">
        <f t="shared" si="18"/>
        <v>92</v>
      </c>
      <c r="F53" s="83">
        <f>VLOOKUP(D53,'FERC Interest Rate'!$A:$B,2,TRUE)</f>
        <v>3.9600000000000003E-2</v>
      </c>
      <c r="G53" s="84">
        <f t="shared" si="19"/>
        <v>1152944.2031507217</v>
      </c>
      <c r="H53" s="84">
        <v>0</v>
      </c>
      <c r="I53" s="109">
        <f t="shared" si="25"/>
        <v>4629.9114611912901</v>
      </c>
      <c r="J53" s="85">
        <f t="shared" si="26"/>
        <v>11507.962523064958</v>
      </c>
      <c r="K53" s="129">
        <f t="shared" si="14"/>
        <v>16137.873984256248</v>
      </c>
      <c r="L53" s="85">
        <f t="shared" si="27"/>
        <v>123475</v>
      </c>
      <c r="M53" s="130">
        <f t="shared" si="15"/>
        <v>139612.87398425624</v>
      </c>
      <c r="N53" s="8">
        <f t="shared" si="16"/>
        <v>1164452.1656737868</v>
      </c>
      <c r="O53" s="84">
        <f t="shared" si="17"/>
        <v>1024839.2916895305</v>
      </c>
    </row>
    <row r="54" spans="1:15" x14ac:dyDescent="0.2">
      <c r="A54" s="96" t="s">
        <v>66</v>
      </c>
      <c r="B54" s="81" t="str">
        <f t="shared" si="23"/>
        <v>Q4/2017</v>
      </c>
      <c r="C54" s="82">
        <f t="shared" si="20"/>
        <v>43009</v>
      </c>
      <c r="D54" s="82">
        <f t="shared" si="21"/>
        <v>43100</v>
      </c>
      <c r="E54" s="81">
        <f t="shared" si="18"/>
        <v>92</v>
      </c>
      <c r="F54" s="83">
        <f>VLOOKUP(D54,'FERC Interest Rate'!$A:$B,2,TRUE)</f>
        <v>4.2099999999999999E-2</v>
      </c>
      <c r="G54" s="84">
        <f t="shared" si="19"/>
        <v>1024839.2916895305</v>
      </c>
      <c r="H54" s="84">
        <v>0</v>
      </c>
      <c r="I54" s="109">
        <f t="shared" si="25"/>
        <v>4629.9114611912901</v>
      </c>
      <c r="J54" s="85">
        <f t="shared" si="26"/>
        <v>10875.089163210658</v>
      </c>
      <c r="K54" s="129">
        <f t="shared" si="14"/>
        <v>15505.000624401948</v>
      </c>
      <c r="L54" s="85">
        <f t="shared" si="27"/>
        <v>123475</v>
      </c>
      <c r="M54" s="130">
        <f t="shared" si="15"/>
        <v>138980.00062440196</v>
      </c>
      <c r="N54" s="8">
        <f t="shared" si="16"/>
        <v>1035714.3808527412</v>
      </c>
      <c r="O54" s="84">
        <f t="shared" si="17"/>
        <v>896734.38022833923</v>
      </c>
    </row>
    <row r="55" spans="1:15" x14ac:dyDescent="0.2">
      <c r="A55" s="96" t="s">
        <v>67</v>
      </c>
      <c r="B55" s="81" t="str">
        <f t="shared" si="23"/>
        <v>Q1/2018</v>
      </c>
      <c r="C55" s="82">
        <f t="shared" si="20"/>
        <v>43101</v>
      </c>
      <c r="D55" s="82">
        <f t="shared" si="21"/>
        <v>43190</v>
      </c>
      <c r="E55" s="81">
        <f t="shared" si="18"/>
        <v>90</v>
      </c>
      <c r="F55" s="83">
        <f>VLOOKUP(D55,'FERC Interest Rate'!$A:$B,2,TRUE)</f>
        <v>4.2500000000000003E-2</v>
      </c>
      <c r="G55" s="84">
        <f t="shared" si="19"/>
        <v>896734.38022833923</v>
      </c>
      <c r="H55" s="84">
        <v>0</v>
      </c>
      <c r="I55" s="109">
        <f t="shared" si="25"/>
        <v>4629.9114611912901</v>
      </c>
      <c r="J55" s="85">
        <f t="shared" si="26"/>
        <v>9397.2849434887612</v>
      </c>
      <c r="K55" s="129">
        <f t="shared" si="14"/>
        <v>14027.196404680051</v>
      </c>
      <c r="L55" s="85">
        <f t="shared" si="27"/>
        <v>123475</v>
      </c>
      <c r="M55" s="130">
        <f t="shared" si="15"/>
        <v>137502.19640468006</v>
      </c>
      <c r="N55" s="8">
        <f t="shared" si="16"/>
        <v>906131.665171828</v>
      </c>
      <c r="O55" s="84">
        <f t="shared" si="17"/>
        <v>768629.46876714798</v>
      </c>
    </row>
    <row r="56" spans="1:15" x14ac:dyDescent="0.2">
      <c r="A56" s="96" t="s">
        <v>68</v>
      </c>
      <c r="B56" s="81" t="str">
        <f t="shared" si="23"/>
        <v>Q2/2018</v>
      </c>
      <c r="C56" s="82">
        <f t="shared" si="20"/>
        <v>43191</v>
      </c>
      <c r="D56" s="82">
        <f t="shared" si="21"/>
        <v>43281</v>
      </c>
      <c r="E56" s="81">
        <f t="shared" si="18"/>
        <v>91</v>
      </c>
      <c r="F56" s="83">
        <f>VLOOKUP(D56,'FERC Interest Rate'!$A:$B,2,TRUE)</f>
        <v>4.4699999999999997E-2</v>
      </c>
      <c r="G56" s="84">
        <f t="shared" si="19"/>
        <v>768629.46876714798</v>
      </c>
      <c r="H56" s="84">
        <v>0</v>
      </c>
      <c r="I56" s="109">
        <f t="shared" si="25"/>
        <v>4629.9114611912901</v>
      </c>
      <c r="J56" s="85">
        <f t="shared" si="26"/>
        <v>8565.9016167236387</v>
      </c>
      <c r="K56" s="129">
        <f t="shared" si="14"/>
        <v>13195.813077914929</v>
      </c>
      <c r="L56" s="85">
        <f t="shared" si="27"/>
        <v>123475</v>
      </c>
      <c r="M56" s="130">
        <f t="shared" si="15"/>
        <v>136670.81307791494</v>
      </c>
      <c r="N56" s="8">
        <f t="shared" si="16"/>
        <v>777195.3703838716</v>
      </c>
      <c r="O56" s="84">
        <f t="shared" si="17"/>
        <v>640524.55730595673</v>
      </c>
    </row>
    <row r="57" spans="1:15" x14ac:dyDescent="0.2">
      <c r="A57" s="96" t="s">
        <v>69</v>
      </c>
      <c r="B57" s="81" t="str">
        <f t="shared" si="23"/>
        <v>Q3/2018</v>
      </c>
      <c r="C57" s="82">
        <f t="shared" si="20"/>
        <v>43282</v>
      </c>
      <c r="D57" s="82">
        <f t="shared" si="21"/>
        <v>43373</v>
      </c>
      <c r="E57" s="81">
        <f t="shared" si="18"/>
        <v>92</v>
      </c>
      <c r="F57" s="83">
        <f>VLOOKUP(D57,'FERC Interest Rate'!$A:$B,2,TRUE)</f>
        <v>5.011111E-2</v>
      </c>
      <c r="G57" s="84">
        <f t="shared" si="19"/>
        <v>640524.55730595673</v>
      </c>
      <c r="H57" s="84">
        <v>0</v>
      </c>
      <c r="I57" s="109">
        <f t="shared" si="25"/>
        <v>4629.9114611912901</v>
      </c>
      <c r="J57" s="85">
        <f t="shared" si="26"/>
        <v>8090.3026917674788</v>
      </c>
      <c r="K57" s="129">
        <f t="shared" si="14"/>
        <v>12720.214152958768</v>
      </c>
      <c r="L57" s="85">
        <f t="shared" si="27"/>
        <v>123475</v>
      </c>
      <c r="M57" s="130">
        <f t="shared" si="15"/>
        <v>136195.21415295877</v>
      </c>
      <c r="N57" s="8">
        <f t="shared" si="16"/>
        <v>648614.85999772418</v>
      </c>
      <c r="O57" s="84">
        <f t="shared" si="17"/>
        <v>512419.64584476541</v>
      </c>
    </row>
    <row r="58" spans="1:15" x14ac:dyDescent="0.2">
      <c r="A58" s="96" t="s">
        <v>70</v>
      </c>
      <c r="B58" s="81" t="str">
        <f t="shared" si="23"/>
        <v>Q4/2018</v>
      </c>
      <c r="C58" s="82">
        <f t="shared" si="20"/>
        <v>43374</v>
      </c>
      <c r="D58" s="82">
        <f t="shared" si="21"/>
        <v>43465</v>
      </c>
      <c r="E58" s="81">
        <f t="shared" si="18"/>
        <v>92</v>
      </c>
      <c r="F58" s="83">
        <f>VLOOKUP(D58,'FERC Interest Rate'!$A:$B,2,TRUE)</f>
        <v>5.2822580000000001E-2</v>
      </c>
      <c r="G58" s="84">
        <f t="shared" si="19"/>
        <v>512419.64584476541</v>
      </c>
      <c r="H58" s="84">
        <v>0</v>
      </c>
      <c r="I58" s="109">
        <f t="shared" si="25"/>
        <v>4629.9114611912901</v>
      </c>
      <c r="J58" s="85">
        <f t="shared" si="26"/>
        <v>6822.4497307699312</v>
      </c>
      <c r="K58" s="129">
        <f t="shared" si="14"/>
        <v>11452.361191961221</v>
      </c>
      <c r="L58" s="85">
        <f t="shared" si="27"/>
        <v>123475</v>
      </c>
      <c r="M58" s="130">
        <f t="shared" si="15"/>
        <v>134927.36119196122</v>
      </c>
      <c r="N58" s="8">
        <f t="shared" si="16"/>
        <v>519242.09557553532</v>
      </c>
      <c r="O58" s="84">
        <f t="shared" si="17"/>
        <v>384314.7343835741</v>
      </c>
    </row>
    <row r="59" spans="1:15" x14ac:dyDescent="0.2">
      <c r="A59" s="96" t="s">
        <v>71</v>
      </c>
      <c r="B59" s="81" t="str">
        <f t="shared" si="23"/>
        <v>Q1/2019</v>
      </c>
      <c r="C59" s="82">
        <f t="shared" si="20"/>
        <v>43466</v>
      </c>
      <c r="D59" s="82">
        <f t="shared" si="21"/>
        <v>43555</v>
      </c>
      <c r="E59" s="81">
        <f t="shared" si="18"/>
        <v>90</v>
      </c>
      <c r="F59" s="83">
        <f>VLOOKUP(D59,'FERC Interest Rate'!$A:$B,2,TRUE)</f>
        <v>5.5296770000000002E-2</v>
      </c>
      <c r="G59" s="84">
        <f t="shared" si="19"/>
        <v>384314.7343835741</v>
      </c>
      <c r="H59" s="84">
        <v>0</v>
      </c>
      <c r="I59" s="109">
        <f t="shared" si="25"/>
        <v>4629.9114611912901</v>
      </c>
      <c r="J59" s="85">
        <f t="shared" si="26"/>
        <v>5240.0622266678438</v>
      </c>
      <c r="K59" s="129">
        <f t="shared" si="14"/>
        <v>9869.9736878591339</v>
      </c>
      <c r="L59" s="85">
        <f t="shared" si="27"/>
        <v>123475</v>
      </c>
      <c r="M59" s="130">
        <f t="shared" si="15"/>
        <v>133344.97368785914</v>
      </c>
      <c r="N59" s="8">
        <f t="shared" si="16"/>
        <v>389554.79661024193</v>
      </c>
      <c r="O59" s="84">
        <f t="shared" si="17"/>
        <v>256209.82292238282</v>
      </c>
    </row>
    <row r="60" spans="1:15" x14ac:dyDescent="0.2">
      <c r="A60" s="96" t="s">
        <v>72</v>
      </c>
      <c r="B60" s="81" t="str">
        <f t="shared" si="23"/>
        <v>Q2/2019</v>
      </c>
      <c r="C60" s="82">
        <f t="shared" si="20"/>
        <v>43556</v>
      </c>
      <c r="D60" s="82">
        <f t="shared" si="21"/>
        <v>43646</v>
      </c>
      <c r="E60" s="81">
        <f t="shared" si="18"/>
        <v>91</v>
      </c>
      <c r="F60" s="83">
        <f>VLOOKUP(D60,'FERC Interest Rate'!$A:$B,2,TRUE)</f>
        <v>5.7999999999999996E-2</v>
      </c>
      <c r="G60" s="84">
        <f t="shared" si="19"/>
        <v>256209.82292238282</v>
      </c>
      <c r="H60" s="84">
        <v>0</v>
      </c>
      <c r="I60" s="109">
        <f t="shared" si="25"/>
        <v>4629.9114611912901</v>
      </c>
      <c r="J60" s="85">
        <f t="shared" si="26"/>
        <v>3704.8642339296889</v>
      </c>
      <c r="K60" s="129">
        <f t="shared" si="14"/>
        <v>8334.7756951209794</v>
      </c>
      <c r="L60" s="85">
        <f t="shared" si="27"/>
        <v>123475</v>
      </c>
      <c r="M60" s="130">
        <f t="shared" si="15"/>
        <v>131809.77569512097</v>
      </c>
      <c r="N60" s="8">
        <f t="shared" si="16"/>
        <v>259914.68715631252</v>
      </c>
      <c r="O60" s="84">
        <f t="shared" si="17"/>
        <v>128104.91146119153</v>
      </c>
    </row>
    <row r="61" spans="1:15" x14ac:dyDescent="0.2">
      <c r="A61" s="96" t="s">
        <v>73</v>
      </c>
      <c r="B61" s="81" t="str">
        <f t="shared" si="23"/>
        <v>Q3/2019</v>
      </c>
      <c r="C61" s="82">
        <f t="shared" si="20"/>
        <v>43647</v>
      </c>
      <c r="D61" s="82">
        <f t="shared" si="21"/>
        <v>43738</v>
      </c>
      <c r="E61" s="81">
        <f t="shared" si="18"/>
        <v>92</v>
      </c>
      <c r="F61" s="83">
        <f>VLOOKUP(D61,'FERC Interest Rate'!$A:$B,2,TRUE)</f>
        <v>0.06</v>
      </c>
      <c r="G61" s="84">
        <f t="shared" si="19"/>
        <v>128104.91146119153</v>
      </c>
      <c r="H61" s="84">
        <v>0</v>
      </c>
      <c r="I61" s="109">
        <f t="shared" si="25"/>
        <v>4629.9114611912901</v>
      </c>
      <c r="J61" s="85">
        <f t="shared" si="26"/>
        <v>1937.3674281254171</v>
      </c>
      <c r="K61" s="129">
        <f t="shared" si="14"/>
        <v>6567.2788893167071</v>
      </c>
      <c r="L61" s="85">
        <f t="shared" si="27"/>
        <v>123475</v>
      </c>
      <c r="M61" s="130">
        <f t="shared" si="15"/>
        <v>130042.2788893167</v>
      </c>
      <c r="N61" s="8">
        <f t="shared" si="16"/>
        <v>130042.27888931695</v>
      </c>
      <c r="O61" s="84">
        <f t="shared" si="17"/>
        <v>2.382876118645072E-10</v>
      </c>
    </row>
    <row r="62" spans="1:15" x14ac:dyDescent="0.2">
      <c r="A62" s="11"/>
      <c r="B62" s="98"/>
      <c r="C62" s="98"/>
      <c r="D62" s="10"/>
      <c r="E62" s="11"/>
      <c r="F62" s="85"/>
      <c r="G62" s="85"/>
      <c r="H62" s="70"/>
      <c r="I62" s="115"/>
      <c r="J62" s="12"/>
      <c r="K62" s="85"/>
      <c r="L62" s="117"/>
      <c r="M62" s="131"/>
    </row>
    <row r="63" spans="1:15" ht="13.5" thickBot="1" x14ac:dyDescent="0.25">
      <c r="A63" s="151"/>
      <c r="B63" s="151"/>
      <c r="C63" s="151"/>
      <c r="D63" s="151"/>
      <c r="E63" s="151"/>
      <c r="F63" s="151"/>
      <c r="G63" s="79">
        <f t="shared" ref="G63:O63" si="28">+SUM(G38:G62)</f>
        <v>42616933.590910099</v>
      </c>
      <c r="H63" s="79">
        <f t="shared" si="28"/>
        <v>92598.229223825794</v>
      </c>
      <c r="I63" s="119">
        <f t="shared" si="28"/>
        <v>92598.229223825823</v>
      </c>
      <c r="J63" s="79">
        <f t="shared" si="28"/>
        <v>271195.98074551055</v>
      </c>
      <c r="K63" s="79">
        <f t="shared" si="28"/>
        <v>363794.2099693364</v>
      </c>
      <c r="L63" s="79">
        <f t="shared" si="28"/>
        <v>2469500</v>
      </c>
      <c r="M63" s="120">
        <f t="shared" si="28"/>
        <v>2833294.2099693366</v>
      </c>
      <c r="N63" s="79">
        <f t="shared" si="28"/>
        <v>42980727.800879434</v>
      </c>
      <c r="O63" s="79">
        <f t="shared" si="28"/>
        <v>40147433.590910099</v>
      </c>
    </row>
    <row r="64" spans="1:15" ht="13.5" thickTop="1" x14ac:dyDescent="0.2">
      <c r="I64" s="116"/>
      <c r="J64" s="117"/>
      <c r="K64" s="117"/>
      <c r="L64" s="117"/>
      <c r="M64" s="131"/>
    </row>
    <row r="65" spans="1:15" ht="38.25" x14ac:dyDescent="0.2">
      <c r="A65" s="90" t="s">
        <v>53</v>
      </c>
      <c r="B65" s="90" t="s">
        <v>3</v>
      </c>
      <c r="C65" s="90" t="s">
        <v>4</v>
      </c>
      <c r="D65" s="90" t="s">
        <v>5</v>
      </c>
      <c r="E65" s="90" t="s">
        <v>6</v>
      </c>
      <c r="F65" s="90" t="s">
        <v>7</v>
      </c>
      <c r="G65" s="90" t="s">
        <v>93</v>
      </c>
      <c r="H65" s="90" t="s">
        <v>94</v>
      </c>
      <c r="I65" s="105" t="s">
        <v>95</v>
      </c>
      <c r="J65" s="106" t="s">
        <v>96</v>
      </c>
      <c r="K65" s="106" t="s">
        <v>97</v>
      </c>
      <c r="L65" s="106" t="s">
        <v>98</v>
      </c>
      <c r="M65" s="107" t="s">
        <v>99</v>
      </c>
      <c r="N65" s="90" t="s">
        <v>100</v>
      </c>
      <c r="O65" s="90" t="s">
        <v>101</v>
      </c>
    </row>
    <row r="66" spans="1:15" x14ac:dyDescent="0.2">
      <c r="C66" s="82">
        <f t="shared" ref="C66:F66" si="29">+C10</f>
        <v>41590</v>
      </c>
      <c r="D66" s="82">
        <f t="shared" si="29"/>
        <v>41639</v>
      </c>
      <c r="E66" s="81">
        <f t="shared" si="29"/>
        <v>50</v>
      </c>
      <c r="F66" s="83">
        <f t="shared" si="29"/>
        <v>3.2500000000000001E-2</v>
      </c>
      <c r="G66" s="84">
        <f>+G10+G38</f>
        <v>8037220</v>
      </c>
      <c r="H66" s="84">
        <f>+H10+H38</f>
        <v>35782.143835616436</v>
      </c>
      <c r="I66" s="109">
        <f>+I10+I38</f>
        <v>0</v>
      </c>
      <c r="J66" s="85">
        <f>+J10+J38</f>
        <v>0</v>
      </c>
      <c r="K66" s="129">
        <f t="shared" ref="K66:K69" si="30">+SUM(I66:J66)</f>
        <v>0</v>
      </c>
      <c r="L66" s="85">
        <f t="shared" ref="L66:L89" si="31">+L10+L38</f>
        <v>0</v>
      </c>
      <c r="M66" s="130">
        <f t="shared" ref="M66:M69" si="32">+SUM(K66:L66)</f>
        <v>0</v>
      </c>
      <c r="N66" s="8">
        <f t="shared" ref="N66:N69" si="33">+G66+H66+J66</f>
        <v>8073002.1438356163</v>
      </c>
      <c r="O66" s="84">
        <f t="shared" ref="O66:O69" si="34">G66+H66-L66-I66</f>
        <v>8073002.1438356163</v>
      </c>
    </row>
    <row r="67" spans="1:15" x14ac:dyDescent="0.2">
      <c r="C67" s="82">
        <f t="shared" ref="C67:F67" si="35">+C11</f>
        <v>41640</v>
      </c>
      <c r="D67" s="82">
        <f t="shared" si="35"/>
        <v>41729</v>
      </c>
      <c r="E67" s="81">
        <f t="shared" si="35"/>
        <v>90</v>
      </c>
      <c r="F67" s="83">
        <f t="shared" si="35"/>
        <v>3.2500000000000001E-2</v>
      </c>
      <c r="G67" s="84">
        <f t="shared" ref="G67:G89" si="36">+G11+G39</f>
        <v>8073002.1438356163</v>
      </c>
      <c r="H67" s="84">
        <f t="shared" ref="H67:H70" si="37">+H11+H39</f>
        <v>64694.606221148431</v>
      </c>
      <c r="I67" s="109">
        <f t="shared" ref="I67:J70" si="38">+I11+I39</f>
        <v>0</v>
      </c>
      <c r="J67" s="85">
        <f t="shared" si="38"/>
        <v>0</v>
      </c>
      <c r="K67" s="129">
        <f t="shared" si="30"/>
        <v>0</v>
      </c>
      <c r="L67" s="85">
        <f t="shared" si="31"/>
        <v>0</v>
      </c>
      <c r="M67" s="130">
        <f t="shared" si="32"/>
        <v>0</v>
      </c>
      <c r="N67" s="8">
        <f t="shared" si="33"/>
        <v>8137696.750056765</v>
      </c>
      <c r="O67" s="84">
        <f t="shared" si="34"/>
        <v>8137696.750056765</v>
      </c>
    </row>
    <row r="68" spans="1:15" x14ac:dyDescent="0.2">
      <c r="C68" s="82">
        <f t="shared" ref="C68:F68" si="39">+C12</f>
        <v>41730</v>
      </c>
      <c r="D68" s="82">
        <f t="shared" si="39"/>
        <v>41820</v>
      </c>
      <c r="E68" s="81">
        <f t="shared" si="39"/>
        <v>91</v>
      </c>
      <c r="F68" s="83">
        <f t="shared" si="39"/>
        <v>3.2500000000000001E-2</v>
      </c>
      <c r="G68" s="84">
        <f t="shared" si="36"/>
        <v>8137696.750056765</v>
      </c>
      <c r="H68" s="84">
        <f t="shared" si="37"/>
        <v>65937.638735048997</v>
      </c>
      <c r="I68" s="109">
        <f t="shared" si="38"/>
        <v>0</v>
      </c>
      <c r="J68" s="85">
        <f t="shared" si="38"/>
        <v>0</v>
      </c>
      <c r="K68" s="129">
        <f t="shared" si="30"/>
        <v>0</v>
      </c>
      <c r="L68" s="85">
        <f t="shared" si="31"/>
        <v>0</v>
      </c>
      <c r="M68" s="130">
        <f t="shared" si="32"/>
        <v>0</v>
      </c>
      <c r="N68" s="8">
        <f t="shared" si="33"/>
        <v>8203634.3887918144</v>
      </c>
      <c r="O68" s="84">
        <f t="shared" si="34"/>
        <v>8203634.3887918144</v>
      </c>
    </row>
    <row r="69" spans="1:15" x14ac:dyDescent="0.2">
      <c r="C69" s="82">
        <f t="shared" ref="C69:F69" si="40">+C13</f>
        <v>41821</v>
      </c>
      <c r="D69" s="82">
        <f t="shared" si="40"/>
        <v>41912</v>
      </c>
      <c r="E69" s="81">
        <f t="shared" si="40"/>
        <v>92</v>
      </c>
      <c r="F69" s="83">
        <f t="shared" si="40"/>
        <v>3.2500000000000001E-2</v>
      </c>
      <c r="G69" s="84">
        <f t="shared" si="36"/>
        <v>8203634.3887918144</v>
      </c>
      <c r="H69" s="84">
        <f t="shared" si="37"/>
        <v>67202.374856130205</v>
      </c>
      <c r="I69" s="109">
        <f t="shared" si="38"/>
        <v>0</v>
      </c>
      <c r="J69" s="85">
        <f t="shared" si="38"/>
        <v>0</v>
      </c>
      <c r="K69" s="129">
        <f t="shared" si="30"/>
        <v>0</v>
      </c>
      <c r="L69" s="85">
        <f t="shared" si="31"/>
        <v>0</v>
      </c>
      <c r="M69" s="130">
        <f t="shared" si="32"/>
        <v>0</v>
      </c>
      <c r="N69" s="8">
        <f t="shared" si="33"/>
        <v>8270836.7636479447</v>
      </c>
      <c r="O69" s="84">
        <f t="shared" si="34"/>
        <v>8270836.7636479447</v>
      </c>
    </row>
    <row r="70" spans="1:15" x14ac:dyDescent="0.2">
      <c r="A70" s="96" t="s">
        <v>54</v>
      </c>
      <c r="B70" s="81" t="str">
        <f t="shared" ref="B70:B89" si="41">+IF(MONTH(C70)&lt;4,"Q1",IF(MONTH(C70)&lt;7,"Q2",IF(MONTH(C70)&lt;10,"Q3","Q4")))&amp;"/"&amp;YEAR(C70)</f>
        <v>Q4/2014</v>
      </c>
      <c r="C70" s="82">
        <f t="shared" ref="C70:F89" si="42">+C14</f>
        <v>41913</v>
      </c>
      <c r="D70" s="82">
        <f t="shared" si="42"/>
        <v>42004</v>
      </c>
      <c r="E70" s="81">
        <f t="shared" si="42"/>
        <v>92</v>
      </c>
      <c r="F70" s="83">
        <f t="shared" si="42"/>
        <v>3.2500000000000001E-2</v>
      </c>
      <c r="G70" s="84">
        <f t="shared" si="36"/>
        <v>8270836.7636479447</v>
      </c>
      <c r="H70" s="84">
        <f t="shared" si="37"/>
        <v>67752.881981663988</v>
      </c>
      <c r="I70" s="109">
        <f t="shared" si="38"/>
        <v>10438.570820289115</v>
      </c>
      <c r="J70" s="85">
        <f t="shared" si="38"/>
        <v>0</v>
      </c>
      <c r="K70" s="129">
        <f t="shared" ref="K70:K89" si="43">+SUM(I70:J70)</f>
        <v>10438.570820289115</v>
      </c>
      <c r="L70" s="85">
        <f t="shared" si="31"/>
        <v>278386</v>
      </c>
      <c r="M70" s="130">
        <f t="shared" ref="M70:M89" si="44">+SUM(K70:L70)</f>
        <v>288824.57082028914</v>
      </c>
      <c r="N70" s="8">
        <f t="shared" ref="N70:N89" si="45">+G70+H70+J70</f>
        <v>8338589.645629609</v>
      </c>
      <c r="O70" s="84">
        <f t="shared" ref="O70:O89" si="46">G70+H70-L70-I70</f>
        <v>8049765.0748093203</v>
      </c>
    </row>
    <row r="71" spans="1:15" x14ac:dyDescent="0.2">
      <c r="A71" s="96" t="s">
        <v>55</v>
      </c>
      <c r="B71" s="81" t="str">
        <f t="shared" si="41"/>
        <v>Q1/2015</v>
      </c>
      <c r="C71" s="82">
        <f t="shared" si="42"/>
        <v>42005</v>
      </c>
      <c r="D71" s="82">
        <f t="shared" si="42"/>
        <v>42094</v>
      </c>
      <c r="E71" s="81">
        <f t="shared" si="42"/>
        <v>90</v>
      </c>
      <c r="F71" s="83">
        <f t="shared" si="42"/>
        <v>3.2500000000000001E-2</v>
      </c>
      <c r="G71" s="84">
        <f t="shared" si="36"/>
        <v>8049765.0748093193</v>
      </c>
      <c r="H71" s="84">
        <f t="shared" ref="H71:I89" si="47">+H15+H43</f>
        <v>0</v>
      </c>
      <c r="I71" s="109">
        <f t="shared" si="47"/>
        <v>10438.570820289115</v>
      </c>
      <c r="J71" s="85">
        <f t="shared" ref="J71:J78" si="48">+J15</f>
        <v>43976.508283116622</v>
      </c>
      <c r="K71" s="129">
        <f t="shared" si="43"/>
        <v>54415.079103405733</v>
      </c>
      <c r="L71" s="85">
        <f t="shared" si="31"/>
        <v>278386</v>
      </c>
      <c r="M71" s="130">
        <f t="shared" si="44"/>
        <v>332801.0791034057</v>
      </c>
      <c r="N71" s="8">
        <f t="shared" si="45"/>
        <v>8093741.5830924362</v>
      </c>
      <c r="O71" s="84">
        <f t="shared" si="46"/>
        <v>7760940.5039890306</v>
      </c>
    </row>
    <row r="72" spans="1:15" x14ac:dyDescent="0.2">
      <c r="A72" s="96" t="s">
        <v>56</v>
      </c>
      <c r="B72" s="81" t="str">
        <f t="shared" si="41"/>
        <v>Q2/2015</v>
      </c>
      <c r="C72" s="82">
        <f t="shared" si="42"/>
        <v>42095</v>
      </c>
      <c r="D72" s="82">
        <f t="shared" si="42"/>
        <v>42185</v>
      </c>
      <c r="E72" s="81">
        <f t="shared" si="42"/>
        <v>91</v>
      </c>
      <c r="F72" s="83">
        <f t="shared" si="42"/>
        <v>3.2500000000000001E-2</v>
      </c>
      <c r="G72" s="84">
        <f t="shared" si="36"/>
        <v>7760940.5039890306</v>
      </c>
      <c r="H72" s="84">
        <f t="shared" si="47"/>
        <v>0</v>
      </c>
      <c r="I72" s="109">
        <f t="shared" si="47"/>
        <v>10438.570820289115</v>
      </c>
      <c r="J72" s="85">
        <f t="shared" si="48"/>
        <v>42124.865829090668</v>
      </c>
      <c r="K72" s="129">
        <f t="shared" si="43"/>
        <v>52563.436649379786</v>
      </c>
      <c r="L72" s="85">
        <f t="shared" si="31"/>
        <v>278386</v>
      </c>
      <c r="M72" s="130">
        <f t="shared" si="44"/>
        <v>330949.43664937979</v>
      </c>
      <c r="N72" s="8">
        <f t="shared" si="45"/>
        <v>7803065.3698181212</v>
      </c>
      <c r="O72" s="84">
        <f t="shared" si="46"/>
        <v>7472115.9331687419</v>
      </c>
    </row>
    <row r="73" spans="1:15" x14ac:dyDescent="0.2">
      <c r="A73" s="96" t="s">
        <v>57</v>
      </c>
      <c r="B73" s="81" t="str">
        <f t="shared" si="41"/>
        <v>Q3/2015</v>
      </c>
      <c r="C73" s="82">
        <f t="shared" si="42"/>
        <v>42186</v>
      </c>
      <c r="D73" s="82">
        <f t="shared" si="42"/>
        <v>42277</v>
      </c>
      <c r="E73" s="81">
        <f t="shared" si="42"/>
        <v>92</v>
      </c>
      <c r="F73" s="83">
        <f t="shared" si="42"/>
        <v>3.2500000000000001E-2</v>
      </c>
      <c r="G73" s="84">
        <f t="shared" si="36"/>
        <v>7472115.9331687419</v>
      </c>
      <c r="H73" s="84">
        <f t="shared" si="47"/>
        <v>0</v>
      </c>
      <c r="I73" s="109">
        <f t="shared" si="47"/>
        <v>10438.570820289115</v>
      </c>
      <c r="J73" s="85">
        <f t="shared" si="48"/>
        <v>40221.788862452871</v>
      </c>
      <c r="K73" s="129">
        <f t="shared" si="43"/>
        <v>50660.359682741982</v>
      </c>
      <c r="L73" s="85">
        <f t="shared" si="31"/>
        <v>278386</v>
      </c>
      <c r="M73" s="130">
        <f t="shared" si="44"/>
        <v>329046.35968274198</v>
      </c>
      <c r="N73" s="8">
        <f t="shared" si="45"/>
        <v>7512337.7220311947</v>
      </c>
      <c r="O73" s="84">
        <f t="shared" si="46"/>
        <v>7183291.3623484531</v>
      </c>
    </row>
    <row r="74" spans="1:15" x14ac:dyDescent="0.2">
      <c r="A74" s="96" t="s">
        <v>58</v>
      </c>
      <c r="B74" s="81" t="str">
        <f t="shared" si="41"/>
        <v>Q4/2015</v>
      </c>
      <c r="C74" s="82">
        <f t="shared" si="42"/>
        <v>42278</v>
      </c>
      <c r="D74" s="82">
        <f t="shared" si="42"/>
        <v>42369</v>
      </c>
      <c r="E74" s="81">
        <f t="shared" si="42"/>
        <v>92</v>
      </c>
      <c r="F74" s="83">
        <f t="shared" si="42"/>
        <v>3.2500000000000001E-2</v>
      </c>
      <c r="G74" s="84">
        <f t="shared" si="36"/>
        <v>7183291.3623484531</v>
      </c>
      <c r="H74" s="84">
        <f t="shared" si="47"/>
        <v>0</v>
      </c>
      <c r="I74" s="109">
        <f t="shared" si="47"/>
        <v>10438.570820289115</v>
      </c>
      <c r="J74" s="85">
        <f t="shared" si="48"/>
        <v>37855.801282308596</v>
      </c>
      <c r="K74" s="129">
        <f t="shared" si="43"/>
        <v>48294.372102597714</v>
      </c>
      <c r="L74" s="85">
        <f t="shared" si="31"/>
        <v>278386</v>
      </c>
      <c r="M74" s="130">
        <f t="shared" si="44"/>
        <v>326680.37210259773</v>
      </c>
      <c r="N74" s="8">
        <f t="shared" si="45"/>
        <v>7221147.1636307621</v>
      </c>
      <c r="O74" s="84">
        <f t="shared" si="46"/>
        <v>6894466.7915281644</v>
      </c>
    </row>
    <row r="75" spans="1:15" x14ac:dyDescent="0.2">
      <c r="A75" s="96" t="s">
        <v>59</v>
      </c>
      <c r="B75" s="81" t="str">
        <f t="shared" si="41"/>
        <v>Q1/2016</v>
      </c>
      <c r="C75" s="82">
        <f t="shared" si="42"/>
        <v>42370</v>
      </c>
      <c r="D75" s="82">
        <f t="shared" si="42"/>
        <v>42460</v>
      </c>
      <c r="E75" s="81">
        <f t="shared" si="42"/>
        <v>91</v>
      </c>
      <c r="F75" s="83">
        <f t="shared" si="42"/>
        <v>3.2500000000000001E-2</v>
      </c>
      <c r="G75" s="84">
        <f t="shared" si="36"/>
        <v>6894466.7915281644</v>
      </c>
      <c r="H75" s="84">
        <f t="shared" si="47"/>
        <v>0</v>
      </c>
      <c r="I75" s="109">
        <f t="shared" si="47"/>
        <v>10438.570820289115</v>
      </c>
      <c r="J75" s="85">
        <f t="shared" si="48"/>
        <v>35008.142139385469</v>
      </c>
      <c r="K75" s="129">
        <f t="shared" si="43"/>
        <v>45446.71295967458</v>
      </c>
      <c r="L75" s="85">
        <f t="shared" si="31"/>
        <v>278386</v>
      </c>
      <c r="M75" s="130">
        <f t="shared" si="44"/>
        <v>323832.71295967459</v>
      </c>
      <c r="N75" s="8">
        <f t="shared" si="45"/>
        <v>6929474.9336675499</v>
      </c>
      <c r="O75" s="84">
        <f t="shared" si="46"/>
        <v>6605642.2207078757</v>
      </c>
    </row>
    <row r="76" spans="1:15" x14ac:dyDescent="0.2">
      <c r="A76" s="96" t="s">
        <v>60</v>
      </c>
      <c r="B76" s="81" t="str">
        <f t="shared" si="41"/>
        <v>Q2/2016</v>
      </c>
      <c r="C76" s="82">
        <f t="shared" si="42"/>
        <v>42461</v>
      </c>
      <c r="D76" s="82">
        <f t="shared" si="42"/>
        <v>42551</v>
      </c>
      <c r="E76" s="81">
        <f t="shared" si="42"/>
        <v>91</v>
      </c>
      <c r="F76" s="83">
        <f t="shared" si="42"/>
        <v>3.4599999999999999E-2</v>
      </c>
      <c r="G76" s="84">
        <f t="shared" si="36"/>
        <v>6605642.2207078747</v>
      </c>
      <c r="H76" s="84">
        <f t="shared" si="47"/>
        <v>0</v>
      </c>
      <c r="I76" s="109">
        <f t="shared" si="47"/>
        <v>10438.570820289115</v>
      </c>
      <c r="J76" s="85">
        <f t="shared" si="48"/>
        <v>34785.526261165782</v>
      </c>
      <c r="K76" s="129">
        <f t="shared" si="43"/>
        <v>45224.097081454893</v>
      </c>
      <c r="L76" s="85">
        <f t="shared" si="31"/>
        <v>278386</v>
      </c>
      <c r="M76" s="130">
        <f t="shared" si="44"/>
        <v>323610.09708145488</v>
      </c>
      <c r="N76" s="8">
        <f t="shared" si="45"/>
        <v>6640427.7469690405</v>
      </c>
      <c r="O76" s="84">
        <f t="shared" si="46"/>
        <v>6316817.649887586</v>
      </c>
    </row>
    <row r="77" spans="1:15" x14ac:dyDescent="0.2">
      <c r="A77" s="96" t="s">
        <v>61</v>
      </c>
      <c r="B77" s="81" t="str">
        <f t="shared" si="41"/>
        <v>Q3/2016</v>
      </c>
      <c r="C77" s="82">
        <f t="shared" si="42"/>
        <v>42552</v>
      </c>
      <c r="D77" s="82">
        <f t="shared" si="42"/>
        <v>42643</v>
      </c>
      <c r="E77" s="81">
        <f t="shared" si="42"/>
        <v>92</v>
      </c>
      <c r="F77" s="83">
        <f t="shared" si="42"/>
        <v>3.5000000000000003E-2</v>
      </c>
      <c r="G77" s="84">
        <f t="shared" si="36"/>
        <v>6316817.649887586</v>
      </c>
      <c r="H77" s="84">
        <f t="shared" si="47"/>
        <v>0</v>
      </c>
      <c r="I77" s="109">
        <f t="shared" si="47"/>
        <v>10438.570820289115</v>
      </c>
      <c r="J77" s="85">
        <f t="shared" si="48"/>
        <v>33033.323864856036</v>
      </c>
      <c r="K77" s="129">
        <f t="shared" si="43"/>
        <v>43471.894685145147</v>
      </c>
      <c r="L77" s="85">
        <f t="shared" si="31"/>
        <v>278386</v>
      </c>
      <c r="M77" s="130">
        <f t="shared" si="44"/>
        <v>321857.89468514512</v>
      </c>
      <c r="N77" s="8">
        <f t="shared" si="45"/>
        <v>6349850.9737524418</v>
      </c>
      <c r="O77" s="84">
        <f t="shared" si="46"/>
        <v>6027993.0790672973</v>
      </c>
    </row>
    <row r="78" spans="1:15" x14ac:dyDescent="0.2">
      <c r="A78" s="96" t="s">
        <v>62</v>
      </c>
      <c r="B78" s="81" t="str">
        <f t="shared" si="41"/>
        <v>Q4/2016</v>
      </c>
      <c r="C78" s="82">
        <f t="shared" si="42"/>
        <v>42644</v>
      </c>
      <c r="D78" s="82">
        <f t="shared" si="42"/>
        <v>42735</v>
      </c>
      <c r="E78" s="81">
        <f t="shared" si="42"/>
        <v>92</v>
      </c>
      <c r="F78" s="83">
        <f t="shared" si="42"/>
        <v>3.5000000000000003E-2</v>
      </c>
      <c r="G78" s="84">
        <f t="shared" si="36"/>
        <v>6027993.0790672973</v>
      </c>
      <c r="H78" s="84">
        <f t="shared" si="47"/>
        <v>0</v>
      </c>
      <c r="I78" s="109">
        <f t="shared" si="47"/>
        <v>10438.570820289115</v>
      </c>
      <c r="J78" s="85">
        <f t="shared" si="48"/>
        <v>30492.298952174802</v>
      </c>
      <c r="K78" s="129">
        <f t="shared" si="43"/>
        <v>40930.869772463921</v>
      </c>
      <c r="L78" s="85">
        <f t="shared" si="31"/>
        <v>278386</v>
      </c>
      <c r="M78" s="130">
        <f t="shared" si="44"/>
        <v>319316.86977246392</v>
      </c>
      <c r="N78" s="8">
        <f t="shared" si="45"/>
        <v>6058485.3780194717</v>
      </c>
      <c r="O78" s="84">
        <f t="shared" si="46"/>
        <v>5739168.5082470085</v>
      </c>
    </row>
    <row r="79" spans="1:15" x14ac:dyDescent="0.2">
      <c r="A79" s="96" t="s">
        <v>63</v>
      </c>
      <c r="B79" s="81" t="str">
        <f t="shared" si="41"/>
        <v>Q1/2017</v>
      </c>
      <c r="C79" s="82">
        <f t="shared" si="42"/>
        <v>42736</v>
      </c>
      <c r="D79" s="82">
        <f t="shared" si="42"/>
        <v>42825</v>
      </c>
      <c r="E79" s="81">
        <f t="shared" si="42"/>
        <v>90</v>
      </c>
      <c r="F79" s="83">
        <f t="shared" si="42"/>
        <v>3.5000000000000003E-2</v>
      </c>
      <c r="G79" s="84">
        <f t="shared" si="36"/>
        <v>5739168.5082470076</v>
      </c>
      <c r="H79" s="84">
        <f t="shared" si="47"/>
        <v>0</v>
      </c>
      <c r="I79" s="109">
        <f t="shared" si="47"/>
        <v>56737.685432202008</v>
      </c>
      <c r="J79" s="85">
        <f>+J23+SUM(J43:J51)</f>
        <v>220624.07005921903</v>
      </c>
      <c r="K79" s="129">
        <f t="shared" si="43"/>
        <v>277361.75549142103</v>
      </c>
      <c r="L79" s="85">
        <f t="shared" si="31"/>
        <v>1513136</v>
      </c>
      <c r="M79" s="130">
        <f t="shared" si="44"/>
        <v>1790497.7554914211</v>
      </c>
      <c r="N79" s="8">
        <f t="shared" si="45"/>
        <v>5959792.578306227</v>
      </c>
      <c r="O79" s="84">
        <f t="shared" si="46"/>
        <v>4169294.8228148054</v>
      </c>
    </row>
    <row r="80" spans="1:15" x14ac:dyDescent="0.2">
      <c r="A80" s="96" t="s">
        <v>64</v>
      </c>
      <c r="B80" s="81" t="str">
        <f t="shared" si="41"/>
        <v>Q2/2017</v>
      </c>
      <c r="C80" s="82">
        <f t="shared" si="42"/>
        <v>42826</v>
      </c>
      <c r="D80" s="82">
        <f t="shared" si="42"/>
        <v>42916</v>
      </c>
      <c r="E80" s="81">
        <f t="shared" si="42"/>
        <v>91</v>
      </c>
      <c r="F80" s="83">
        <f t="shared" si="42"/>
        <v>3.7100000000000001E-2</v>
      </c>
      <c r="G80" s="84">
        <f t="shared" si="36"/>
        <v>4169294.8228148054</v>
      </c>
      <c r="H80" s="84">
        <f t="shared" si="47"/>
        <v>0</v>
      </c>
      <c r="I80" s="109">
        <f t="shared" si="47"/>
        <v>15068.482281480405</v>
      </c>
      <c r="J80" s="85">
        <f t="shared" ref="J80:J89" si="49">+J24+J52</f>
        <v>38564.263702205659</v>
      </c>
      <c r="K80" s="129">
        <f t="shared" si="43"/>
        <v>53632.745983686065</v>
      </c>
      <c r="L80" s="85">
        <f t="shared" si="31"/>
        <v>401861</v>
      </c>
      <c r="M80" s="130">
        <f t="shared" si="44"/>
        <v>455493.74598368607</v>
      </c>
      <c r="N80" s="8">
        <f t="shared" si="45"/>
        <v>4207859.0865170108</v>
      </c>
      <c r="O80" s="84">
        <f t="shared" si="46"/>
        <v>3752365.340533325</v>
      </c>
    </row>
    <row r="81" spans="1:15" x14ac:dyDescent="0.2">
      <c r="A81" s="96" t="s">
        <v>65</v>
      </c>
      <c r="B81" s="81" t="str">
        <f t="shared" si="41"/>
        <v>Q3/2017</v>
      </c>
      <c r="C81" s="82">
        <f t="shared" si="42"/>
        <v>42917</v>
      </c>
      <c r="D81" s="82">
        <f t="shared" si="42"/>
        <v>43008</v>
      </c>
      <c r="E81" s="81">
        <f t="shared" si="42"/>
        <v>92</v>
      </c>
      <c r="F81" s="83">
        <f t="shared" si="42"/>
        <v>3.9600000000000003E-2</v>
      </c>
      <c r="G81" s="84">
        <f t="shared" si="36"/>
        <v>3752365.340533325</v>
      </c>
      <c r="H81" s="84">
        <f t="shared" si="47"/>
        <v>0</v>
      </c>
      <c r="I81" s="109">
        <f t="shared" si="47"/>
        <v>15068.482281480405</v>
      </c>
      <c r="J81" s="85">
        <f t="shared" si="49"/>
        <v>37453.746325016473</v>
      </c>
      <c r="K81" s="129">
        <f t="shared" si="43"/>
        <v>52522.228606496879</v>
      </c>
      <c r="L81" s="85">
        <f t="shared" si="31"/>
        <v>401861</v>
      </c>
      <c r="M81" s="130">
        <f t="shared" si="44"/>
        <v>454383.22860649688</v>
      </c>
      <c r="N81" s="8">
        <f t="shared" si="45"/>
        <v>3789819.0868583415</v>
      </c>
      <c r="O81" s="84">
        <f t="shared" si="46"/>
        <v>3335435.8582518445</v>
      </c>
    </row>
    <row r="82" spans="1:15" x14ac:dyDescent="0.2">
      <c r="A82" s="96" t="s">
        <v>66</v>
      </c>
      <c r="B82" s="81" t="str">
        <f t="shared" si="41"/>
        <v>Q4/2017</v>
      </c>
      <c r="C82" s="82">
        <f t="shared" si="42"/>
        <v>43009</v>
      </c>
      <c r="D82" s="82">
        <f t="shared" si="42"/>
        <v>43100</v>
      </c>
      <c r="E82" s="81">
        <f t="shared" si="42"/>
        <v>92</v>
      </c>
      <c r="F82" s="83">
        <f t="shared" si="42"/>
        <v>4.2099999999999999E-2</v>
      </c>
      <c r="G82" s="84">
        <f t="shared" si="36"/>
        <v>3335435.8582518445</v>
      </c>
      <c r="H82" s="84">
        <f t="shared" si="47"/>
        <v>0</v>
      </c>
      <c r="I82" s="109">
        <f t="shared" si="47"/>
        <v>15068.482281480405</v>
      </c>
      <c r="J82" s="85">
        <f t="shared" si="49"/>
        <v>35394.00045529053</v>
      </c>
      <c r="K82" s="129">
        <f t="shared" si="43"/>
        <v>50462.482736770937</v>
      </c>
      <c r="L82" s="85">
        <f t="shared" si="31"/>
        <v>401861</v>
      </c>
      <c r="M82" s="130">
        <f t="shared" si="44"/>
        <v>452323.48273677094</v>
      </c>
      <c r="N82" s="8">
        <f t="shared" si="45"/>
        <v>3370829.8587071351</v>
      </c>
      <c r="O82" s="84">
        <f t="shared" si="46"/>
        <v>2918506.3759703641</v>
      </c>
    </row>
    <row r="83" spans="1:15" x14ac:dyDescent="0.2">
      <c r="A83" s="96" t="s">
        <v>67</v>
      </c>
      <c r="B83" s="81" t="str">
        <f t="shared" si="41"/>
        <v>Q1/2018</v>
      </c>
      <c r="C83" s="82">
        <f t="shared" si="42"/>
        <v>43101</v>
      </c>
      <c r="D83" s="82">
        <f t="shared" si="42"/>
        <v>43190</v>
      </c>
      <c r="E83" s="81">
        <f t="shared" si="42"/>
        <v>90</v>
      </c>
      <c r="F83" s="83">
        <f t="shared" si="42"/>
        <v>4.2500000000000003E-2</v>
      </c>
      <c r="G83" s="84">
        <f t="shared" si="36"/>
        <v>2918506.3759703641</v>
      </c>
      <c r="H83" s="84">
        <f t="shared" si="47"/>
        <v>0</v>
      </c>
      <c r="I83" s="109">
        <f t="shared" si="47"/>
        <v>15068.482281480405</v>
      </c>
      <c r="J83" s="85">
        <f t="shared" si="49"/>
        <v>30584.347638593543</v>
      </c>
      <c r="K83" s="129">
        <f t="shared" si="43"/>
        <v>45652.829920073949</v>
      </c>
      <c r="L83" s="85">
        <f t="shared" si="31"/>
        <v>401861</v>
      </c>
      <c r="M83" s="130">
        <f t="shared" si="44"/>
        <v>447513.82992007397</v>
      </c>
      <c r="N83" s="8">
        <f t="shared" si="45"/>
        <v>2949090.7236089576</v>
      </c>
      <c r="O83" s="84">
        <f t="shared" si="46"/>
        <v>2501576.8936888836</v>
      </c>
    </row>
    <row r="84" spans="1:15" x14ac:dyDescent="0.2">
      <c r="A84" s="96" t="s">
        <v>68</v>
      </c>
      <c r="B84" s="81" t="str">
        <f t="shared" si="41"/>
        <v>Q2/2018</v>
      </c>
      <c r="C84" s="82">
        <f t="shared" si="42"/>
        <v>43191</v>
      </c>
      <c r="D84" s="82">
        <f t="shared" si="42"/>
        <v>43281</v>
      </c>
      <c r="E84" s="81">
        <f t="shared" si="42"/>
        <v>91</v>
      </c>
      <c r="F84" s="83">
        <f t="shared" si="42"/>
        <v>4.4699999999999997E-2</v>
      </c>
      <c r="G84" s="84">
        <f t="shared" si="36"/>
        <v>2501576.8936888836</v>
      </c>
      <c r="H84" s="84">
        <f t="shared" si="47"/>
        <v>0</v>
      </c>
      <c r="I84" s="109">
        <f t="shared" si="47"/>
        <v>15068.482281480405</v>
      </c>
      <c r="J84" s="85">
        <f t="shared" si="49"/>
        <v>27878.532412214445</v>
      </c>
      <c r="K84" s="129">
        <f t="shared" si="43"/>
        <v>42947.014693694851</v>
      </c>
      <c r="L84" s="85">
        <f t="shared" si="31"/>
        <v>401861</v>
      </c>
      <c r="M84" s="130">
        <f t="shared" si="44"/>
        <v>444808.01469369483</v>
      </c>
      <c r="N84" s="8">
        <f t="shared" si="45"/>
        <v>2529455.4261010983</v>
      </c>
      <c r="O84" s="84">
        <f t="shared" si="46"/>
        <v>2084647.4114074032</v>
      </c>
    </row>
    <row r="85" spans="1:15" x14ac:dyDescent="0.2">
      <c r="A85" s="96" t="s">
        <v>69</v>
      </c>
      <c r="B85" s="81" t="str">
        <f t="shared" si="41"/>
        <v>Q3/2018</v>
      </c>
      <c r="C85" s="82">
        <f t="shared" si="42"/>
        <v>43282</v>
      </c>
      <c r="D85" s="82">
        <f t="shared" si="42"/>
        <v>43373</v>
      </c>
      <c r="E85" s="81">
        <f t="shared" si="42"/>
        <v>92</v>
      </c>
      <c r="F85" s="83">
        <f t="shared" si="42"/>
        <v>5.011111E-2</v>
      </c>
      <c r="G85" s="84">
        <f t="shared" si="36"/>
        <v>2084647.4114074032</v>
      </c>
      <c r="H85" s="84">
        <f t="shared" si="47"/>
        <v>0</v>
      </c>
      <c r="I85" s="109">
        <f t="shared" si="47"/>
        <v>15068.482281480405</v>
      </c>
      <c r="J85" s="85">
        <f t="shared" si="49"/>
        <v>26330.650982112744</v>
      </c>
      <c r="K85" s="129">
        <f t="shared" si="43"/>
        <v>41399.133263593147</v>
      </c>
      <c r="L85" s="85">
        <f t="shared" si="31"/>
        <v>401861</v>
      </c>
      <c r="M85" s="130">
        <f t="shared" si="44"/>
        <v>443260.13326359313</v>
      </c>
      <c r="N85" s="8">
        <f t="shared" si="45"/>
        <v>2110978.0623895158</v>
      </c>
      <c r="O85" s="84">
        <f t="shared" si="46"/>
        <v>1667717.9291259227</v>
      </c>
    </row>
    <row r="86" spans="1:15" x14ac:dyDescent="0.2">
      <c r="A86" s="96" t="s">
        <v>70</v>
      </c>
      <c r="B86" s="81" t="str">
        <f t="shared" si="41"/>
        <v>Q4/2018</v>
      </c>
      <c r="C86" s="82">
        <f t="shared" si="42"/>
        <v>43374</v>
      </c>
      <c r="D86" s="82">
        <f t="shared" si="42"/>
        <v>43465</v>
      </c>
      <c r="E86" s="81">
        <f t="shared" si="42"/>
        <v>92</v>
      </c>
      <c r="F86" s="83">
        <f t="shared" si="42"/>
        <v>5.2822580000000001E-2</v>
      </c>
      <c r="G86" s="84">
        <f t="shared" si="36"/>
        <v>1667717.9291259227</v>
      </c>
      <c r="H86" s="84">
        <f t="shared" si="47"/>
        <v>0</v>
      </c>
      <c r="I86" s="109">
        <f t="shared" si="47"/>
        <v>15068.482281480405</v>
      </c>
      <c r="J86" s="85">
        <f t="shared" si="49"/>
        <v>22204.304282299541</v>
      </c>
      <c r="K86" s="129">
        <f t="shared" si="43"/>
        <v>37272.786563779948</v>
      </c>
      <c r="L86" s="85">
        <f t="shared" si="31"/>
        <v>401861</v>
      </c>
      <c r="M86" s="130">
        <f t="shared" si="44"/>
        <v>439133.78656377993</v>
      </c>
      <c r="N86" s="8">
        <f t="shared" si="45"/>
        <v>1689922.2334082222</v>
      </c>
      <c r="O86" s="84">
        <f t="shared" si="46"/>
        <v>1250788.4468444423</v>
      </c>
    </row>
    <row r="87" spans="1:15" x14ac:dyDescent="0.2">
      <c r="A87" s="96" t="s">
        <v>71</v>
      </c>
      <c r="B87" s="81" t="str">
        <f t="shared" si="41"/>
        <v>Q1/2019</v>
      </c>
      <c r="C87" s="82">
        <f t="shared" si="42"/>
        <v>43466</v>
      </c>
      <c r="D87" s="82">
        <f t="shared" si="42"/>
        <v>43555</v>
      </c>
      <c r="E87" s="81">
        <f t="shared" si="42"/>
        <v>90</v>
      </c>
      <c r="F87" s="83">
        <f t="shared" si="42"/>
        <v>5.5296770000000002E-2</v>
      </c>
      <c r="G87" s="84">
        <f t="shared" si="36"/>
        <v>1250788.4468444423</v>
      </c>
      <c r="H87" s="84">
        <f t="shared" si="47"/>
        <v>0</v>
      </c>
      <c r="I87" s="109">
        <f t="shared" si="47"/>
        <v>15068.482281480405</v>
      </c>
      <c r="J87" s="85">
        <f t="shared" si="49"/>
        <v>17054.275330803539</v>
      </c>
      <c r="K87" s="129">
        <f t="shared" si="43"/>
        <v>32122.757612283945</v>
      </c>
      <c r="L87" s="85">
        <f t="shared" si="31"/>
        <v>401861</v>
      </c>
      <c r="M87" s="130">
        <f t="shared" si="44"/>
        <v>433983.75761228392</v>
      </c>
      <c r="N87" s="8">
        <f t="shared" si="45"/>
        <v>1267842.7221752459</v>
      </c>
      <c r="O87" s="84">
        <f t="shared" si="46"/>
        <v>833858.96456296183</v>
      </c>
    </row>
    <row r="88" spans="1:15" x14ac:dyDescent="0.2">
      <c r="A88" s="96" t="s">
        <v>72</v>
      </c>
      <c r="B88" s="81" t="str">
        <f t="shared" si="41"/>
        <v>Q2/2019</v>
      </c>
      <c r="C88" s="82">
        <f t="shared" si="42"/>
        <v>43556</v>
      </c>
      <c r="D88" s="82">
        <f t="shared" si="42"/>
        <v>43646</v>
      </c>
      <c r="E88" s="81">
        <f t="shared" si="42"/>
        <v>91</v>
      </c>
      <c r="F88" s="83">
        <f t="shared" si="42"/>
        <v>5.7999999999999996E-2</v>
      </c>
      <c r="G88" s="84">
        <f t="shared" si="36"/>
        <v>833858.96456296195</v>
      </c>
      <c r="H88" s="84">
        <f t="shared" si="47"/>
        <v>0</v>
      </c>
      <c r="I88" s="109">
        <f t="shared" si="47"/>
        <v>15068.482281480405</v>
      </c>
      <c r="J88" s="85">
        <f t="shared" si="49"/>
        <v>12057.829082091268</v>
      </c>
      <c r="K88" s="129">
        <f t="shared" si="43"/>
        <v>27126.311363571673</v>
      </c>
      <c r="L88" s="85">
        <f t="shared" si="31"/>
        <v>401861</v>
      </c>
      <c r="M88" s="130">
        <f t="shared" si="44"/>
        <v>428987.31136357167</v>
      </c>
      <c r="N88" s="8">
        <f t="shared" si="45"/>
        <v>845916.79364505317</v>
      </c>
      <c r="O88" s="84">
        <f t="shared" si="46"/>
        <v>416929.48228148156</v>
      </c>
    </row>
    <row r="89" spans="1:15" x14ac:dyDescent="0.2">
      <c r="A89" s="96" t="s">
        <v>73</v>
      </c>
      <c r="B89" s="81" t="str">
        <f t="shared" si="41"/>
        <v>Q3/2019</v>
      </c>
      <c r="C89" s="82">
        <f t="shared" si="42"/>
        <v>43647</v>
      </c>
      <c r="D89" s="82">
        <f t="shared" si="42"/>
        <v>43738</v>
      </c>
      <c r="E89" s="81">
        <f t="shared" si="42"/>
        <v>92</v>
      </c>
      <c r="F89" s="83">
        <f t="shared" si="42"/>
        <v>0.06</v>
      </c>
      <c r="G89" s="84">
        <f t="shared" si="36"/>
        <v>416929.4822814815</v>
      </c>
      <c r="H89" s="84">
        <f t="shared" si="47"/>
        <v>0</v>
      </c>
      <c r="I89" s="109">
        <f t="shared" si="47"/>
        <v>15068.482281480405</v>
      </c>
      <c r="J89" s="85">
        <f t="shared" si="49"/>
        <v>6305.3444991610349</v>
      </c>
      <c r="K89" s="129">
        <f t="shared" si="43"/>
        <v>21373.826780641441</v>
      </c>
      <c r="L89" s="85">
        <f t="shared" si="31"/>
        <v>401861</v>
      </c>
      <c r="M89" s="130">
        <f t="shared" si="44"/>
        <v>423234.82678064145</v>
      </c>
      <c r="N89" s="8">
        <f t="shared" si="45"/>
        <v>423234.82678064256</v>
      </c>
      <c r="O89" s="84">
        <f t="shared" si="46"/>
        <v>1.0932126315310597E-9</v>
      </c>
    </row>
    <row r="90" spans="1:15" x14ac:dyDescent="0.2">
      <c r="A90" s="11"/>
      <c r="B90" s="98"/>
      <c r="C90" s="98"/>
      <c r="D90" s="10"/>
      <c r="E90" s="11"/>
      <c r="F90" s="85"/>
      <c r="G90" s="85"/>
      <c r="H90" s="70"/>
      <c r="I90" s="115"/>
      <c r="J90" s="12"/>
      <c r="K90" s="85"/>
      <c r="L90" s="117"/>
      <c r="M90" s="131"/>
    </row>
    <row r="91" spans="1:15" ht="13.5" thickBot="1" x14ac:dyDescent="0.25">
      <c r="A91" s="151"/>
      <c r="B91" s="151"/>
      <c r="C91" s="151"/>
      <c r="D91" s="151"/>
      <c r="E91" s="151"/>
      <c r="F91" s="151"/>
      <c r="G91" s="79">
        <f t="shared" ref="G91:O91" si="50">+SUM(G70:G90)</f>
        <v>93252159.41288285</v>
      </c>
      <c r="H91" s="79">
        <f>+SUM(H66:H90)</f>
        <v>301369.64562960807</v>
      </c>
      <c r="I91" s="119">
        <f t="shared" si="50"/>
        <v>301369.64562960796</v>
      </c>
      <c r="J91" s="79">
        <f t="shared" si="50"/>
        <v>771949.62024355866</v>
      </c>
      <c r="K91" s="79">
        <f t="shared" si="50"/>
        <v>1073319.2658731667</v>
      </c>
      <c r="L91" s="79">
        <f t="shared" si="50"/>
        <v>8037220</v>
      </c>
      <c r="M91" s="120">
        <f t="shared" si="50"/>
        <v>9110539.2658731677</v>
      </c>
      <c r="N91" s="79">
        <f t="shared" si="50"/>
        <v>94091861.915108085</v>
      </c>
      <c r="O91" s="79">
        <f t="shared" si="50"/>
        <v>84981322.649234906</v>
      </c>
    </row>
    <row r="92" spans="1:15" ht="14.25" thickTop="1" thickBot="1" x14ac:dyDescent="0.25">
      <c r="G92" s="8"/>
      <c r="H92" s="8"/>
      <c r="I92" s="267"/>
      <c r="J92" s="268"/>
      <c r="K92" s="268"/>
      <c r="L92" s="268"/>
      <c r="M92" s="269"/>
      <c r="N92" s="8"/>
      <c r="O92" s="8"/>
    </row>
    <row r="93" spans="1:15" x14ac:dyDescent="0.2">
      <c r="G93" s="8"/>
      <c r="H93" s="8"/>
      <c r="I93" s="8"/>
      <c r="J93" s="8"/>
      <c r="K93" s="8"/>
      <c r="L93" s="8"/>
      <c r="M93" s="8"/>
      <c r="N93" s="8"/>
      <c r="O93" s="8"/>
    </row>
  </sheetData>
  <mergeCells count="2">
    <mergeCell ref="A10:B11"/>
    <mergeCell ref="A38:B39"/>
  </mergeCells>
  <pageMargins left="0.7" right="0.7" top="0.75" bottom="0.75" header="0.3" footer="0.3"/>
  <pageSetup scale="55" fitToHeight="0" orientation="landscape" r:id="rId1"/>
  <headerFooter alignWithMargins="0">
    <oddHeader>&amp;RTO2019 Annual Update
Attachment 4
WP Schedule 22
Page &amp;P of &amp;N</oddHeader>
    <oddFooter>&amp;R&amp;A</oddFooter>
  </headerFooter>
  <rowBreaks count="1" manualBreakCount="1">
    <brk id="63" max="1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8"/>
  <sheetViews>
    <sheetView zoomScale="80" zoomScaleNormal="80" workbookViewId="0"/>
  </sheetViews>
  <sheetFormatPr defaultColWidth="9.140625" defaultRowHeight="12.75" x14ac:dyDescent="0.2"/>
  <cols>
    <col min="1" max="1" width="10.28515625" style="59" customWidth="1"/>
    <col min="2" max="2" width="13.5703125" style="59" customWidth="1"/>
    <col min="3" max="3" width="16.28515625" style="59" bestFit="1" customWidth="1"/>
    <col min="4" max="4" width="16" style="59" customWidth="1"/>
    <col min="5" max="5" width="12.42578125" style="59" customWidth="1"/>
    <col min="6" max="6" width="15.42578125" style="59" bestFit="1" customWidth="1"/>
    <col min="7" max="7" width="17" style="59" bestFit="1" customWidth="1"/>
    <col min="8" max="9" width="16.140625" style="59" customWidth="1"/>
    <col min="10" max="10" width="17.28515625" style="59" bestFit="1" customWidth="1"/>
    <col min="11" max="11" width="16.140625" style="59" customWidth="1"/>
    <col min="12" max="12" width="17.85546875" style="59" customWidth="1"/>
    <col min="13" max="13" width="16.140625" style="59" customWidth="1"/>
    <col min="14" max="14" width="17" style="59" bestFit="1" customWidth="1"/>
    <col min="15" max="15" width="17.28515625" style="59" customWidth="1"/>
    <col min="16" max="18" width="16.140625" style="59" customWidth="1"/>
    <col min="19" max="19" width="16" style="59" customWidth="1"/>
    <col min="20" max="16384" width="9.140625" style="59"/>
  </cols>
  <sheetData>
    <row r="1" spans="1:17" s="258" customFormat="1" ht="51" x14ac:dyDescent="0.2">
      <c r="A1" s="191" t="s">
        <v>8</v>
      </c>
      <c r="B1" s="191" t="s">
        <v>88</v>
      </c>
      <c r="C1" s="191" t="s">
        <v>2</v>
      </c>
      <c r="D1" s="191" t="s">
        <v>116</v>
      </c>
      <c r="E1" s="191" t="s">
        <v>1</v>
      </c>
      <c r="F1" s="191" t="s">
        <v>74</v>
      </c>
      <c r="G1" s="191" t="s">
        <v>48</v>
      </c>
      <c r="H1" s="257"/>
      <c r="I1" s="257"/>
      <c r="J1" s="257"/>
      <c r="K1" s="257"/>
      <c r="L1" s="257"/>
      <c r="M1" s="257"/>
    </row>
    <row r="2" spans="1:17" ht="12.75" customHeight="1" x14ac:dyDescent="0.2">
      <c r="A2" s="195" t="s">
        <v>58</v>
      </c>
      <c r="B2" s="61">
        <v>41166</v>
      </c>
      <c r="C2" s="55">
        <v>306000</v>
      </c>
      <c r="D2" s="55">
        <v>24000</v>
      </c>
      <c r="E2" s="55">
        <v>0</v>
      </c>
      <c r="F2" s="55">
        <v>0</v>
      </c>
      <c r="G2" s="7">
        <f t="shared" ref="G2:G14" si="0">SUM(C2:F2)</f>
        <v>330000</v>
      </c>
      <c r="H2"/>
      <c r="I2"/>
      <c r="J2"/>
      <c r="K2"/>
      <c r="L2"/>
      <c r="M2"/>
    </row>
    <row r="3" spans="1:17" ht="12.75" customHeight="1" x14ac:dyDescent="0.2">
      <c r="A3" s="195" t="s">
        <v>59</v>
      </c>
      <c r="B3" s="61">
        <v>41288</v>
      </c>
      <c r="C3" s="55">
        <v>312000</v>
      </c>
      <c r="D3" s="55">
        <v>24000</v>
      </c>
      <c r="E3" s="55">
        <v>0</v>
      </c>
      <c r="F3" s="55">
        <v>0</v>
      </c>
      <c r="G3" s="7">
        <f t="shared" si="0"/>
        <v>336000</v>
      </c>
      <c r="H3"/>
      <c r="I3"/>
      <c r="J3"/>
      <c r="K3"/>
      <c r="L3"/>
      <c r="M3"/>
    </row>
    <row r="4" spans="1:17" collapsed="1" x14ac:dyDescent="0.2">
      <c r="A4" s="195" t="s">
        <v>60</v>
      </c>
      <c r="B4" s="61">
        <v>41359</v>
      </c>
      <c r="C4" s="55">
        <v>315000</v>
      </c>
      <c r="D4" s="55">
        <v>24000</v>
      </c>
      <c r="E4" s="55">
        <v>0</v>
      </c>
      <c r="F4" s="55">
        <v>0</v>
      </c>
      <c r="G4" s="7">
        <f t="shared" si="0"/>
        <v>339000</v>
      </c>
      <c r="H4"/>
      <c r="I4"/>
      <c r="J4"/>
      <c r="K4"/>
      <c r="L4"/>
      <c r="M4"/>
    </row>
    <row r="5" spans="1:17" x14ac:dyDescent="0.2">
      <c r="A5" s="195" t="s">
        <v>61</v>
      </c>
      <c r="B5" s="61">
        <v>41499</v>
      </c>
      <c r="C5" s="55">
        <v>315000</v>
      </c>
      <c r="D5" s="55">
        <v>24000</v>
      </c>
      <c r="E5" s="55">
        <v>0</v>
      </c>
      <c r="F5" s="55">
        <v>0</v>
      </c>
      <c r="G5" s="7">
        <f t="shared" si="0"/>
        <v>339000</v>
      </c>
      <c r="H5"/>
      <c r="I5"/>
      <c r="J5"/>
      <c r="K5"/>
      <c r="L5"/>
      <c r="M5"/>
    </row>
    <row r="6" spans="1:17" ht="12.75" customHeight="1" x14ac:dyDescent="0.2">
      <c r="A6" s="195" t="s">
        <v>62</v>
      </c>
      <c r="B6" s="61">
        <v>41540</v>
      </c>
      <c r="C6" s="55">
        <v>431000</v>
      </c>
      <c r="D6" s="55">
        <v>34000</v>
      </c>
      <c r="E6" s="55">
        <v>0</v>
      </c>
      <c r="F6" s="55">
        <v>0</v>
      </c>
      <c r="G6" s="7">
        <f t="shared" si="0"/>
        <v>465000</v>
      </c>
      <c r="H6"/>
      <c r="I6"/>
      <c r="J6"/>
      <c r="K6"/>
      <c r="L6"/>
      <c r="M6"/>
    </row>
    <row r="7" spans="1:17" x14ac:dyDescent="0.2">
      <c r="A7" s="195" t="s">
        <v>63</v>
      </c>
      <c r="B7" s="61">
        <v>41628</v>
      </c>
      <c r="C7" s="55">
        <v>1184000</v>
      </c>
      <c r="D7" s="55">
        <v>95000</v>
      </c>
      <c r="E7" s="55">
        <v>0</v>
      </c>
      <c r="F7" s="55">
        <v>0</v>
      </c>
      <c r="G7" s="7">
        <f t="shared" si="0"/>
        <v>1279000</v>
      </c>
      <c r="H7"/>
      <c r="I7"/>
      <c r="J7"/>
      <c r="K7"/>
      <c r="L7"/>
      <c r="M7"/>
    </row>
    <row r="8" spans="1:17" x14ac:dyDescent="0.2">
      <c r="A8" s="195" t="s">
        <v>64</v>
      </c>
      <c r="B8" s="61">
        <v>41722</v>
      </c>
      <c r="C8" s="55">
        <v>2040000</v>
      </c>
      <c r="D8" s="55">
        <v>166000</v>
      </c>
      <c r="E8" s="55">
        <v>0</v>
      </c>
      <c r="F8" s="55">
        <v>0</v>
      </c>
      <c r="G8" s="7">
        <f t="shared" si="0"/>
        <v>2206000</v>
      </c>
      <c r="H8"/>
      <c r="I8"/>
      <c r="J8"/>
      <c r="K8"/>
      <c r="L8"/>
      <c r="M8"/>
    </row>
    <row r="9" spans="1:17" x14ac:dyDescent="0.2">
      <c r="A9" s="195" t="s">
        <v>65</v>
      </c>
      <c r="B9" s="61">
        <v>41813</v>
      </c>
      <c r="C9" s="55">
        <v>4643000</v>
      </c>
      <c r="D9" s="55">
        <v>378000</v>
      </c>
      <c r="E9" s="55">
        <v>0</v>
      </c>
      <c r="F9" s="55">
        <v>0</v>
      </c>
      <c r="G9" s="7">
        <f t="shared" si="0"/>
        <v>5021000</v>
      </c>
      <c r="H9"/>
      <c r="I9"/>
      <c r="J9"/>
      <c r="K9"/>
      <c r="L9"/>
      <c r="M9"/>
    </row>
    <row r="10" spans="1:17" x14ac:dyDescent="0.2">
      <c r="A10" s="195" t="s">
        <v>66</v>
      </c>
      <c r="B10" s="61">
        <v>41904</v>
      </c>
      <c r="C10" s="55">
        <v>11247000</v>
      </c>
      <c r="D10" s="55">
        <v>914000</v>
      </c>
      <c r="E10" s="55">
        <v>0</v>
      </c>
      <c r="F10" s="55">
        <v>0</v>
      </c>
      <c r="G10" s="7">
        <f t="shared" si="0"/>
        <v>12161000</v>
      </c>
      <c r="H10"/>
      <c r="I10"/>
      <c r="J10"/>
      <c r="K10"/>
      <c r="L10"/>
      <c r="M10"/>
    </row>
    <row r="11" spans="1:17" x14ac:dyDescent="0.2">
      <c r="A11" s="195" t="s">
        <v>67</v>
      </c>
      <c r="B11" s="61">
        <v>41997</v>
      </c>
      <c r="C11" s="55">
        <v>5149000</v>
      </c>
      <c r="D11" s="55">
        <v>417000</v>
      </c>
      <c r="E11" s="55">
        <v>0</v>
      </c>
      <c r="F11" s="55">
        <v>0</v>
      </c>
      <c r="G11" s="7">
        <f t="shared" si="0"/>
        <v>5566000</v>
      </c>
      <c r="H11"/>
      <c r="I11"/>
      <c r="J11"/>
      <c r="K11"/>
      <c r="L11"/>
      <c r="M11"/>
    </row>
    <row r="12" spans="1:17" collapsed="1" x14ac:dyDescent="0.2">
      <c r="A12" s="195" t="s">
        <v>68</v>
      </c>
      <c r="B12" s="61">
        <v>42102</v>
      </c>
      <c r="C12" s="55">
        <v>6718000</v>
      </c>
      <c r="D12" s="55">
        <v>547000</v>
      </c>
      <c r="E12" s="55">
        <v>0</v>
      </c>
      <c r="F12" s="55">
        <v>0</v>
      </c>
      <c r="G12" s="7">
        <f t="shared" si="0"/>
        <v>7265000</v>
      </c>
      <c r="H12"/>
      <c r="I12"/>
      <c r="J12"/>
      <c r="K12"/>
      <c r="L12"/>
      <c r="M12"/>
    </row>
    <row r="13" spans="1:17" x14ac:dyDescent="0.2">
      <c r="A13" s="195" t="s">
        <v>69</v>
      </c>
      <c r="B13" s="61">
        <v>42192</v>
      </c>
      <c r="C13" s="55">
        <v>3082000</v>
      </c>
      <c r="D13" s="55">
        <v>253000</v>
      </c>
      <c r="E13" s="55">
        <v>0</v>
      </c>
      <c r="F13" s="55">
        <v>0</v>
      </c>
      <c r="G13" s="7">
        <f t="shared" si="0"/>
        <v>3335000</v>
      </c>
      <c r="H13"/>
      <c r="I13"/>
      <c r="J13"/>
      <c r="K13"/>
      <c r="L13"/>
      <c r="M13"/>
    </row>
    <row r="14" spans="1:17" x14ac:dyDescent="0.2">
      <c r="A14" s="195" t="s">
        <v>70</v>
      </c>
      <c r="B14" s="61">
        <v>42257</v>
      </c>
      <c r="C14" s="55">
        <v>854000</v>
      </c>
      <c r="D14" s="55">
        <v>0</v>
      </c>
      <c r="E14" s="55">
        <v>0</v>
      </c>
      <c r="F14" s="55">
        <v>0</v>
      </c>
      <c r="G14" s="7">
        <f t="shared" si="0"/>
        <v>854000</v>
      </c>
      <c r="H14"/>
      <c r="I14"/>
      <c r="J14"/>
      <c r="K14"/>
      <c r="L14"/>
      <c r="M14"/>
    </row>
    <row r="15" spans="1:17" ht="13.5" thickBot="1" x14ac:dyDescent="0.25">
      <c r="B15" s="58" t="s">
        <v>0</v>
      </c>
      <c r="C15" s="196">
        <f>SUM(C2:C14)</f>
        <v>36596000</v>
      </c>
      <c r="D15" s="196">
        <f>SUM(D2:D14)</f>
        <v>2900000</v>
      </c>
      <c r="E15" s="196">
        <f>SUM(E2:E14)</f>
        <v>0</v>
      </c>
      <c r="F15" s="196">
        <f>SUM(F2:F14)</f>
        <v>0</v>
      </c>
      <c r="G15" s="196">
        <f>SUM(G2:G14)</f>
        <v>39496000</v>
      </c>
      <c r="H15"/>
      <c r="I15"/>
      <c r="J15"/>
      <c r="K15"/>
      <c r="L15"/>
      <c r="M15"/>
    </row>
    <row r="16" spans="1:17" ht="13.5" thickTop="1" x14ac:dyDescent="0.2">
      <c r="A16" s="60" t="s">
        <v>19</v>
      </c>
      <c r="B16" s="62" t="s">
        <v>22</v>
      </c>
      <c r="C16" s="64">
        <v>0</v>
      </c>
      <c r="D16" s="64">
        <v>0</v>
      </c>
      <c r="E16" s="64">
        <v>0</v>
      </c>
      <c r="F16" s="64">
        <v>0</v>
      </c>
      <c r="G16" s="64">
        <f>SUM(C16:F16)</f>
        <v>0</v>
      </c>
      <c r="J16" s="198"/>
      <c r="K16" s="199" t="s">
        <v>14</v>
      </c>
      <c r="L16" s="259" t="s">
        <v>13</v>
      </c>
      <c r="M16"/>
      <c r="Q16" s="200"/>
    </row>
    <row r="17" spans="1:18" x14ac:dyDescent="0.2">
      <c r="A17" s="60" t="s">
        <v>20</v>
      </c>
      <c r="B17" s="62" t="s">
        <v>22</v>
      </c>
      <c r="C17" s="64">
        <v>0</v>
      </c>
      <c r="D17" s="64">
        <v>0</v>
      </c>
      <c r="E17" s="64">
        <v>0</v>
      </c>
      <c r="F17" s="64">
        <v>0</v>
      </c>
      <c r="G17" s="64">
        <f>SUM(C17:F17)</f>
        <v>0</v>
      </c>
      <c r="J17" s="201" t="s">
        <v>11</v>
      </c>
      <c r="K17" s="202">
        <v>42199</v>
      </c>
      <c r="L17" s="260">
        <f>K17</f>
        <v>42199</v>
      </c>
      <c r="M17"/>
    </row>
    <row r="18" spans="1:18" ht="13.5" thickBot="1" x14ac:dyDescent="0.25">
      <c r="B18" s="58" t="s">
        <v>52</v>
      </c>
      <c r="C18" s="196">
        <f>+SUM(C15:C17)</f>
        <v>36596000</v>
      </c>
      <c r="D18" s="196">
        <f>+SUM(D15:D17)</f>
        <v>2900000</v>
      </c>
      <c r="E18" s="196">
        <f>+SUM(E15:E17)</f>
        <v>0</v>
      </c>
      <c r="F18" s="196">
        <f>+SUM(F15:F17)</f>
        <v>0</v>
      </c>
      <c r="G18" s="196">
        <f>+SUM(G15:G17)</f>
        <v>39496000</v>
      </c>
      <c r="J18" s="203" t="s">
        <v>17</v>
      </c>
      <c r="K18" s="204">
        <v>42602</v>
      </c>
      <c r="L18" s="261">
        <v>42612</v>
      </c>
      <c r="M18"/>
    </row>
    <row r="19" spans="1:18" ht="14.25" thickTop="1" thickBot="1" x14ac:dyDescent="0.25">
      <c r="B19" s="58"/>
      <c r="C19" s="63"/>
      <c r="D19" s="63"/>
      <c r="E19" s="63"/>
      <c r="F19" s="63"/>
      <c r="I19" s="64"/>
      <c r="J19" s="64"/>
      <c r="K19" s="64"/>
      <c r="L19" s="64"/>
      <c r="M19" s="64"/>
      <c r="N19" s="64"/>
      <c r="O19" s="64"/>
      <c r="P19" s="64"/>
      <c r="Q19" s="64"/>
      <c r="R19" s="64"/>
    </row>
    <row r="20" spans="1:18" x14ac:dyDescent="0.2">
      <c r="B20" s="225"/>
      <c r="C20" s="65"/>
      <c r="D20" s="60"/>
      <c r="I20" s="205"/>
      <c r="J20" s="313" t="s">
        <v>2</v>
      </c>
      <c r="K20" s="313"/>
      <c r="L20" s="206" t="s">
        <v>54</v>
      </c>
      <c r="M20" s="207"/>
    </row>
    <row r="21" spans="1:18" ht="36.75" x14ac:dyDescent="0.2">
      <c r="A21" s="208" t="s">
        <v>53</v>
      </c>
      <c r="B21" s="208" t="s">
        <v>3</v>
      </c>
      <c r="C21" s="208" t="s">
        <v>4</v>
      </c>
      <c r="D21" s="208" t="s">
        <v>5</v>
      </c>
      <c r="E21" s="208" t="s">
        <v>6</v>
      </c>
      <c r="F21" s="208" t="s">
        <v>7</v>
      </c>
      <c r="G21" s="208" t="s">
        <v>80</v>
      </c>
      <c r="H21" s="208" t="s">
        <v>81</v>
      </c>
      <c r="I21" s="192" t="s">
        <v>82</v>
      </c>
      <c r="J21" s="193" t="s">
        <v>83</v>
      </c>
      <c r="K21" s="193" t="s">
        <v>84</v>
      </c>
      <c r="L21" s="193" t="s">
        <v>85</v>
      </c>
      <c r="M21" s="194" t="s">
        <v>75</v>
      </c>
      <c r="N21" s="208" t="s">
        <v>86</v>
      </c>
      <c r="O21" s="208" t="s">
        <v>87</v>
      </c>
    </row>
    <row r="22" spans="1:18" x14ac:dyDescent="0.2">
      <c r="A22" s="195" t="s">
        <v>22</v>
      </c>
      <c r="B22" s="209" t="str">
        <f t="shared" ref="B22:B44" si="1">+IF(MONTH(C22)&lt;4,"Q1",IF(MONTH(C22)&lt;7,"Q2",IF(MONTH(C22)&lt;10,"Q3","Q4")))&amp;"/"&amp;YEAR(C22)</f>
        <v>Q3/2015</v>
      </c>
      <c r="C22" s="210">
        <f>+L17</f>
        <v>42199</v>
      </c>
      <c r="D22" s="210">
        <f t="shared" ref="D22:D44" si="2">DATE(YEAR(C22),IF(MONTH(C22)&lt;=3,3,IF(MONTH(C22)&lt;=6,6,IF(MONTH(C22)&lt;=9,9,12))),IF(OR(MONTH(C22)&lt;=3,MONTH(C22)&gt;=10),31,30))</f>
        <v>42277</v>
      </c>
      <c r="E22" s="209">
        <f t="shared" ref="E22:E44" si="3">D22-C22+1</f>
        <v>79</v>
      </c>
      <c r="F22" s="83">
        <f>VLOOKUP(D22,'FERC Interest Rate'!$A:$B,2,TRUE)</f>
        <v>3.2500000000000001E-2</v>
      </c>
      <c r="G22" s="84">
        <f>+G18</f>
        <v>39496000</v>
      </c>
      <c r="H22" s="84">
        <f>G22*F22*(E22/(DATE(YEAR(D22),12,31)-DATE(YEAR(D22),1,1)+1))</f>
        <v>277824.60273972602</v>
      </c>
      <c r="I22" s="109">
        <v>0</v>
      </c>
      <c r="J22" s="69">
        <v>0</v>
      </c>
      <c r="K22" s="211">
        <f t="shared" ref="K22:K41" si="4">+SUM(I22:J22)</f>
        <v>0</v>
      </c>
      <c r="L22" s="69">
        <v>0</v>
      </c>
      <c r="M22" s="212">
        <v>0</v>
      </c>
      <c r="N22" s="64">
        <f t="shared" ref="N22:N44" si="5">+G22+H22+J22</f>
        <v>39773824.602739729</v>
      </c>
      <c r="O22" s="84">
        <f>+N22-M22</f>
        <v>39773824.602739729</v>
      </c>
    </row>
    <row r="23" spans="1:18" x14ac:dyDescent="0.2">
      <c r="A23" s="195" t="s">
        <v>22</v>
      </c>
      <c r="B23" s="209" t="str">
        <f t="shared" si="1"/>
        <v>Q4/2015</v>
      </c>
      <c r="C23" s="210">
        <f t="shared" ref="C23:C44" si="6">D22+1</f>
        <v>42278</v>
      </c>
      <c r="D23" s="210">
        <f t="shared" si="2"/>
        <v>42369</v>
      </c>
      <c r="E23" s="209">
        <f t="shared" si="3"/>
        <v>92</v>
      </c>
      <c r="F23" s="83">
        <f>VLOOKUP(D23,'FERC Interest Rate'!$A:$B,2,TRUE)</f>
        <v>3.2500000000000001E-2</v>
      </c>
      <c r="G23" s="84">
        <f>O22</f>
        <v>39773824.602739729</v>
      </c>
      <c r="H23" s="84">
        <f t="shared" ref="H23:H26" si="7">G23*F23*(E23/(DATE(YEAR(D23),12,31)-DATE(YEAR(D23),1,1)+1))</f>
        <v>325818.45359504601</v>
      </c>
      <c r="I23" s="109">
        <v>0</v>
      </c>
      <c r="J23" s="69">
        <v>0</v>
      </c>
      <c r="K23" s="211">
        <f t="shared" si="4"/>
        <v>0</v>
      </c>
      <c r="L23" s="69">
        <v>0</v>
      </c>
      <c r="M23" s="212">
        <v>0</v>
      </c>
      <c r="N23" s="64">
        <f t="shared" si="5"/>
        <v>40099643.056334779</v>
      </c>
      <c r="O23" s="84">
        <f t="shared" ref="O23:O44" si="8">+N23-M23</f>
        <v>40099643.056334779</v>
      </c>
    </row>
    <row r="24" spans="1:18" x14ac:dyDescent="0.2">
      <c r="A24" s="195" t="s">
        <v>22</v>
      </c>
      <c r="B24" s="209" t="str">
        <f t="shared" si="1"/>
        <v>Q1/2016</v>
      </c>
      <c r="C24" s="210">
        <f t="shared" si="6"/>
        <v>42370</v>
      </c>
      <c r="D24" s="210">
        <f t="shared" si="2"/>
        <v>42460</v>
      </c>
      <c r="E24" s="209">
        <f t="shared" si="3"/>
        <v>91</v>
      </c>
      <c r="F24" s="83">
        <f>VLOOKUP(D24,'FERC Interest Rate'!$A:$B,2,TRUE)</f>
        <v>3.2500000000000001E-2</v>
      </c>
      <c r="G24" s="84">
        <f>O23</f>
        <v>40099643.056334779</v>
      </c>
      <c r="H24" s="84">
        <f t="shared" si="7"/>
        <v>324029.2195057653</v>
      </c>
      <c r="I24" s="109">
        <v>0</v>
      </c>
      <c r="J24" s="69">
        <v>0</v>
      </c>
      <c r="K24" s="211">
        <f t="shared" si="4"/>
        <v>0</v>
      </c>
      <c r="L24" s="69">
        <v>0</v>
      </c>
      <c r="M24" s="212">
        <v>0</v>
      </c>
      <c r="N24" s="64">
        <f t="shared" si="5"/>
        <v>40423672.275840543</v>
      </c>
      <c r="O24" s="84">
        <f t="shared" si="8"/>
        <v>40423672.275840543</v>
      </c>
    </row>
    <row r="25" spans="1:18" x14ac:dyDescent="0.2">
      <c r="A25" s="195" t="s">
        <v>22</v>
      </c>
      <c r="B25" s="209" t="str">
        <f t="shared" si="1"/>
        <v>Q2/2016</v>
      </c>
      <c r="C25" s="210">
        <f t="shared" si="6"/>
        <v>42461</v>
      </c>
      <c r="D25" s="210">
        <f t="shared" si="2"/>
        <v>42551</v>
      </c>
      <c r="E25" s="209">
        <f t="shared" si="3"/>
        <v>91</v>
      </c>
      <c r="F25" s="83">
        <f>VLOOKUP(D25,'FERC Interest Rate'!$A:$B,2,TRUE)</f>
        <v>3.4599999999999999E-2</v>
      </c>
      <c r="G25" s="84">
        <f>O24</f>
        <v>40423672.275840543</v>
      </c>
      <c r="H25" s="84">
        <f t="shared" si="7"/>
        <v>347754.02876423916</v>
      </c>
      <c r="I25" s="109">
        <v>0</v>
      </c>
      <c r="J25" s="69">
        <v>0</v>
      </c>
      <c r="K25" s="211">
        <f t="shared" si="4"/>
        <v>0</v>
      </c>
      <c r="L25" s="69">
        <v>0</v>
      </c>
      <c r="M25" s="212">
        <f t="shared" ref="M25:M41" si="9">+SUM(K25:L25)</f>
        <v>0</v>
      </c>
      <c r="N25" s="64">
        <f t="shared" si="5"/>
        <v>40771426.304604784</v>
      </c>
      <c r="O25" s="84">
        <f t="shared" si="8"/>
        <v>40771426.304604784</v>
      </c>
    </row>
    <row r="26" spans="1:18" x14ac:dyDescent="0.2">
      <c r="A26" s="60" t="s">
        <v>54</v>
      </c>
      <c r="B26" s="209" t="str">
        <f t="shared" si="1"/>
        <v>Q3/2016</v>
      </c>
      <c r="C26" s="210">
        <f t="shared" si="6"/>
        <v>42552</v>
      </c>
      <c r="D26" s="210">
        <f t="shared" si="2"/>
        <v>42643</v>
      </c>
      <c r="E26" s="209">
        <f t="shared" si="3"/>
        <v>92</v>
      </c>
      <c r="F26" s="83">
        <f>VLOOKUP(D26,'FERC Interest Rate'!$A:$B,2,TRUE)</f>
        <v>3.5000000000000003E-2</v>
      </c>
      <c r="G26" s="84">
        <f>O25</f>
        <v>40771426.304604784</v>
      </c>
      <c r="H26" s="84">
        <f t="shared" si="7"/>
        <v>358699.43360881804</v>
      </c>
      <c r="I26" s="109">
        <f t="shared" ref="I26:I45" si="10">(SUM($H$22:$H$46)/20)</f>
        <v>81706.286910679744</v>
      </c>
      <c r="J26" s="69">
        <v>0</v>
      </c>
      <c r="K26" s="211">
        <f t="shared" si="4"/>
        <v>81706.286910679744</v>
      </c>
      <c r="L26" s="69">
        <f>+$G$22/20</f>
        <v>1974800</v>
      </c>
      <c r="M26" s="212">
        <f t="shared" si="9"/>
        <v>2056506.2869106797</v>
      </c>
      <c r="N26" s="64">
        <f t="shared" si="5"/>
        <v>41130125.738213599</v>
      </c>
      <c r="O26" s="84">
        <f t="shared" si="8"/>
        <v>39073619.451302916</v>
      </c>
    </row>
    <row r="27" spans="1:18" x14ac:dyDescent="0.2">
      <c r="A27" s="60" t="s">
        <v>55</v>
      </c>
      <c r="B27" s="209" t="str">
        <f t="shared" si="1"/>
        <v>Q4/2016</v>
      </c>
      <c r="C27" s="210">
        <f t="shared" si="6"/>
        <v>42644</v>
      </c>
      <c r="D27" s="210">
        <f t="shared" si="2"/>
        <v>42735</v>
      </c>
      <c r="E27" s="209">
        <f t="shared" si="3"/>
        <v>92</v>
      </c>
      <c r="F27" s="83">
        <f>VLOOKUP(D27,'FERC Interest Rate'!$A:$B,2,TRUE)</f>
        <v>3.5000000000000003E-2</v>
      </c>
      <c r="G27" s="84">
        <f t="shared" ref="G27:G44" si="11">O26</f>
        <v>39073619.451302916</v>
      </c>
      <c r="H27" s="84">
        <v>0</v>
      </c>
      <c r="I27" s="109">
        <f t="shared" si="10"/>
        <v>81706.286910679744</v>
      </c>
      <c r="J27" s="69">
        <f t="shared" ref="J27:J44" si="12">G27*F27*(E27/(DATE(YEAR(D27),12,31)-DATE(YEAR(D27),1,1)+1))</f>
        <v>343762.44435299293</v>
      </c>
      <c r="K27" s="211">
        <f t="shared" si="4"/>
        <v>425468.7312636727</v>
      </c>
      <c r="L27" s="69">
        <f t="shared" ref="L27:L45" si="13">+$G$22/20</f>
        <v>1974800</v>
      </c>
      <c r="M27" s="212">
        <f t="shared" si="9"/>
        <v>2400268.7312636729</v>
      </c>
      <c r="N27" s="64">
        <f t="shared" si="5"/>
        <v>39417381.895655908</v>
      </c>
      <c r="O27" s="84">
        <f t="shared" si="8"/>
        <v>37017113.164392233</v>
      </c>
    </row>
    <row r="28" spans="1:18" x14ac:dyDescent="0.2">
      <c r="A28" s="60" t="s">
        <v>56</v>
      </c>
      <c r="B28" s="209" t="str">
        <f t="shared" si="1"/>
        <v>Q1/2017</v>
      </c>
      <c r="C28" s="210">
        <f t="shared" si="6"/>
        <v>42736</v>
      </c>
      <c r="D28" s="210">
        <f t="shared" si="2"/>
        <v>42825</v>
      </c>
      <c r="E28" s="209">
        <f t="shared" si="3"/>
        <v>90</v>
      </c>
      <c r="F28" s="83">
        <f>VLOOKUP(D28,'FERC Interest Rate'!$A:$B,2,TRUE)</f>
        <v>3.5000000000000003E-2</v>
      </c>
      <c r="G28" s="84">
        <f t="shared" si="11"/>
        <v>37017113.164392233</v>
      </c>
      <c r="H28" s="84">
        <v>0</v>
      </c>
      <c r="I28" s="109">
        <f t="shared" si="10"/>
        <v>81706.286910679744</v>
      </c>
      <c r="J28" s="69">
        <f t="shared" si="12"/>
        <v>319462.75744612474</v>
      </c>
      <c r="K28" s="211">
        <f t="shared" si="4"/>
        <v>401169.04435680446</v>
      </c>
      <c r="L28" s="69">
        <f t="shared" si="13"/>
        <v>1974800</v>
      </c>
      <c r="M28" s="212">
        <f t="shared" si="9"/>
        <v>2375969.0443568043</v>
      </c>
      <c r="N28" s="64">
        <f t="shared" si="5"/>
        <v>37336575.921838358</v>
      </c>
      <c r="O28" s="84">
        <f t="shared" si="8"/>
        <v>34960606.87748155</v>
      </c>
    </row>
    <row r="29" spans="1:18" x14ac:dyDescent="0.2">
      <c r="A29" s="60" t="s">
        <v>57</v>
      </c>
      <c r="B29" s="209" t="str">
        <f t="shared" si="1"/>
        <v>Q2/2017</v>
      </c>
      <c r="C29" s="210">
        <f t="shared" si="6"/>
        <v>42826</v>
      </c>
      <c r="D29" s="210">
        <f t="shared" si="2"/>
        <v>42916</v>
      </c>
      <c r="E29" s="209">
        <f t="shared" si="3"/>
        <v>91</v>
      </c>
      <c r="F29" s="83">
        <f>VLOOKUP(D29,'FERC Interest Rate'!$A:$B,2,TRUE)</f>
        <v>3.7100000000000001E-2</v>
      </c>
      <c r="G29" s="84">
        <f t="shared" si="11"/>
        <v>34960606.87748155</v>
      </c>
      <c r="H29" s="84">
        <v>0</v>
      </c>
      <c r="I29" s="109">
        <f t="shared" si="10"/>
        <v>81706.286910679744</v>
      </c>
      <c r="J29" s="69">
        <f t="shared" si="12"/>
        <v>323371.24624401494</v>
      </c>
      <c r="K29" s="211">
        <f t="shared" si="4"/>
        <v>405077.53315469471</v>
      </c>
      <c r="L29" s="69">
        <f t="shared" si="13"/>
        <v>1974800</v>
      </c>
      <c r="M29" s="212">
        <f t="shared" si="9"/>
        <v>2379877.5331546948</v>
      </c>
      <c r="N29" s="64">
        <f t="shared" si="5"/>
        <v>35283978.123725563</v>
      </c>
      <c r="O29" s="84">
        <f t="shared" si="8"/>
        <v>32904100.590570867</v>
      </c>
    </row>
    <row r="30" spans="1:18" x14ac:dyDescent="0.2">
      <c r="A30" s="60" t="s">
        <v>58</v>
      </c>
      <c r="B30" s="209" t="str">
        <f t="shared" si="1"/>
        <v>Q3/2017</v>
      </c>
      <c r="C30" s="210">
        <f t="shared" si="6"/>
        <v>42917</v>
      </c>
      <c r="D30" s="210">
        <f t="shared" si="2"/>
        <v>43008</v>
      </c>
      <c r="E30" s="209">
        <f t="shared" si="3"/>
        <v>92</v>
      </c>
      <c r="F30" s="83">
        <f>VLOOKUP(D30,'FERC Interest Rate'!$A:$B,2,TRUE)</f>
        <v>3.9600000000000003E-2</v>
      </c>
      <c r="G30" s="84">
        <f t="shared" si="11"/>
        <v>32904100.590570867</v>
      </c>
      <c r="H30" s="84">
        <v>0</v>
      </c>
      <c r="I30" s="109">
        <f t="shared" si="10"/>
        <v>81706.286910679744</v>
      </c>
      <c r="J30" s="69">
        <f t="shared" si="12"/>
        <v>328427.99800429534</v>
      </c>
      <c r="K30" s="211">
        <f t="shared" si="4"/>
        <v>410134.28491497505</v>
      </c>
      <c r="L30" s="69">
        <f t="shared" si="13"/>
        <v>1974800</v>
      </c>
      <c r="M30" s="212">
        <f t="shared" si="9"/>
        <v>2384934.2849149751</v>
      </c>
      <c r="N30" s="64">
        <f t="shared" si="5"/>
        <v>33232528.588575162</v>
      </c>
      <c r="O30" s="84">
        <f t="shared" si="8"/>
        <v>30847594.303660188</v>
      </c>
    </row>
    <row r="31" spans="1:18" x14ac:dyDescent="0.2">
      <c r="A31" s="60" t="s">
        <v>59</v>
      </c>
      <c r="B31" s="209" t="str">
        <f t="shared" si="1"/>
        <v>Q4/2017</v>
      </c>
      <c r="C31" s="210">
        <f t="shared" si="6"/>
        <v>43009</v>
      </c>
      <c r="D31" s="210">
        <f t="shared" si="2"/>
        <v>43100</v>
      </c>
      <c r="E31" s="209">
        <f t="shared" si="3"/>
        <v>92</v>
      </c>
      <c r="F31" s="83">
        <f>VLOOKUP(D31,'FERC Interest Rate'!$A:$B,2,TRUE)</f>
        <v>4.2099999999999999E-2</v>
      </c>
      <c r="G31" s="84">
        <f t="shared" si="11"/>
        <v>30847594.303660188</v>
      </c>
      <c r="H31" s="84">
        <v>0</v>
      </c>
      <c r="I31" s="109">
        <f t="shared" si="10"/>
        <v>81706.286910679744</v>
      </c>
      <c r="J31" s="69">
        <f t="shared" si="12"/>
        <v>327339.45823818259</v>
      </c>
      <c r="K31" s="211">
        <f t="shared" si="4"/>
        <v>409045.74514886236</v>
      </c>
      <c r="L31" s="69">
        <f t="shared" si="13"/>
        <v>1974800</v>
      </c>
      <c r="M31" s="212">
        <f t="shared" si="9"/>
        <v>2383845.7451488622</v>
      </c>
      <c r="N31" s="64">
        <f t="shared" si="5"/>
        <v>31174933.761898369</v>
      </c>
      <c r="O31" s="84">
        <f t="shared" si="8"/>
        <v>28791088.016749505</v>
      </c>
    </row>
    <row r="32" spans="1:18" x14ac:dyDescent="0.2">
      <c r="A32" s="60" t="s">
        <v>60</v>
      </c>
      <c r="B32" s="209" t="str">
        <f t="shared" si="1"/>
        <v>Q1/2018</v>
      </c>
      <c r="C32" s="210">
        <f t="shared" si="6"/>
        <v>43101</v>
      </c>
      <c r="D32" s="210">
        <f t="shared" si="2"/>
        <v>43190</v>
      </c>
      <c r="E32" s="209">
        <f t="shared" si="3"/>
        <v>90</v>
      </c>
      <c r="F32" s="83">
        <f>VLOOKUP(D32,'FERC Interest Rate'!$A:$B,2,TRUE)</f>
        <v>4.2500000000000003E-2</v>
      </c>
      <c r="G32" s="84">
        <f t="shared" si="11"/>
        <v>28791088.016749505</v>
      </c>
      <c r="H32" s="84">
        <v>0</v>
      </c>
      <c r="I32" s="109">
        <f t="shared" si="10"/>
        <v>81706.286910679744</v>
      </c>
      <c r="J32" s="69">
        <f t="shared" si="12"/>
        <v>301714.82647689548</v>
      </c>
      <c r="K32" s="211">
        <f t="shared" si="4"/>
        <v>383421.11338757526</v>
      </c>
      <c r="L32" s="69">
        <f t="shared" si="13"/>
        <v>1974800</v>
      </c>
      <c r="M32" s="212">
        <f t="shared" si="9"/>
        <v>2358221.1133875754</v>
      </c>
      <c r="N32" s="64">
        <f t="shared" si="5"/>
        <v>29092802.843226399</v>
      </c>
      <c r="O32" s="84">
        <f t="shared" si="8"/>
        <v>26734581.729838826</v>
      </c>
    </row>
    <row r="33" spans="1:15" x14ac:dyDescent="0.2">
      <c r="A33" s="60" t="s">
        <v>61</v>
      </c>
      <c r="B33" s="209" t="str">
        <f t="shared" si="1"/>
        <v>Q2/2018</v>
      </c>
      <c r="C33" s="210">
        <f t="shared" si="6"/>
        <v>43191</v>
      </c>
      <c r="D33" s="210">
        <f t="shared" si="2"/>
        <v>43281</v>
      </c>
      <c r="E33" s="209">
        <f t="shared" si="3"/>
        <v>91</v>
      </c>
      <c r="F33" s="83">
        <f>VLOOKUP(D33,'FERC Interest Rate'!$A:$B,2,TRUE)</f>
        <v>4.4699999999999997E-2</v>
      </c>
      <c r="G33" s="84">
        <f t="shared" si="11"/>
        <v>26734581.729838826</v>
      </c>
      <c r="H33" s="84">
        <v>0</v>
      </c>
      <c r="I33" s="109">
        <f t="shared" si="10"/>
        <v>81706.286910679744</v>
      </c>
      <c r="J33" s="69">
        <f t="shared" si="12"/>
        <v>297940.4331574394</v>
      </c>
      <c r="K33" s="211">
        <f t="shared" si="4"/>
        <v>379646.72006811912</v>
      </c>
      <c r="L33" s="69">
        <f t="shared" si="13"/>
        <v>1974800</v>
      </c>
      <c r="M33" s="212">
        <f t="shared" si="9"/>
        <v>2354446.720068119</v>
      </c>
      <c r="N33" s="64">
        <f t="shared" si="5"/>
        <v>27032522.162996266</v>
      </c>
      <c r="O33" s="84">
        <f t="shared" si="8"/>
        <v>24678075.442928147</v>
      </c>
    </row>
    <row r="34" spans="1:15" x14ac:dyDescent="0.2">
      <c r="A34" s="60" t="s">
        <v>62</v>
      </c>
      <c r="B34" s="209" t="str">
        <f t="shared" si="1"/>
        <v>Q3/2018</v>
      </c>
      <c r="C34" s="210">
        <f t="shared" si="6"/>
        <v>43282</v>
      </c>
      <c r="D34" s="210">
        <f t="shared" si="2"/>
        <v>43373</v>
      </c>
      <c r="E34" s="209">
        <f t="shared" si="3"/>
        <v>92</v>
      </c>
      <c r="F34" s="83">
        <f>VLOOKUP(D34,'FERC Interest Rate'!$A:$B,2,TRUE)</f>
        <v>5.011111E-2</v>
      </c>
      <c r="G34" s="84">
        <f t="shared" si="11"/>
        <v>24678075.442928147</v>
      </c>
      <c r="H34" s="84">
        <v>0</v>
      </c>
      <c r="I34" s="109">
        <f t="shared" si="10"/>
        <v>81706.286910679744</v>
      </c>
      <c r="J34" s="69">
        <f t="shared" si="12"/>
        <v>311702.49119456479</v>
      </c>
      <c r="K34" s="211">
        <f t="shared" si="4"/>
        <v>393408.77810524451</v>
      </c>
      <c r="L34" s="69">
        <f t="shared" si="13"/>
        <v>1974800</v>
      </c>
      <c r="M34" s="212">
        <f t="shared" si="9"/>
        <v>2368208.7781052445</v>
      </c>
      <c r="N34" s="64">
        <f t="shared" si="5"/>
        <v>24989777.934122711</v>
      </c>
      <c r="O34" s="84">
        <f t="shared" si="8"/>
        <v>22621569.156017467</v>
      </c>
    </row>
    <row r="35" spans="1:15" x14ac:dyDescent="0.2">
      <c r="A35" s="60" t="s">
        <v>63</v>
      </c>
      <c r="B35" s="209" t="str">
        <f t="shared" si="1"/>
        <v>Q4/2018</v>
      </c>
      <c r="C35" s="210">
        <f t="shared" si="6"/>
        <v>43374</v>
      </c>
      <c r="D35" s="210">
        <f t="shared" si="2"/>
        <v>43465</v>
      </c>
      <c r="E35" s="209">
        <f t="shared" si="3"/>
        <v>92</v>
      </c>
      <c r="F35" s="83">
        <f>VLOOKUP(D35,'FERC Interest Rate'!$A:$B,2,TRUE)</f>
        <v>5.2822580000000001E-2</v>
      </c>
      <c r="G35" s="84">
        <f t="shared" si="11"/>
        <v>22621569.156017467</v>
      </c>
      <c r="H35" s="84">
        <v>0</v>
      </c>
      <c r="I35" s="109">
        <f t="shared" si="10"/>
        <v>81706.286910679744</v>
      </c>
      <c r="J35" s="69">
        <f t="shared" si="12"/>
        <v>301187.74650732166</v>
      </c>
      <c r="K35" s="211">
        <f t="shared" si="4"/>
        <v>382894.03341800137</v>
      </c>
      <c r="L35" s="69">
        <f t="shared" si="13"/>
        <v>1974800</v>
      </c>
      <c r="M35" s="212">
        <f t="shared" si="9"/>
        <v>2357694.0334180016</v>
      </c>
      <c r="N35" s="64">
        <f t="shared" si="5"/>
        <v>22922756.902524788</v>
      </c>
      <c r="O35" s="84">
        <f t="shared" si="8"/>
        <v>20565062.869106784</v>
      </c>
    </row>
    <row r="36" spans="1:15" x14ac:dyDescent="0.2">
      <c r="A36" s="60" t="s">
        <v>64</v>
      </c>
      <c r="B36" s="209" t="str">
        <f t="shared" si="1"/>
        <v>Q1/2019</v>
      </c>
      <c r="C36" s="210">
        <f t="shared" si="6"/>
        <v>43466</v>
      </c>
      <c r="D36" s="210">
        <f t="shared" si="2"/>
        <v>43555</v>
      </c>
      <c r="E36" s="209">
        <f t="shared" si="3"/>
        <v>90</v>
      </c>
      <c r="F36" s="83">
        <f>VLOOKUP(D36,'FERC Interest Rate'!$A:$B,2,TRUE)</f>
        <v>5.5296770000000002E-2</v>
      </c>
      <c r="G36" s="84">
        <f t="shared" si="11"/>
        <v>20565062.869106784</v>
      </c>
      <c r="H36" s="84">
        <v>0</v>
      </c>
      <c r="I36" s="109">
        <f t="shared" si="10"/>
        <v>81706.286910679744</v>
      </c>
      <c r="J36" s="69">
        <f t="shared" si="12"/>
        <v>280400.93050895457</v>
      </c>
      <c r="K36" s="211">
        <f t="shared" si="4"/>
        <v>362107.21741963434</v>
      </c>
      <c r="L36" s="69">
        <f t="shared" si="13"/>
        <v>1974800</v>
      </c>
      <c r="M36" s="212">
        <f t="shared" si="9"/>
        <v>2336907.2174196346</v>
      </c>
      <c r="N36" s="64">
        <f t="shared" si="5"/>
        <v>20845463.799615741</v>
      </c>
      <c r="O36" s="84">
        <f t="shared" si="8"/>
        <v>18508556.582196105</v>
      </c>
    </row>
    <row r="37" spans="1:15" x14ac:dyDescent="0.2">
      <c r="A37" s="60" t="s">
        <v>65</v>
      </c>
      <c r="B37" s="209" t="str">
        <f t="shared" si="1"/>
        <v>Q2/2019</v>
      </c>
      <c r="C37" s="210">
        <f t="shared" si="6"/>
        <v>43556</v>
      </c>
      <c r="D37" s="210">
        <f t="shared" si="2"/>
        <v>43646</v>
      </c>
      <c r="E37" s="209">
        <f t="shared" si="3"/>
        <v>91</v>
      </c>
      <c r="F37" s="83">
        <f>VLOOKUP(D37,'FERC Interest Rate'!$A:$B,2,TRUE)</f>
        <v>5.7999999999999996E-2</v>
      </c>
      <c r="G37" s="84">
        <f t="shared" si="11"/>
        <v>18508556.582196105</v>
      </c>
      <c r="H37" s="84">
        <v>0</v>
      </c>
      <c r="I37" s="109">
        <f t="shared" si="10"/>
        <v>81706.286910679744</v>
      </c>
      <c r="J37" s="69">
        <f t="shared" si="12"/>
        <v>267638.7990159755</v>
      </c>
      <c r="K37" s="211">
        <f t="shared" si="4"/>
        <v>349345.08592665521</v>
      </c>
      <c r="L37" s="69">
        <f t="shared" si="13"/>
        <v>1974800</v>
      </c>
      <c r="M37" s="212">
        <f t="shared" si="9"/>
        <v>2324145.0859266552</v>
      </c>
      <c r="N37" s="64">
        <f t="shared" si="5"/>
        <v>18776195.381212082</v>
      </c>
      <c r="O37" s="84">
        <f t="shared" si="8"/>
        <v>16452050.295285426</v>
      </c>
    </row>
    <row r="38" spans="1:15" x14ac:dyDescent="0.2">
      <c r="A38" s="60" t="s">
        <v>66</v>
      </c>
      <c r="B38" s="209" t="str">
        <f t="shared" si="1"/>
        <v>Q3/2019</v>
      </c>
      <c r="C38" s="210">
        <f>D37+1</f>
        <v>43647</v>
      </c>
      <c r="D38" s="210">
        <f t="shared" si="2"/>
        <v>43738</v>
      </c>
      <c r="E38" s="209">
        <f t="shared" si="3"/>
        <v>92</v>
      </c>
      <c r="F38" s="83">
        <f>VLOOKUP(D38,'FERC Interest Rate'!$A:$B,2,TRUE)</f>
        <v>0.06</v>
      </c>
      <c r="G38" s="84">
        <f>O37</f>
        <v>16452050.295285426</v>
      </c>
      <c r="H38" s="84">
        <v>0</v>
      </c>
      <c r="I38" s="109">
        <f t="shared" si="10"/>
        <v>81706.286910679744</v>
      </c>
      <c r="J38" s="69">
        <f t="shared" si="12"/>
        <v>248809.08939719328</v>
      </c>
      <c r="K38" s="211">
        <f t="shared" si="4"/>
        <v>330515.37630787306</v>
      </c>
      <c r="L38" s="69">
        <f t="shared" si="13"/>
        <v>1974800</v>
      </c>
      <c r="M38" s="212">
        <f t="shared" si="9"/>
        <v>2305315.3763078731</v>
      </c>
      <c r="N38" s="64">
        <f t="shared" si="5"/>
        <v>16700859.38468262</v>
      </c>
      <c r="O38" s="84">
        <f t="shared" si="8"/>
        <v>14395544.008374747</v>
      </c>
    </row>
    <row r="39" spans="1:15" x14ac:dyDescent="0.2">
      <c r="A39" s="60" t="s">
        <v>67</v>
      </c>
      <c r="B39" s="209" t="str">
        <f t="shared" si="1"/>
        <v>Q4/2019</v>
      </c>
      <c r="C39" s="210">
        <f t="shared" si="6"/>
        <v>43739</v>
      </c>
      <c r="D39" s="210">
        <f t="shared" si="2"/>
        <v>43830</v>
      </c>
      <c r="E39" s="209">
        <f t="shared" si="3"/>
        <v>92</v>
      </c>
      <c r="F39" s="83">
        <f>VLOOKUP(D39,'FERC Interest Rate'!$A:$B,2,TRUE)</f>
        <v>6.0349460000000001E-2</v>
      </c>
      <c r="G39" s="84">
        <f t="shared" si="11"/>
        <v>14395544.008374747</v>
      </c>
      <c r="H39" s="84">
        <v>0</v>
      </c>
      <c r="I39" s="109">
        <f t="shared" si="10"/>
        <v>81706.286910679744</v>
      </c>
      <c r="J39" s="69">
        <f t="shared" si="12"/>
        <v>218975.95691142997</v>
      </c>
      <c r="K39" s="211">
        <f t="shared" si="4"/>
        <v>300682.24382210971</v>
      </c>
      <c r="L39" s="69">
        <f t="shared" si="13"/>
        <v>1974800</v>
      </c>
      <c r="M39" s="212">
        <f t="shared" si="9"/>
        <v>2275482.2438221099</v>
      </c>
      <c r="N39" s="64">
        <f t="shared" si="5"/>
        <v>14614519.965286177</v>
      </c>
      <c r="O39" s="84">
        <f t="shared" si="8"/>
        <v>12339037.721464068</v>
      </c>
    </row>
    <row r="40" spans="1:15" x14ac:dyDescent="0.2">
      <c r="A40" s="60" t="s">
        <v>68</v>
      </c>
      <c r="B40" s="209" t="str">
        <f t="shared" si="1"/>
        <v>Q1/2020</v>
      </c>
      <c r="C40" s="210">
        <f t="shared" si="6"/>
        <v>43831</v>
      </c>
      <c r="D40" s="210">
        <f t="shared" si="2"/>
        <v>43921</v>
      </c>
      <c r="E40" s="209">
        <f t="shared" si="3"/>
        <v>91</v>
      </c>
      <c r="F40" s="83">
        <f>VLOOKUP(D40,'FERC Interest Rate'!$A:$B,2,TRUE)</f>
        <v>6.2501040000000008E-2</v>
      </c>
      <c r="G40" s="84">
        <f t="shared" si="11"/>
        <v>12339037.721464068</v>
      </c>
      <c r="H40" s="84">
        <v>0</v>
      </c>
      <c r="I40" s="109">
        <f t="shared" si="10"/>
        <v>81706.286910679744</v>
      </c>
      <c r="J40" s="69">
        <f t="shared" si="12"/>
        <v>191747.1169599914</v>
      </c>
      <c r="K40" s="211">
        <f t="shared" si="4"/>
        <v>273453.40387067117</v>
      </c>
      <c r="L40" s="69">
        <f t="shared" si="13"/>
        <v>1974800</v>
      </c>
      <c r="M40" s="212">
        <f t="shared" si="9"/>
        <v>2248253.4038706711</v>
      </c>
      <c r="N40" s="64">
        <f t="shared" si="5"/>
        <v>12530784.838424059</v>
      </c>
      <c r="O40" s="84">
        <f t="shared" si="8"/>
        <v>10282531.434553389</v>
      </c>
    </row>
    <row r="41" spans="1:15" x14ac:dyDescent="0.2">
      <c r="A41" s="60" t="s">
        <v>69</v>
      </c>
      <c r="B41" s="209" t="str">
        <f t="shared" si="1"/>
        <v>Q2/2020</v>
      </c>
      <c r="C41" s="210">
        <f t="shared" si="6"/>
        <v>43922</v>
      </c>
      <c r="D41" s="210">
        <f t="shared" si="2"/>
        <v>44012</v>
      </c>
      <c r="E41" s="209">
        <f t="shared" si="3"/>
        <v>91</v>
      </c>
      <c r="F41" s="83">
        <f>VLOOKUP(D41,'FERC Interest Rate'!$A:$B,2,TRUE)</f>
        <v>6.3055559999999997E-2</v>
      </c>
      <c r="G41" s="84">
        <f t="shared" si="11"/>
        <v>10282531.434553389</v>
      </c>
      <c r="H41" s="84">
        <v>0</v>
      </c>
      <c r="I41" s="109">
        <f t="shared" si="10"/>
        <v>81706.286910679744</v>
      </c>
      <c r="J41" s="69">
        <f t="shared" si="12"/>
        <v>161206.94202712137</v>
      </c>
      <c r="K41" s="211">
        <f t="shared" si="4"/>
        <v>242913.22893780112</v>
      </c>
      <c r="L41" s="69">
        <f t="shared" si="13"/>
        <v>1974800</v>
      </c>
      <c r="M41" s="212">
        <f t="shared" si="9"/>
        <v>2217713.228937801</v>
      </c>
      <c r="N41" s="64">
        <f t="shared" si="5"/>
        <v>10443738.37658051</v>
      </c>
      <c r="O41" s="84">
        <f t="shared" si="8"/>
        <v>8226025.1476427093</v>
      </c>
    </row>
    <row r="42" spans="1:15" x14ac:dyDescent="0.2">
      <c r="A42" s="60" t="s">
        <v>70</v>
      </c>
      <c r="B42" s="209" t="str">
        <f t="shared" si="1"/>
        <v>Q3/2020</v>
      </c>
      <c r="C42" s="210">
        <f t="shared" si="6"/>
        <v>44013</v>
      </c>
      <c r="D42" s="210">
        <f t="shared" si="2"/>
        <v>44104</v>
      </c>
      <c r="E42" s="209">
        <f t="shared" si="3"/>
        <v>92</v>
      </c>
      <c r="F42" s="83">
        <f>VLOOKUP(D42,'FERC Interest Rate'!$A:$B,2,TRUE)</f>
        <v>6.5000000000000002E-2</v>
      </c>
      <c r="G42" s="84">
        <f t="shared" si="11"/>
        <v>8226025.1476427093</v>
      </c>
      <c r="H42" s="84">
        <v>0</v>
      </c>
      <c r="I42" s="109">
        <f t="shared" si="10"/>
        <v>81706.286910679744</v>
      </c>
      <c r="J42" s="69">
        <f t="shared" si="12"/>
        <v>134403.36170192185</v>
      </c>
      <c r="K42" s="211">
        <f t="shared" ref="K42:K44" si="14">+SUM(I42:J42)</f>
        <v>216109.6486126016</v>
      </c>
      <c r="L42" s="69">
        <f t="shared" si="13"/>
        <v>1974800</v>
      </c>
      <c r="M42" s="212">
        <f t="shared" ref="M42:M44" si="15">+SUM(K42:L42)</f>
        <v>2190909.6486126017</v>
      </c>
      <c r="N42" s="64">
        <f t="shared" si="5"/>
        <v>8360428.5093446309</v>
      </c>
      <c r="O42" s="84">
        <f t="shared" si="8"/>
        <v>6169518.8607320292</v>
      </c>
    </row>
    <row r="43" spans="1:15" x14ac:dyDescent="0.2">
      <c r="A43" s="60" t="s">
        <v>71</v>
      </c>
      <c r="B43" s="209" t="str">
        <f t="shared" si="1"/>
        <v>Q4/2020</v>
      </c>
      <c r="C43" s="210">
        <f t="shared" si="6"/>
        <v>44105</v>
      </c>
      <c r="D43" s="210">
        <f t="shared" si="2"/>
        <v>44196</v>
      </c>
      <c r="E43" s="209">
        <f t="shared" si="3"/>
        <v>92</v>
      </c>
      <c r="F43" s="83">
        <f>VLOOKUP(D43,'FERC Interest Rate'!$A:$B,2,TRUE)</f>
        <v>6.5000000000000002E-2</v>
      </c>
      <c r="G43" s="84">
        <f t="shared" si="11"/>
        <v>6169518.8607320292</v>
      </c>
      <c r="H43" s="84">
        <v>0</v>
      </c>
      <c r="I43" s="109">
        <f t="shared" si="10"/>
        <v>81706.286910679744</v>
      </c>
      <c r="J43" s="69">
        <f t="shared" si="12"/>
        <v>100802.52127644136</v>
      </c>
      <c r="K43" s="211">
        <f t="shared" si="14"/>
        <v>182508.80818712112</v>
      </c>
      <c r="L43" s="69">
        <f t="shared" si="13"/>
        <v>1974800</v>
      </c>
      <c r="M43" s="212">
        <f t="shared" si="15"/>
        <v>2157308.8081871211</v>
      </c>
      <c r="N43" s="64">
        <f t="shared" si="5"/>
        <v>6270321.3820084706</v>
      </c>
      <c r="O43" s="84">
        <f t="shared" si="8"/>
        <v>4113012.5738213495</v>
      </c>
    </row>
    <row r="44" spans="1:15" x14ac:dyDescent="0.2">
      <c r="A44" s="60" t="s">
        <v>72</v>
      </c>
      <c r="B44" s="209" t="str">
        <f t="shared" si="1"/>
        <v>Q1/2021</v>
      </c>
      <c r="C44" s="210">
        <f t="shared" si="6"/>
        <v>44197</v>
      </c>
      <c r="D44" s="210">
        <f t="shared" si="2"/>
        <v>44286</v>
      </c>
      <c r="E44" s="209">
        <f t="shared" si="3"/>
        <v>90</v>
      </c>
      <c r="F44" s="83">
        <f>VLOOKUP(D44,'FERC Interest Rate'!$A:$B,2,TRUE)</f>
        <v>6.5000000000000002E-2</v>
      </c>
      <c r="G44" s="84">
        <f t="shared" si="11"/>
        <v>4113012.5738213495</v>
      </c>
      <c r="H44" s="84">
        <v>0</v>
      </c>
      <c r="I44" s="109">
        <f t="shared" si="10"/>
        <v>81706.286910679744</v>
      </c>
      <c r="J44" s="69">
        <f t="shared" si="12"/>
        <v>65920.886457136687</v>
      </c>
      <c r="K44" s="211">
        <f t="shared" si="14"/>
        <v>147627.17336781643</v>
      </c>
      <c r="L44" s="69">
        <f t="shared" si="13"/>
        <v>1974800</v>
      </c>
      <c r="M44" s="212">
        <f t="shared" si="15"/>
        <v>2122427.1733678165</v>
      </c>
      <c r="N44" s="64">
        <f t="shared" si="5"/>
        <v>4178933.4602784864</v>
      </c>
      <c r="O44" s="84">
        <f t="shared" si="8"/>
        <v>2056506.2869106699</v>
      </c>
    </row>
    <row r="45" spans="1:15" x14ac:dyDescent="0.2">
      <c r="A45" s="60" t="s">
        <v>73</v>
      </c>
      <c r="B45" s="209" t="str">
        <f t="shared" ref="B45" si="16">+IF(MONTH(C45)&lt;4,"Q1",IF(MONTH(C45)&lt;7,"Q2",IF(MONTH(C45)&lt;10,"Q3","Q4")))&amp;"/"&amp;YEAR(C45)</f>
        <v>Q2/2021</v>
      </c>
      <c r="C45" s="210">
        <f t="shared" ref="C45" si="17">D44+1</f>
        <v>44287</v>
      </c>
      <c r="D45" s="210">
        <f t="shared" ref="D45" si="18">DATE(YEAR(C45),IF(MONTH(C45)&lt;=3,3,IF(MONTH(C45)&lt;=6,6,IF(MONTH(C45)&lt;=9,9,12))),IF(OR(MONTH(C45)&lt;=3,MONTH(C45)&gt;=10),31,30))</f>
        <v>44377</v>
      </c>
      <c r="E45" s="209">
        <f t="shared" ref="E45" si="19">D45-C45+1</f>
        <v>91</v>
      </c>
      <c r="F45" s="83">
        <f>VLOOKUP(D45,'FERC Interest Rate'!$A:$B,2,TRUE)</f>
        <v>6.5000000000000002E-2</v>
      </c>
      <c r="G45" s="84">
        <f t="shared" ref="G45" si="20">O44</f>
        <v>2056506.2869106699</v>
      </c>
      <c r="H45" s="84">
        <v>0</v>
      </c>
      <c r="I45" s="109">
        <f t="shared" si="10"/>
        <v>81706.286910679744</v>
      </c>
      <c r="J45" s="69">
        <f t="shared" ref="J45" si="21">G45*F45*(E45/(DATE(YEAR(D45),12,31)-DATE(YEAR(D45),1,1)+1))</f>
        <v>33326.67037555237</v>
      </c>
      <c r="K45" s="211">
        <f t="shared" ref="K45" si="22">+SUM(I45:J45)</f>
        <v>115032.95728623212</v>
      </c>
      <c r="L45" s="69">
        <f t="shared" si="13"/>
        <v>1974800</v>
      </c>
      <c r="M45" s="212">
        <f t="shared" ref="M45" si="23">+SUM(K45:L45)</f>
        <v>2089832.9572862322</v>
      </c>
      <c r="N45" s="64">
        <f t="shared" ref="N45" si="24">+G45+H45+J45</f>
        <v>2089832.9572862221</v>
      </c>
      <c r="O45" s="84">
        <f t="shared" ref="O45" si="25">+N45-M45</f>
        <v>-1.0011717677116394E-8</v>
      </c>
    </row>
    <row r="46" spans="1:15" x14ac:dyDescent="0.2">
      <c r="B46" s="66"/>
      <c r="C46" s="67"/>
      <c r="D46" s="67"/>
      <c r="E46" s="68"/>
      <c r="F46" s="66"/>
      <c r="G46" s="69"/>
      <c r="H46" s="71"/>
      <c r="I46" s="213"/>
      <c r="J46" s="69"/>
      <c r="K46" s="214"/>
      <c r="L46" s="70"/>
      <c r="M46" s="215"/>
      <c r="O46" s="69"/>
    </row>
    <row r="47" spans="1:15" ht="13.5" thickBot="1" x14ac:dyDescent="0.25">
      <c r="A47" s="197"/>
      <c r="B47" s="216"/>
      <c r="C47" s="217"/>
      <c r="D47" s="217"/>
      <c r="E47" s="218"/>
      <c r="F47" s="216"/>
      <c r="G47" s="219">
        <f t="shared" ref="G47:O47" si="26">+SUM(G22:G46)</f>
        <v>591300760.75254881</v>
      </c>
      <c r="H47" s="219">
        <f t="shared" si="26"/>
        <v>1634125.7382135948</v>
      </c>
      <c r="I47" s="220">
        <f t="shared" si="26"/>
        <v>1634125.7382135945</v>
      </c>
      <c r="J47" s="219">
        <f t="shared" si="26"/>
        <v>4558141.6762535498</v>
      </c>
      <c r="K47" s="219">
        <f t="shared" si="26"/>
        <v>6192267.4144671448</v>
      </c>
      <c r="L47" s="219">
        <f t="shared" si="26"/>
        <v>39496000</v>
      </c>
      <c r="M47" s="221">
        <f t="shared" si="26"/>
        <v>45688267.414467141</v>
      </c>
      <c r="N47" s="219">
        <f t="shared" si="26"/>
        <v>597493028.16701591</v>
      </c>
      <c r="O47" s="219">
        <f t="shared" si="26"/>
        <v>551804760.75254881</v>
      </c>
    </row>
    <row r="48" spans="1:15" ht="14.25" thickTop="1" thickBot="1" x14ac:dyDescent="0.25">
      <c r="H48" s="211"/>
      <c r="I48" s="222"/>
      <c r="J48" s="223"/>
      <c r="K48" s="223"/>
      <c r="L48" s="223"/>
      <c r="M48" s="224"/>
    </row>
  </sheetData>
  <mergeCells count="1">
    <mergeCell ref="J20:K20"/>
  </mergeCells>
  <pageMargins left="0.7" right="0.7" top="0.75" bottom="0.75" header="0.3" footer="0.3"/>
  <pageSetup scale="53" fitToHeight="0" orientation="landscape" r:id="rId1"/>
  <headerFooter alignWithMargins="0">
    <oddHeader>&amp;RTO2019 Annual Update
Attachment 4
WP Schedule 22
Page &amp;P of &amp;N</oddHeader>
    <oddFooter>&amp;R&amp;A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5"/>
  <sheetViews>
    <sheetView zoomScale="80" zoomScaleNormal="80" workbookViewId="0"/>
  </sheetViews>
  <sheetFormatPr defaultColWidth="9.140625" defaultRowHeight="12.75" x14ac:dyDescent="0.2"/>
  <cols>
    <col min="1" max="1" width="10.28515625" style="6" bestFit="1" customWidth="1"/>
    <col min="2" max="2" width="13.28515625" style="6" customWidth="1"/>
    <col min="3" max="3" width="15.85546875" style="6" bestFit="1" customWidth="1"/>
    <col min="4" max="4" width="9.5703125" style="6" bestFit="1" customWidth="1"/>
    <col min="5" max="5" width="10.85546875" style="6" bestFit="1" customWidth="1"/>
    <col min="6" max="6" width="18.7109375" style="6" bestFit="1" customWidth="1"/>
    <col min="7" max="9" width="16.28515625" style="6" customWidth="1"/>
    <col min="10" max="10" width="17.42578125" style="6" customWidth="1"/>
    <col min="11" max="15" width="16.28515625" style="6" customWidth="1"/>
    <col min="16" max="16" width="14.28515625" style="6" bestFit="1" customWidth="1"/>
    <col min="17" max="16384" width="9.140625" style="6"/>
  </cols>
  <sheetData>
    <row r="1" spans="1:10" ht="38.25" x14ac:dyDescent="0.2">
      <c r="A1" s="101" t="s">
        <v>8</v>
      </c>
      <c r="B1" s="102" t="s">
        <v>88</v>
      </c>
      <c r="C1" s="101" t="s">
        <v>2</v>
      </c>
      <c r="D1" s="101" t="s">
        <v>1</v>
      </c>
      <c r="E1" s="102" t="s">
        <v>74</v>
      </c>
      <c r="F1" s="102" t="s">
        <v>48</v>
      </c>
    </row>
    <row r="2" spans="1:10" x14ac:dyDescent="0.2">
      <c r="A2" s="96" t="s">
        <v>54</v>
      </c>
      <c r="B2" s="3">
        <v>40466</v>
      </c>
      <c r="C2" s="4">
        <v>380000</v>
      </c>
      <c r="D2" s="4">
        <v>0</v>
      </c>
      <c r="E2" s="4">
        <v>0</v>
      </c>
      <c r="F2" s="7">
        <v>380000</v>
      </c>
    </row>
    <row r="3" spans="1:10" x14ac:dyDescent="0.2">
      <c r="A3" s="96" t="s">
        <v>55</v>
      </c>
      <c r="B3" s="3">
        <v>40554</v>
      </c>
      <c r="C3" s="4">
        <v>570000</v>
      </c>
      <c r="D3" s="4">
        <v>0</v>
      </c>
      <c r="E3" s="4">
        <v>0</v>
      </c>
      <c r="F3" s="7">
        <v>570000</v>
      </c>
      <c r="H3" s="57"/>
      <c r="I3" s="57"/>
      <c r="J3" s="57"/>
    </row>
    <row r="4" spans="1:10" x14ac:dyDescent="0.2">
      <c r="A4" s="96" t="s">
        <v>56</v>
      </c>
      <c r="B4" s="3">
        <v>40637</v>
      </c>
      <c r="C4" s="4">
        <v>570000</v>
      </c>
      <c r="D4" s="4">
        <v>0</v>
      </c>
      <c r="E4" s="4">
        <v>0</v>
      </c>
      <c r="F4" s="7">
        <v>570000</v>
      </c>
      <c r="H4" s="57"/>
      <c r="I4" s="57"/>
      <c r="J4" s="57"/>
    </row>
    <row r="5" spans="1:10" x14ac:dyDescent="0.2">
      <c r="A5" s="96" t="s">
        <v>57</v>
      </c>
      <c r="B5" s="3">
        <v>40725</v>
      </c>
      <c r="C5" s="4">
        <v>190000</v>
      </c>
      <c r="D5" s="4">
        <v>0</v>
      </c>
      <c r="E5" s="4">
        <v>0</v>
      </c>
      <c r="F5" s="7">
        <v>190000</v>
      </c>
    </row>
    <row r="6" spans="1:10" x14ac:dyDescent="0.2">
      <c r="A6" s="96" t="s">
        <v>58</v>
      </c>
      <c r="B6" s="3">
        <v>40983</v>
      </c>
      <c r="C6" s="4">
        <v>82000</v>
      </c>
      <c r="D6" s="4">
        <v>0</v>
      </c>
      <c r="E6" s="4">
        <v>0</v>
      </c>
      <c r="F6" s="7">
        <v>82000</v>
      </c>
      <c r="H6" s="56"/>
      <c r="I6" s="56"/>
      <c r="J6" s="56"/>
    </row>
    <row r="7" spans="1:10" x14ac:dyDescent="0.2">
      <c r="A7" s="96" t="s">
        <v>59</v>
      </c>
      <c r="B7" s="3">
        <v>41424</v>
      </c>
      <c r="C7" s="4">
        <v>396000</v>
      </c>
      <c r="D7" s="4">
        <v>0</v>
      </c>
      <c r="E7" s="55">
        <v>0</v>
      </c>
      <c r="F7" s="7">
        <v>396000</v>
      </c>
      <c r="H7" s="56"/>
      <c r="I7" s="56"/>
      <c r="J7" s="56"/>
    </row>
    <row r="8" spans="1:10" x14ac:dyDescent="0.2">
      <c r="A8" s="96" t="s">
        <v>60</v>
      </c>
      <c r="B8" s="3">
        <v>41487</v>
      </c>
      <c r="C8" s="4">
        <v>24200</v>
      </c>
      <c r="D8" s="4">
        <v>0</v>
      </c>
      <c r="E8" s="4">
        <v>0</v>
      </c>
      <c r="F8" s="7">
        <v>24200</v>
      </c>
    </row>
    <row r="9" spans="1:10" x14ac:dyDescent="0.2">
      <c r="A9" s="96" t="s">
        <v>61</v>
      </c>
      <c r="B9" s="3">
        <v>41518</v>
      </c>
      <c r="C9" s="4">
        <v>12200</v>
      </c>
      <c r="D9" s="4">
        <v>0</v>
      </c>
      <c r="E9" s="4">
        <v>0</v>
      </c>
      <c r="F9" s="7">
        <v>12200</v>
      </c>
    </row>
    <row r="10" spans="1:10" x14ac:dyDescent="0.2">
      <c r="A10" s="96" t="s">
        <v>62</v>
      </c>
      <c r="B10" s="3">
        <v>41548</v>
      </c>
      <c r="C10" s="4">
        <v>13200</v>
      </c>
      <c r="D10" s="4">
        <v>0</v>
      </c>
      <c r="E10" s="4">
        <v>0</v>
      </c>
      <c r="F10" s="7">
        <v>13200</v>
      </c>
    </row>
    <row r="11" spans="1:10" x14ac:dyDescent="0.2">
      <c r="A11" s="96" t="s">
        <v>63</v>
      </c>
      <c r="B11" s="3">
        <v>41579</v>
      </c>
      <c r="C11" s="4">
        <v>13200</v>
      </c>
      <c r="D11" s="4">
        <v>0</v>
      </c>
      <c r="E11" s="4">
        <v>0</v>
      </c>
      <c r="F11" s="7">
        <v>13200</v>
      </c>
    </row>
    <row r="12" spans="1:10" x14ac:dyDescent="0.2">
      <c r="A12" s="96" t="s">
        <v>64</v>
      </c>
      <c r="B12" s="3">
        <v>41609</v>
      </c>
      <c r="C12" s="4">
        <v>13200</v>
      </c>
      <c r="D12" s="4">
        <v>0</v>
      </c>
      <c r="E12" s="4">
        <v>0</v>
      </c>
      <c r="F12" s="7">
        <v>13200</v>
      </c>
    </row>
    <row r="13" spans="1:10" x14ac:dyDescent="0.2">
      <c r="A13" s="96" t="s">
        <v>65</v>
      </c>
      <c r="B13" s="3">
        <v>41640</v>
      </c>
      <c r="C13" s="4">
        <v>6500</v>
      </c>
      <c r="D13" s="4">
        <v>0</v>
      </c>
      <c r="E13" s="4">
        <v>0</v>
      </c>
      <c r="F13" s="7">
        <v>6500</v>
      </c>
    </row>
    <row r="14" spans="1:10" x14ac:dyDescent="0.2">
      <c r="A14" s="96" t="s">
        <v>66</v>
      </c>
      <c r="B14" s="3">
        <v>41671</v>
      </c>
      <c r="C14" s="4">
        <v>6500</v>
      </c>
      <c r="D14" s="4">
        <v>0</v>
      </c>
      <c r="E14" s="4">
        <v>0</v>
      </c>
      <c r="F14" s="7">
        <v>6500</v>
      </c>
    </row>
    <row r="15" spans="1:10" x14ac:dyDescent="0.2">
      <c r="A15" s="96" t="s">
        <v>67</v>
      </c>
      <c r="B15" s="3">
        <v>41699</v>
      </c>
      <c r="C15" s="4">
        <v>12400</v>
      </c>
      <c r="D15" s="4">
        <v>0</v>
      </c>
      <c r="E15" s="4">
        <v>0</v>
      </c>
      <c r="F15" s="7">
        <v>12400</v>
      </c>
    </row>
    <row r="16" spans="1:10" x14ac:dyDescent="0.2">
      <c r="A16" s="96" t="s">
        <v>68</v>
      </c>
      <c r="B16" s="3">
        <v>41730</v>
      </c>
      <c r="C16" s="4">
        <v>16900</v>
      </c>
      <c r="D16" s="4">
        <v>0</v>
      </c>
      <c r="E16" s="4">
        <v>0</v>
      </c>
      <c r="F16" s="7">
        <v>16900</v>
      </c>
    </row>
    <row r="17" spans="1:6" x14ac:dyDescent="0.2">
      <c r="A17" s="96" t="s">
        <v>69</v>
      </c>
      <c r="B17" s="3">
        <v>41760</v>
      </c>
      <c r="C17" s="4">
        <v>20900</v>
      </c>
      <c r="D17" s="4">
        <v>0</v>
      </c>
      <c r="E17" s="4">
        <v>0</v>
      </c>
      <c r="F17" s="7">
        <v>20900</v>
      </c>
    </row>
    <row r="18" spans="1:6" x14ac:dyDescent="0.2">
      <c r="A18" s="96" t="s">
        <v>70</v>
      </c>
      <c r="B18" s="3">
        <v>41791</v>
      </c>
      <c r="C18" s="4">
        <v>25900</v>
      </c>
      <c r="D18" s="4">
        <v>0</v>
      </c>
      <c r="E18" s="4">
        <v>0</v>
      </c>
      <c r="F18" s="7">
        <v>25900</v>
      </c>
    </row>
    <row r="19" spans="1:6" x14ac:dyDescent="0.2">
      <c r="A19" s="96" t="s">
        <v>71</v>
      </c>
      <c r="B19" s="3">
        <v>41821</v>
      </c>
      <c r="C19" s="4">
        <v>30900</v>
      </c>
      <c r="D19" s="4">
        <v>0</v>
      </c>
      <c r="E19" s="4">
        <v>0</v>
      </c>
      <c r="F19" s="7">
        <v>30900</v>
      </c>
    </row>
    <row r="20" spans="1:6" x14ac:dyDescent="0.2">
      <c r="A20" s="96" t="s">
        <v>72</v>
      </c>
      <c r="B20" s="3">
        <v>41852</v>
      </c>
      <c r="C20" s="4">
        <v>35300</v>
      </c>
      <c r="D20" s="4">
        <v>0</v>
      </c>
      <c r="E20" s="4">
        <v>0</v>
      </c>
      <c r="F20" s="7">
        <v>35300</v>
      </c>
    </row>
    <row r="21" spans="1:6" x14ac:dyDescent="0.2">
      <c r="A21" s="96" t="s">
        <v>73</v>
      </c>
      <c r="B21" s="76">
        <v>41883</v>
      </c>
      <c r="C21" s="4">
        <v>40800</v>
      </c>
      <c r="D21" s="4">
        <v>0</v>
      </c>
      <c r="E21" s="4">
        <v>0</v>
      </c>
      <c r="F21" s="7">
        <v>40800</v>
      </c>
    </row>
    <row r="22" spans="1:6" x14ac:dyDescent="0.2">
      <c r="A22" s="96" t="s">
        <v>76</v>
      </c>
      <c r="B22" s="76">
        <v>41913</v>
      </c>
      <c r="C22" s="4">
        <v>49300</v>
      </c>
      <c r="D22" s="4">
        <v>0</v>
      </c>
      <c r="E22" s="4">
        <v>0</v>
      </c>
      <c r="F22" s="7">
        <v>49300</v>
      </c>
    </row>
    <row r="23" spans="1:6" x14ac:dyDescent="0.2">
      <c r="A23" s="96" t="s">
        <v>77</v>
      </c>
      <c r="B23" s="76">
        <v>41944</v>
      </c>
      <c r="C23" s="4">
        <v>64200</v>
      </c>
      <c r="D23" s="4">
        <v>0</v>
      </c>
      <c r="E23" s="4">
        <v>0</v>
      </c>
      <c r="F23" s="7">
        <v>64200</v>
      </c>
    </row>
    <row r="24" spans="1:6" x14ac:dyDescent="0.2">
      <c r="A24" s="96" t="s">
        <v>78</v>
      </c>
      <c r="B24" s="76">
        <v>41974</v>
      </c>
      <c r="C24" s="4">
        <v>129400</v>
      </c>
      <c r="D24" s="4">
        <v>0</v>
      </c>
      <c r="E24" s="4">
        <v>0</v>
      </c>
      <c r="F24" s="7">
        <v>129400</v>
      </c>
    </row>
    <row r="25" spans="1:6" x14ac:dyDescent="0.2">
      <c r="A25" s="96" t="s">
        <v>79</v>
      </c>
      <c r="B25" s="76">
        <v>42005</v>
      </c>
      <c r="C25" s="4">
        <v>200100</v>
      </c>
      <c r="D25" s="4">
        <v>0</v>
      </c>
      <c r="E25" s="4">
        <v>0</v>
      </c>
      <c r="F25" s="7">
        <v>200100</v>
      </c>
    </row>
    <row r="26" spans="1:6" x14ac:dyDescent="0.2">
      <c r="A26" s="96" t="s">
        <v>89</v>
      </c>
      <c r="B26" s="76">
        <v>42036</v>
      </c>
      <c r="C26" s="4">
        <v>212100</v>
      </c>
      <c r="D26" s="4">
        <v>0</v>
      </c>
      <c r="E26" s="4">
        <v>0</v>
      </c>
      <c r="F26" s="7">
        <v>212100</v>
      </c>
    </row>
    <row r="27" spans="1:6" x14ac:dyDescent="0.2">
      <c r="A27" s="96" t="s">
        <v>90</v>
      </c>
      <c r="B27" s="76">
        <v>42064</v>
      </c>
      <c r="C27" s="4">
        <v>187700</v>
      </c>
      <c r="D27" s="4">
        <v>0</v>
      </c>
      <c r="E27" s="4">
        <v>0</v>
      </c>
      <c r="F27" s="7">
        <v>187700</v>
      </c>
    </row>
    <row r="28" spans="1:6" x14ac:dyDescent="0.2">
      <c r="A28" s="96" t="s">
        <v>91</v>
      </c>
      <c r="B28" s="76">
        <v>42095</v>
      </c>
      <c r="C28" s="4">
        <v>89600</v>
      </c>
      <c r="D28" s="4">
        <v>0</v>
      </c>
      <c r="E28" s="4">
        <v>0</v>
      </c>
      <c r="F28" s="7">
        <v>89600</v>
      </c>
    </row>
    <row r="29" spans="1:6" x14ac:dyDescent="0.2">
      <c r="A29" s="96" t="s">
        <v>92</v>
      </c>
      <c r="B29" s="76">
        <v>42125</v>
      </c>
      <c r="C29" s="4">
        <v>85100</v>
      </c>
      <c r="D29" s="4">
        <v>0</v>
      </c>
      <c r="E29" s="4">
        <v>0</v>
      </c>
      <c r="F29" s="7">
        <v>85100</v>
      </c>
    </row>
    <row r="30" spans="1:6" x14ac:dyDescent="0.2">
      <c r="A30" s="96" t="s">
        <v>104</v>
      </c>
      <c r="B30" s="76">
        <v>42156</v>
      </c>
      <c r="C30" s="4">
        <v>99100</v>
      </c>
      <c r="D30" s="4">
        <v>0</v>
      </c>
      <c r="E30" s="4">
        <v>0</v>
      </c>
      <c r="F30" s="7">
        <v>99100</v>
      </c>
    </row>
    <row r="31" spans="1:6" x14ac:dyDescent="0.2">
      <c r="A31" s="96" t="s">
        <v>105</v>
      </c>
      <c r="B31" s="76">
        <v>42186</v>
      </c>
      <c r="C31" s="4">
        <v>117000</v>
      </c>
      <c r="D31" s="4">
        <v>0</v>
      </c>
      <c r="E31" s="4">
        <v>0</v>
      </c>
      <c r="F31" s="7">
        <v>117000</v>
      </c>
    </row>
    <row r="32" spans="1:6" ht="13.5" thickBot="1" x14ac:dyDescent="0.25">
      <c r="A32" s="96" t="s">
        <v>117</v>
      </c>
      <c r="B32" s="76">
        <v>42217</v>
      </c>
      <c r="C32" s="4">
        <v>121300</v>
      </c>
      <c r="D32" s="4">
        <v>0</v>
      </c>
      <c r="E32" s="4">
        <v>0</v>
      </c>
      <c r="F32" s="7">
        <v>121300</v>
      </c>
    </row>
    <row r="33" spans="1:17" x14ac:dyDescent="0.2">
      <c r="B33" s="44" t="s">
        <v>0</v>
      </c>
      <c r="C33" s="124">
        <f>SUM(C2:C32)</f>
        <v>3815000</v>
      </c>
      <c r="D33" s="124">
        <f t="shared" ref="D33:F33" si="0">SUM(D2:D32)</f>
        <v>0</v>
      </c>
      <c r="E33" s="124">
        <f t="shared" si="0"/>
        <v>0</v>
      </c>
      <c r="F33" s="124">
        <f t="shared" si="0"/>
        <v>3815000</v>
      </c>
      <c r="J33" s="159"/>
      <c r="K33" s="158" t="s">
        <v>14</v>
      </c>
      <c r="L33" s="250" t="s">
        <v>13</v>
      </c>
    </row>
    <row r="34" spans="1:17" x14ac:dyDescent="0.2">
      <c r="A34" s="17" t="s">
        <v>118</v>
      </c>
      <c r="B34" s="18" t="s">
        <v>22</v>
      </c>
      <c r="C34" s="8">
        <v>-1420000</v>
      </c>
      <c r="D34" s="8">
        <v>0</v>
      </c>
      <c r="E34" s="8">
        <v>0</v>
      </c>
      <c r="F34" s="8">
        <f>SUM(C34:E34)</f>
        <v>-1420000</v>
      </c>
      <c r="J34" s="156" t="s">
        <v>11</v>
      </c>
      <c r="K34" s="103">
        <v>42216</v>
      </c>
      <c r="L34" s="251">
        <v>41991</v>
      </c>
    </row>
    <row r="35" spans="1:17" ht="13.5" thickBot="1" x14ac:dyDescent="0.25">
      <c r="A35" s="17" t="s">
        <v>20</v>
      </c>
      <c r="B35" s="18" t="s">
        <v>22</v>
      </c>
      <c r="C35" s="8">
        <v>0</v>
      </c>
      <c r="D35" s="8">
        <v>0</v>
      </c>
      <c r="E35" s="8">
        <v>0</v>
      </c>
      <c r="F35" s="8">
        <f>SUM(C35:E35)</f>
        <v>0</v>
      </c>
      <c r="J35" s="157" t="s">
        <v>17</v>
      </c>
      <c r="K35" s="104">
        <v>42308</v>
      </c>
      <c r="L35" s="252">
        <v>42180</v>
      </c>
    </row>
    <row r="36" spans="1:17" ht="13.5" thickBot="1" x14ac:dyDescent="0.25">
      <c r="B36" s="44" t="s">
        <v>52</v>
      </c>
      <c r="C36" s="79">
        <f>+SUM(C33:C35)</f>
        <v>2395000</v>
      </c>
      <c r="D36" s="79">
        <f>+SUM(D33:D35)</f>
        <v>0</v>
      </c>
      <c r="E36" s="79">
        <f>+SUM(E33:E35)</f>
        <v>0</v>
      </c>
      <c r="F36" s="79">
        <f>+SUM(F33:F35)</f>
        <v>2395000</v>
      </c>
    </row>
    <row r="37" spans="1:17" ht="14.25" thickTop="1" thickBot="1" x14ac:dyDescent="0.25">
      <c r="B37" s="44"/>
      <c r="C37" s="13"/>
      <c r="D37" s="13"/>
      <c r="E37" s="13"/>
      <c r="F37" s="13"/>
      <c r="L37" s="8"/>
    </row>
    <row r="38" spans="1:17" x14ac:dyDescent="0.2">
      <c r="B38" s="43"/>
      <c r="C38" s="5"/>
      <c r="D38" s="17"/>
      <c r="I38" s="143"/>
      <c r="J38" s="128"/>
      <c r="K38" s="128"/>
      <c r="L38" s="128"/>
      <c r="M38" s="108"/>
    </row>
    <row r="39" spans="1:17" ht="36.75" x14ac:dyDescent="0.2">
      <c r="A39" s="90" t="s">
        <v>53</v>
      </c>
      <c r="B39" s="90" t="s">
        <v>3</v>
      </c>
      <c r="C39" s="90" t="s">
        <v>4</v>
      </c>
      <c r="D39" s="90" t="s">
        <v>5</v>
      </c>
      <c r="E39" s="90" t="s">
        <v>6</v>
      </c>
      <c r="F39" s="90" t="s">
        <v>7</v>
      </c>
      <c r="G39" s="90" t="s">
        <v>80</v>
      </c>
      <c r="H39" s="90" t="s">
        <v>81</v>
      </c>
      <c r="I39" s="105" t="s">
        <v>82</v>
      </c>
      <c r="J39" s="106" t="s">
        <v>83</v>
      </c>
      <c r="K39" s="106" t="s">
        <v>84</v>
      </c>
      <c r="L39" s="106" t="s">
        <v>85</v>
      </c>
      <c r="M39" s="107" t="s">
        <v>75</v>
      </c>
      <c r="N39" s="90" t="s">
        <v>86</v>
      </c>
      <c r="O39" s="90" t="s">
        <v>87</v>
      </c>
    </row>
    <row r="40" spans="1:17" x14ac:dyDescent="0.2">
      <c r="A40" s="311" t="s">
        <v>2</v>
      </c>
      <c r="B40" s="311"/>
      <c r="C40" s="282">
        <f>$L$34</f>
        <v>41991</v>
      </c>
      <c r="D40" s="282">
        <f>DATE(YEAR(C40),IF(MONTH(C40)&lt;=3,3,IF(MONTH(C40)&lt;=6,6,IF(MONTH(C40)&lt;=9,9,12))),IF(OR(MONTH(C40)&lt;=3,MONTH(C40)&gt;=10),31,30))</f>
        <v>42004</v>
      </c>
      <c r="E40" s="283">
        <f>D40-C40+1</f>
        <v>14</v>
      </c>
      <c r="F40" s="284">
        <f>VLOOKUP(D40,'FERC Interest Rate'!$A:$C,2,TRUE)</f>
        <v>3.2500000000000001E-2</v>
      </c>
      <c r="G40" s="167">
        <f>$C$33</f>
        <v>3815000</v>
      </c>
      <c r="H40" s="167">
        <f>G40*F40*(E40/(DATE(YEAR(D40),12,31)-DATE(YEAR(D40),1,1)+1))</f>
        <v>4755.6849315068494</v>
      </c>
      <c r="I40" s="285">
        <v>0</v>
      </c>
      <c r="J40" s="167">
        <v>0</v>
      </c>
      <c r="K40" s="288">
        <f>+SUM(I40:J40)</f>
        <v>0</v>
      </c>
      <c r="L40" s="286">
        <v>0</v>
      </c>
      <c r="M40" s="289">
        <f>+SUM(K40:L40)</f>
        <v>0</v>
      </c>
      <c r="N40" s="290">
        <f>+G40+H40+J40</f>
        <v>3819755.6849315069</v>
      </c>
      <c r="O40" s="167">
        <f>+N40-M40</f>
        <v>3819755.6849315069</v>
      </c>
    </row>
    <row r="41" spans="1:17" x14ac:dyDescent="0.2">
      <c r="A41" s="312"/>
      <c r="B41" s="312"/>
      <c r="C41" s="282">
        <f>D40+1</f>
        <v>42005</v>
      </c>
      <c r="D41" s="282">
        <f>EOMONTH(D40,3)</f>
        <v>42094</v>
      </c>
      <c r="E41" s="283">
        <f>D41-C41+1</f>
        <v>90</v>
      </c>
      <c r="F41" s="284">
        <f>VLOOKUP(D41,'FERC Interest Rate'!$A:$C,2,TRUE)</f>
        <v>3.2500000000000001E-2</v>
      </c>
      <c r="G41" s="167">
        <f t="shared" ref="G41:G59" si="1">O40</f>
        <v>3819755.6849315069</v>
      </c>
      <c r="H41" s="167">
        <f>G41*F41*(E41/(DATE(YEAR(D41),12,31)-DATE(YEAR(D41),1,1)+1))</f>
        <v>30610.370899793579</v>
      </c>
      <c r="I41" s="285">
        <v>0</v>
      </c>
      <c r="J41" s="167">
        <v>0</v>
      </c>
      <c r="K41" s="288">
        <f t="shared" ref="K41:K59" si="2">+SUM(I41:J41)</f>
        <v>0</v>
      </c>
      <c r="L41" s="286">
        <v>0</v>
      </c>
      <c r="M41" s="289">
        <f t="shared" ref="M41:M59" si="3">+SUM(K41:L41)</f>
        <v>0</v>
      </c>
      <c r="N41" s="290">
        <f t="shared" ref="N41:N59" si="4">+G41+H41+J41</f>
        <v>3850366.0558313006</v>
      </c>
      <c r="O41" s="167">
        <f t="shared" ref="O41:O62" si="5">+N41-M41</f>
        <v>3850366.0558313006</v>
      </c>
    </row>
    <row r="42" spans="1:17" x14ac:dyDescent="0.2">
      <c r="A42" s="293"/>
      <c r="B42" s="293"/>
      <c r="C42" s="282">
        <f>D41+1</f>
        <v>42095</v>
      </c>
      <c r="D42" s="282">
        <f t="shared" ref="D42:D62" si="6">EOMONTH(D41,3)</f>
        <v>42185</v>
      </c>
      <c r="E42" s="283">
        <f>D42-C42+1</f>
        <v>91</v>
      </c>
      <c r="F42" s="284">
        <f>VLOOKUP(D42,'FERC Interest Rate'!$A:$C,2,TRUE)</f>
        <v>3.2500000000000001E-2</v>
      </c>
      <c r="G42" s="167">
        <f t="shared" si="1"/>
        <v>3850366.0558313006</v>
      </c>
      <c r="H42" s="167">
        <f>G42*F42*(E42/(DATE(YEAR(D42),12,31)-DATE(YEAR(D42),1,1)+1))</f>
        <v>31198.514000331703</v>
      </c>
      <c r="I42" s="285">
        <v>0</v>
      </c>
      <c r="J42" s="167">
        <v>0</v>
      </c>
      <c r="K42" s="288">
        <f t="shared" si="2"/>
        <v>0</v>
      </c>
      <c r="L42" s="286">
        <v>0</v>
      </c>
      <c r="M42" s="289">
        <f t="shared" si="3"/>
        <v>0</v>
      </c>
      <c r="N42" s="290">
        <f t="shared" si="4"/>
        <v>3881564.5698316321</v>
      </c>
      <c r="O42" s="167">
        <f t="shared" si="5"/>
        <v>3881564.5698316321</v>
      </c>
      <c r="P42" s="85"/>
      <c r="Q42" s="85"/>
    </row>
    <row r="43" spans="1:17" x14ac:dyDescent="0.2">
      <c r="A43" s="293"/>
      <c r="B43" s="293"/>
      <c r="C43" s="282">
        <f>D42+1</f>
        <v>42186</v>
      </c>
      <c r="D43" s="282">
        <f t="shared" si="6"/>
        <v>42277</v>
      </c>
      <c r="E43" s="283">
        <f>D43-C43+1</f>
        <v>92</v>
      </c>
      <c r="F43" s="284">
        <f>VLOOKUP(D43,'FERC Interest Rate'!$A:$C,2,TRUE)</f>
        <v>3.2500000000000001E-2</v>
      </c>
      <c r="G43" s="167">
        <f>N42</f>
        <v>3881564.5698316321</v>
      </c>
      <c r="H43" s="167">
        <v>0</v>
      </c>
      <c r="I43" s="285">
        <v>0</v>
      </c>
      <c r="J43" s="286">
        <f t="shared" ref="J43:J59" si="7">G43*F43*(E43/(DATE(YEAR(D43),12,31)-DATE(YEAR(D43),1,1)+1))</f>
        <v>31796.926202182414</v>
      </c>
      <c r="K43" s="288">
        <f t="shared" si="2"/>
        <v>31796.926202182414</v>
      </c>
      <c r="L43" s="286">
        <v>0</v>
      </c>
      <c r="M43" s="289">
        <v>0</v>
      </c>
      <c r="N43" s="290">
        <f t="shared" si="4"/>
        <v>3913361.4960338143</v>
      </c>
      <c r="O43" s="167">
        <f t="shared" si="5"/>
        <v>3913361.4960338143</v>
      </c>
      <c r="P43" s="85"/>
      <c r="Q43" s="85"/>
    </row>
    <row r="44" spans="1:17" x14ac:dyDescent="0.2">
      <c r="A44" s="293"/>
      <c r="B44" s="293"/>
      <c r="C44" s="282">
        <f t="shared" ref="C44:C59" si="8">D43+1</f>
        <v>42278</v>
      </c>
      <c r="D44" s="282">
        <f t="shared" si="6"/>
        <v>42369</v>
      </c>
      <c r="E44" s="283">
        <f t="shared" ref="E44:E59" si="9">D44-C44+1</f>
        <v>92</v>
      </c>
      <c r="F44" s="284">
        <f>VLOOKUP(D44,'FERC Interest Rate'!$A:$C,2,TRUE)</f>
        <v>3.2500000000000001E-2</v>
      </c>
      <c r="G44" s="167">
        <f>N43</f>
        <v>3913361.4960338143</v>
      </c>
      <c r="H44" s="167">
        <v>0</v>
      </c>
      <c r="I44" s="285">
        <v>0</v>
      </c>
      <c r="J44" s="286">
        <f t="shared" si="7"/>
        <v>32057.399652441389</v>
      </c>
      <c r="K44" s="288">
        <f t="shared" si="2"/>
        <v>32057.399652441389</v>
      </c>
      <c r="L44" s="286">
        <v>0</v>
      </c>
      <c r="M44" s="289">
        <v>0</v>
      </c>
      <c r="N44" s="290">
        <f t="shared" si="4"/>
        <v>3945418.8956862558</v>
      </c>
      <c r="O44" s="167">
        <f t="shared" si="5"/>
        <v>3945418.8956862558</v>
      </c>
      <c r="P44" s="85"/>
      <c r="Q44" s="85"/>
    </row>
    <row r="45" spans="1:17" x14ac:dyDescent="0.2">
      <c r="A45" s="96" t="s">
        <v>103</v>
      </c>
      <c r="B45" s="81" t="str">
        <f t="shared" ref="B45:B62" si="10">+IF(MONTH(C45)&lt;4,"Q1",IF(MONTH(C45)&lt;7,"Q2",IF(MONTH(C45)&lt;10,"Q3","Q4")))&amp;"/"&amp;YEAR(C45)</f>
        <v>Q1/2016</v>
      </c>
      <c r="C45" s="82">
        <f t="shared" si="8"/>
        <v>42370</v>
      </c>
      <c r="D45" s="82">
        <v>42429</v>
      </c>
      <c r="E45" s="81">
        <f t="shared" si="9"/>
        <v>60</v>
      </c>
      <c r="F45" s="83">
        <f>VLOOKUP(D45,'FERC Interest Rate'!$A:$C,2,TRUE)</f>
        <v>3.2500000000000001E-2</v>
      </c>
      <c r="G45" s="84">
        <f>N44</f>
        <v>3945418.8956862558</v>
      </c>
      <c r="H45" s="84">
        <v>0</v>
      </c>
      <c r="I45" s="109">
        <f>SUM($H$40:$H$63)/20*3</f>
        <v>9984.6854747448197</v>
      </c>
      <c r="J45" s="85">
        <f t="shared" si="7"/>
        <v>21020.674444230048</v>
      </c>
      <c r="K45" s="129">
        <f>+SUM(I43:J45)</f>
        <v>94859.68577359867</v>
      </c>
      <c r="L45" s="85">
        <f>$C$33/20*3</f>
        <v>572250</v>
      </c>
      <c r="M45" s="130">
        <f t="shared" si="3"/>
        <v>667109.68577359873</v>
      </c>
      <c r="N45" s="8">
        <f t="shared" si="4"/>
        <v>3966439.570130486</v>
      </c>
      <c r="O45" s="84">
        <f t="shared" si="5"/>
        <v>3299329.8843568871</v>
      </c>
      <c r="P45" s="85"/>
      <c r="Q45" s="85"/>
    </row>
    <row r="46" spans="1:17" x14ac:dyDescent="0.2">
      <c r="A46" s="17" t="s">
        <v>57</v>
      </c>
      <c r="B46" s="81" t="str">
        <f t="shared" si="10"/>
        <v>Q1/2016</v>
      </c>
      <c r="C46" s="82">
        <f t="shared" si="8"/>
        <v>42430</v>
      </c>
      <c r="D46" s="82">
        <f>EOMONTH(D45,1)</f>
        <v>42460</v>
      </c>
      <c r="E46" s="81">
        <f t="shared" si="9"/>
        <v>31</v>
      </c>
      <c r="F46" s="83">
        <f>VLOOKUP(D46,'FERC Interest Rate'!$A:$C,2,TRUE)</f>
        <v>3.2500000000000001E-2</v>
      </c>
      <c r="G46" s="84">
        <f t="shared" si="1"/>
        <v>3299329.8843568871</v>
      </c>
      <c r="H46" s="84">
        <v>0</v>
      </c>
      <c r="I46" s="109">
        <f t="shared" ref="I46:I62" si="11">SUM($H$40:$H$63)/20</f>
        <v>3328.2284915816067</v>
      </c>
      <c r="J46" s="85">
        <f t="shared" si="7"/>
        <v>9082.1717445070044</v>
      </c>
      <c r="K46" s="129">
        <f t="shared" si="2"/>
        <v>12410.400236088612</v>
      </c>
      <c r="L46" s="85">
        <f t="shared" ref="L46:L47" si="12">$C$33/20</f>
        <v>190750</v>
      </c>
      <c r="M46" s="130">
        <f t="shared" si="3"/>
        <v>203160.40023608861</v>
      </c>
      <c r="N46" s="8">
        <f t="shared" si="4"/>
        <v>3308412.0561013939</v>
      </c>
      <c r="O46" s="84">
        <f t="shared" si="5"/>
        <v>3105251.6558653051</v>
      </c>
      <c r="P46" s="85"/>
      <c r="Q46" s="85"/>
    </row>
    <row r="47" spans="1:17" x14ac:dyDescent="0.2">
      <c r="A47" s="17" t="s">
        <v>58</v>
      </c>
      <c r="B47" s="81" t="str">
        <f t="shared" si="10"/>
        <v>Q2/2016</v>
      </c>
      <c r="C47" s="82">
        <f t="shared" si="8"/>
        <v>42461</v>
      </c>
      <c r="D47" s="82">
        <f t="shared" si="6"/>
        <v>42551</v>
      </c>
      <c r="E47" s="81">
        <f t="shared" si="9"/>
        <v>91</v>
      </c>
      <c r="F47" s="83">
        <f>VLOOKUP(D47,'FERC Interest Rate'!$A:$C,2,TRUE)</f>
        <v>3.4599999999999999E-2</v>
      </c>
      <c r="G47" s="84">
        <f t="shared" si="1"/>
        <v>3105251.6558653051</v>
      </c>
      <c r="H47" s="84">
        <v>0</v>
      </c>
      <c r="I47" s="109">
        <f t="shared" si="11"/>
        <v>3328.2284915816067</v>
      </c>
      <c r="J47" s="85">
        <f t="shared" si="7"/>
        <v>26713.648534583332</v>
      </c>
      <c r="K47" s="129">
        <f t="shared" si="2"/>
        <v>30041.877026164937</v>
      </c>
      <c r="L47" s="85">
        <f t="shared" si="12"/>
        <v>190750</v>
      </c>
      <c r="M47" s="130">
        <f t="shared" si="3"/>
        <v>220791.87702616493</v>
      </c>
      <c r="N47" s="8">
        <f t="shared" si="4"/>
        <v>3131965.3043998885</v>
      </c>
      <c r="O47" s="84">
        <f t="shared" si="5"/>
        <v>2911173.4273737236</v>
      </c>
      <c r="P47" s="85"/>
      <c r="Q47" s="85"/>
    </row>
    <row r="48" spans="1:17" x14ac:dyDescent="0.2">
      <c r="A48" s="17" t="s">
        <v>59</v>
      </c>
      <c r="B48" s="81" t="str">
        <f t="shared" si="10"/>
        <v>Q3/2016</v>
      </c>
      <c r="C48" s="82">
        <f t="shared" si="8"/>
        <v>42552</v>
      </c>
      <c r="D48" s="82">
        <f t="shared" si="6"/>
        <v>42643</v>
      </c>
      <c r="E48" s="81">
        <f t="shared" si="9"/>
        <v>92</v>
      </c>
      <c r="F48" s="83">
        <f>VLOOKUP(D48,'FERC Interest Rate'!$A:$C,2,TRUE)</f>
        <v>3.5000000000000003E-2</v>
      </c>
      <c r="G48" s="84">
        <f t="shared" si="1"/>
        <v>2911173.4273737236</v>
      </c>
      <c r="H48" s="84">
        <v>0</v>
      </c>
      <c r="I48" s="109">
        <f t="shared" si="11"/>
        <v>3328.2284915816067</v>
      </c>
      <c r="J48" s="85">
        <f t="shared" si="7"/>
        <v>25611.962940282487</v>
      </c>
      <c r="K48" s="129">
        <f t="shared" si="2"/>
        <v>28940.191431864092</v>
      </c>
      <c r="L48" s="85">
        <f>($C$36/20)-355000</f>
        <v>-235250</v>
      </c>
      <c r="M48" s="130">
        <f t="shared" si="3"/>
        <v>-206309.80856813589</v>
      </c>
      <c r="N48" s="8">
        <f t="shared" si="4"/>
        <v>2936785.3903140062</v>
      </c>
      <c r="O48" s="84">
        <f>+N48-M48-1420000</f>
        <v>1723095.1988821421</v>
      </c>
      <c r="P48" s="85"/>
      <c r="Q48" s="85"/>
    </row>
    <row r="49" spans="1:17" x14ac:dyDescent="0.2">
      <c r="A49" s="17" t="s">
        <v>60</v>
      </c>
      <c r="B49" s="81" t="str">
        <f t="shared" si="10"/>
        <v>Q4/2016</v>
      </c>
      <c r="C49" s="82">
        <f t="shared" si="8"/>
        <v>42644</v>
      </c>
      <c r="D49" s="82">
        <f t="shared" si="6"/>
        <v>42735</v>
      </c>
      <c r="E49" s="81">
        <f t="shared" si="9"/>
        <v>92</v>
      </c>
      <c r="F49" s="83">
        <f>VLOOKUP(D49,'FERC Interest Rate'!$A:$C,2,TRUE)</f>
        <v>3.5000000000000003E-2</v>
      </c>
      <c r="G49" s="84">
        <f t="shared" si="1"/>
        <v>1723095.1988821421</v>
      </c>
      <c r="H49" s="84">
        <v>0</v>
      </c>
      <c r="I49" s="109">
        <f t="shared" si="11"/>
        <v>3328.2284915816067</v>
      </c>
      <c r="J49" s="85">
        <f t="shared" si="7"/>
        <v>15159.471421859285</v>
      </c>
      <c r="K49" s="129">
        <f t="shared" si="2"/>
        <v>18487.699913440891</v>
      </c>
      <c r="L49" s="85">
        <f t="shared" ref="L49:L62" si="13">$C$36/20</f>
        <v>119750</v>
      </c>
      <c r="M49" s="130">
        <f t="shared" si="3"/>
        <v>138237.69991344088</v>
      </c>
      <c r="N49" s="8">
        <f t="shared" si="4"/>
        <v>1738254.6703040013</v>
      </c>
      <c r="O49" s="84">
        <f t="shared" si="5"/>
        <v>1600016.9703905603</v>
      </c>
      <c r="P49" s="85"/>
      <c r="Q49" s="85"/>
    </row>
    <row r="50" spans="1:17" x14ac:dyDescent="0.2">
      <c r="A50" s="17" t="s">
        <v>61</v>
      </c>
      <c r="B50" s="81" t="str">
        <f t="shared" si="10"/>
        <v>Q1/2017</v>
      </c>
      <c r="C50" s="82">
        <f t="shared" si="8"/>
        <v>42736</v>
      </c>
      <c r="D50" s="82">
        <f t="shared" si="6"/>
        <v>42825</v>
      </c>
      <c r="E50" s="81">
        <f t="shared" si="9"/>
        <v>90</v>
      </c>
      <c r="F50" s="83">
        <f>VLOOKUP(D50,'FERC Interest Rate'!$A:$C,2,TRUE)</f>
        <v>3.5000000000000003E-2</v>
      </c>
      <c r="G50" s="84">
        <f t="shared" si="1"/>
        <v>1600016.9703905603</v>
      </c>
      <c r="H50" s="84">
        <v>0</v>
      </c>
      <c r="I50" s="109">
        <f t="shared" si="11"/>
        <v>3328.2284915816067</v>
      </c>
      <c r="J50" s="85">
        <f t="shared" si="7"/>
        <v>13808.36563487744</v>
      </c>
      <c r="K50" s="129">
        <f t="shared" si="2"/>
        <v>17136.594126459047</v>
      </c>
      <c r="L50" s="85">
        <f t="shared" si="13"/>
        <v>119750</v>
      </c>
      <c r="M50" s="130">
        <f t="shared" si="3"/>
        <v>136886.59412645904</v>
      </c>
      <c r="N50" s="8">
        <f t="shared" si="4"/>
        <v>1613825.3360254378</v>
      </c>
      <c r="O50" s="84">
        <f t="shared" si="5"/>
        <v>1476938.7418989788</v>
      </c>
      <c r="P50" s="85"/>
      <c r="Q50" s="85"/>
    </row>
    <row r="51" spans="1:17" x14ac:dyDescent="0.2">
      <c r="A51" s="17" t="s">
        <v>62</v>
      </c>
      <c r="B51" s="81" t="str">
        <f t="shared" si="10"/>
        <v>Q2/2017</v>
      </c>
      <c r="C51" s="82">
        <f t="shared" si="8"/>
        <v>42826</v>
      </c>
      <c r="D51" s="82">
        <f t="shared" si="6"/>
        <v>42916</v>
      </c>
      <c r="E51" s="81">
        <f t="shared" si="9"/>
        <v>91</v>
      </c>
      <c r="F51" s="83">
        <f>VLOOKUP(D51,'FERC Interest Rate'!$A:$C,2,TRUE)</f>
        <v>3.7100000000000001E-2</v>
      </c>
      <c r="G51" s="84">
        <f t="shared" si="1"/>
        <v>1476938.7418989788</v>
      </c>
      <c r="H51" s="84">
        <v>0</v>
      </c>
      <c r="I51" s="109">
        <f t="shared" si="11"/>
        <v>3328.2284915816067</v>
      </c>
      <c r="J51" s="85">
        <f t="shared" si="7"/>
        <v>13661.076401438748</v>
      </c>
      <c r="K51" s="129">
        <f t="shared" si="2"/>
        <v>16989.304893020355</v>
      </c>
      <c r="L51" s="85">
        <f t="shared" si="13"/>
        <v>119750</v>
      </c>
      <c r="M51" s="130">
        <f t="shared" si="3"/>
        <v>136739.30489302037</v>
      </c>
      <c r="N51" s="8">
        <f t="shared" si="4"/>
        <v>1490599.8183004176</v>
      </c>
      <c r="O51" s="84">
        <f t="shared" si="5"/>
        <v>1353860.5134073973</v>
      </c>
      <c r="P51" s="85"/>
      <c r="Q51" s="85"/>
    </row>
    <row r="52" spans="1:17" x14ac:dyDescent="0.2">
      <c r="A52" s="17" t="s">
        <v>63</v>
      </c>
      <c r="B52" s="81" t="str">
        <f t="shared" si="10"/>
        <v>Q3/2017</v>
      </c>
      <c r="C52" s="82">
        <f t="shared" si="8"/>
        <v>42917</v>
      </c>
      <c r="D52" s="82">
        <f t="shared" si="6"/>
        <v>43008</v>
      </c>
      <c r="E52" s="81">
        <f t="shared" si="9"/>
        <v>92</v>
      </c>
      <c r="F52" s="83">
        <f>VLOOKUP(D52,'FERC Interest Rate'!$A:$C,2,TRUE)</f>
        <v>3.9600000000000003E-2</v>
      </c>
      <c r="G52" s="84">
        <f t="shared" si="1"/>
        <v>1353860.5134073973</v>
      </c>
      <c r="H52" s="84">
        <v>0</v>
      </c>
      <c r="I52" s="109">
        <f t="shared" si="11"/>
        <v>3328.2284915816067</v>
      </c>
      <c r="J52" s="85">
        <f t="shared" si="7"/>
        <v>13513.38252724885</v>
      </c>
      <c r="K52" s="129">
        <f t="shared" si="2"/>
        <v>16841.611018830456</v>
      </c>
      <c r="L52" s="85">
        <f t="shared" si="13"/>
        <v>119750</v>
      </c>
      <c r="M52" s="130">
        <f t="shared" si="3"/>
        <v>136591.61101883044</v>
      </c>
      <c r="N52" s="8">
        <f t="shared" si="4"/>
        <v>1367373.8959346463</v>
      </c>
      <c r="O52" s="84">
        <f t="shared" si="5"/>
        <v>1230782.2849158158</v>
      </c>
      <c r="P52" s="85"/>
      <c r="Q52" s="85"/>
    </row>
    <row r="53" spans="1:17" x14ac:dyDescent="0.2">
      <c r="A53" s="17" t="s">
        <v>64</v>
      </c>
      <c r="B53" s="81" t="str">
        <f t="shared" si="10"/>
        <v>Q4/2017</v>
      </c>
      <c r="C53" s="82">
        <f t="shared" si="8"/>
        <v>43009</v>
      </c>
      <c r="D53" s="82">
        <f t="shared" si="6"/>
        <v>43100</v>
      </c>
      <c r="E53" s="81">
        <f t="shared" si="9"/>
        <v>92</v>
      </c>
      <c r="F53" s="83">
        <f>VLOOKUP(D53,'FERC Interest Rate'!$A:$C,2,TRUE)</f>
        <v>4.2099999999999999E-2</v>
      </c>
      <c r="G53" s="84">
        <f t="shared" si="1"/>
        <v>1230782.2849158158</v>
      </c>
      <c r="H53" s="84">
        <v>0</v>
      </c>
      <c r="I53" s="109">
        <f t="shared" si="11"/>
        <v>3328.2284915816067</v>
      </c>
      <c r="J53" s="85">
        <f t="shared" si="7"/>
        <v>13060.45464639983</v>
      </c>
      <c r="K53" s="129">
        <f t="shared" si="2"/>
        <v>16388.683137981436</v>
      </c>
      <c r="L53" s="85">
        <f t="shared" si="13"/>
        <v>119750</v>
      </c>
      <c r="M53" s="130">
        <f t="shared" si="3"/>
        <v>136138.68313798142</v>
      </c>
      <c r="N53" s="8">
        <f t="shared" si="4"/>
        <v>1243842.7395622157</v>
      </c>
      <c r="O53" s="84">
        <f t="shared" si="5"/>
        <v>1107704.0564242343</v>
      </c>
      <c r="P53" s="85"/>
      <c r="Q53" s="85"/>
    </row>
    <row r="54" spans="1:17" x14ac:dyDescent="0.2">
      <c r="A54" s="17" t="s">
        <v>65</v>
      </c>
      <c r="B54" s="81" t="str">
        <f t="shared" si="10"/>
        <v>Q1/2018</v>
      </c>
      <c r="C54" s="82">
        <f t="shared" si="8"/>
        <v>43101</v>
      </c>
      <c r="D54" s="82">
        <f t="shared" si="6"/>
        <v>43190</v>
      </c>
      <c r="E54" s="81">
        <f t="shared" si="9"/>
        <v>90</v>
      </c>
      <c r="F54" s="83">
        <f>VLOOKUP(D54,'FERC Interest Rate'!$A:$C,2,TRUE)</f>
        <v>4.2500000000000003E-2</v>
      </c>
      <c r="G54" s="84">
        <f t="shared" si="1"/>
        <v>1107704.0564242343</v>
      </c>
      <c r="H54" s="84">
        <v>0</v>
      </c>
      <c r="I54" s="109">
        <f t="shared" si="11"/>
        <v>3328.2284915816067</v>
      </c>
      <c r="J54" s="85">
        <f t="shared" si="7"/>
        <v>11608.131550199167</v>
      </c>
      <c r="K54" s="129">
        <f t="shared" si="2"/>
        <v>14936.360041780774</v>
      </c>
      <c r="L54" s="85">
        <f t="shared" si="13"/>
        <v>119750</v>
      </c>
      <c r="M54" s="130">
        <f t="shared" si="3"/>
        <v>134686.36004178078</v>
      </c>
      <c r="N54" s="8">
        <f t="shared" si="4"/>
        <v>1119312.1879744334</v>
      </c>
      <c r="O54" s="84">
        <f t="shared" si="5"/>
        <v>984625.82793265267</v>
      </c>
      <c r="P54" s="85"/>
      <c r="Q54" s="85"/>
    </row>
    <row r="55" spans="1:17" x14ac:dyDescent="0.2">
      <c r="A55" s="17" t="s">
        <v>66</v>
      </c>
      <c r="B55" s="81" t="str">
        <f t="shared" si="10"/>
        <v>Q2/2018</v>
      </c>
      <c r="C55" s="82">
        <f t="shared" si="8"/>
        <v>43191</v>
      </c>
      <c r="D55" s="82">
        <f t="shared" si="6"/>
        <v>43281</v>
      </c>
      <c r="E55" s="81">
        <f t="shared" si="9"/>
        <v>91</v>
      </c>
      <c r="F55" s="83">
        <f>VLOOKUP(D55,'FERC Interest Rate'!$A:$C,2,TRUE)</f>
        <v>4.4699999999999997E-2</v>
      </c>
      <c r="G55" s="84">
        <f t="shared" si="1"/>
        <v>984625.82793265267</v>
      </c>
      <c r="H55" s="84">
        <v>0</v>
      </c>
      <c r="I55" s="109">
        <f t="shared" si="11"/>
        <v>3328.2284915816067</v>
      </c>
      <c r="J55" s="85">
        <f t="shared" si="7"/>
        <v>10973.047891182607</v>
      </c>
      <c r="K55" s="129">
        <f t="shared" si="2"/>
        <v>14301.276382764214</v>
      </c>
      <c r="L55" s="85">
        <f t="shared" si="13"/>
        <v>119750</v>
      </c>
      <c r="M55" s="130">
        <f t="shared" si="3"/>
        <v>134051.27638276422</v>
      </c>
      <c r="N55" s="8">
        <f t="shared" si="4"/>
        <v>995598.87582383526</v>
      </c>
      <c r="O55" s="84">
        <f t="shared" si="5"/>
        <v>861547.59944107104</v>
      </c>
      <c r="P55" s="85"/>
      <c r="Q55" s="85"/>
    </row>
    <row r="56" spans="1:17" x14ac:dyDescent="0.2">
      <c r="A56" s="17" t="s">
        <v>67</v>
      </c>
      <c r="B56" s="81" t="str">
        <f t="shared" si="10"/>
        <v>Q3/2018</v>
      </c>
      <c r="C56" s="82">
        <f t="shared" si="8"/>
        <v>43282</v>
      </c>
      <c r="D56" s="82">
        <f t="shared" si="6"/>
        <v>43373</v>
      </c>
      <c r="E56" s="81">
        <f t="shared" si="9"/>
        <v>92</v>
      </c>
      <c r="F56" s="83">
        <f>VLOOKUP(D56,'FERC Interest Rate'!$A:$C,2,TRUE)</f>
        <v>5.011111E-2</v>
      </c>
      <c r="G56" s="84">
        <f t="shared" si="1"/>
        <v>861547.59944107104</v>
      </c>
      <c r="H56" s="84">
        <v>0</v>
      </c>
      <c r="I56" s="109">
        <f t="shared" si="11"/>
        <v>3328.2284915816067</v>
      </c>
      <c r="J56" s="85">
        <f t="shared" si="7"/>
        <v>10881.988494181165</v>
      </c>
      <c r="K56" s="129">
        <f t="shared" si="2"/>
        <v>14210.216985762772</v>
      </c>
      <c r="L56" s="85">
        <f t="shared" si="13"/>
        <v>119750</v>
      </c>
      <c r="M56" s="130">
        <f t="shared" si="3"/>
        <v>133960.21698576276</v>
      </c>
      <c r="N56" s="8">
        <f t="shared" si="4"/>
        <v>872429.58793525223</v>
      </c>
      <c r="O56" s="84">
        <f t="shared" si="5"/>
        <v>738469.37094948953</v>
      </c>
      <c r="P56" s="85"/>
      <c r="Q56" s="85"/>
    </row>
    <row r="57" spans="1:17" x14ac:dyDescent="0.2">
      <c r="A57" s="17" t="s">
        <v>68</v>
      </c>
      <c r="B57" s="81" t="str">
        <f t="shared" si="10"/>
        <v>Q4/2018</v>
      </c>
      <c r="C57" s="82">
        <f t="shared" si="8"/>
        <v>43374</v>
      </c>
      <c r="D57" s="82">
        <f t="shared" si="6"/>
        <v>43465</v>
      </c>
      <c r="E57" s="81">
        <f t="shared" si="9"/>
        <v>92</v>
      </c>
      <c r="F57" s="83">
        <f>VLOOKUP(D57,'FERC Interest Rate'!$A:$C,2,TRUE)</f>
        <v>5.2822580000000001E-2</v>
      </c>
      <c r="G57" s="84">
        <f t="shared" si="1"/>
        <v>738469.37094948953</v>
      </c>
      <c r="H57" s="84">
        <v>0</v>
      </c>
      <c r="I57" s="109">
        <f t="shared" si="11"/>
        <v>3328.2284915816067</v>
      </c>
      <c r="J57" s="85">
        <f t="shared" si="7"/>
        <v>9832.1174878265101</v>
      </c>
      <c r="K57" s="129">
        <f t="shared" si="2"/>
        <v>13160.345979408117</v>
      </c>
      <c r="L57" s="85">
        <f t="shared" si="13"/>
        <v>119750</v>
      </c>
      <c r="M57" s="130">
        <f t="shared" si="3"/>
        <v>132910.34597940813</v>
      </c>
      <c r="N57" s="8">
        <f t="shared" si="4"/>
        <v>748301.48843731603</v>
      </c>
      <c r="O57" s="84">
        <f t="shared" si="5"/>
        <v>615391.1424579079</v>
      </c>
      <c r="P57" s="85"/>
      <c r="Q57" s="85"/>
    </row>
    <row r="58" spans="1:17" x14ac:dyDescent="0.2">
      <c r="A58" s="17" t="s">
        <v>69</v>
      </c>
      <c r="B58" s="81" t="str">
        <f t="shared" si="10"/>
        <v>Q1/2019</v>
      </c>
      <c r="C58" s="82">
        <f t="shared" si="8"/>
        <v>43466</v>
      </c>
      <c r="D58" s="82">
        <f t="shared" si="6"/>
        <v>43555</v>
      </c>
      <c r="E58" s="81">
        <f t="shared" si="9"/>
        <v>90</v>
      </c>
      <c r="F58" s="83">
        <f>VLOOKUP(D58,'FERC Interest Rate'!$A:$C,2,TRUE)</f>
        <v>5.5296770000000002E-2</v>
      </c>
      <c r="G58" s="84">
        <f t="shared" si="1"/>
        <v>615391.1424579079</v>
      </c>
      <c r="H58" s="84">
        <v>0</v>
      </c>
      <c r="I58" s="109">
        <f t="shared" si="11"/>
        <v>3328.2284915816067</v>
      </c>
      <c r="J58" s="85">
        <f t="shared" si="7"/>
        <v>8390.7474570079321</v>
      </c>
      <c r="K58" s="129">
        <f t="shared" si="2"/>
        <v>11718.975948589539</v>
      </c>
      <c r="L58" s="85">
        <f t="shared" si="13"/>
        <v>119750</v>
      </c>
      <c r="M58" s="130">
        <f t="shared" si="3"/>
        <v>131468.97594858953</v>
      </c>
      <c r="N58" s="8">
        <f t="shared" si="4"/>
        <v>623781.88991491578</v>
      </c>
      <c r="O58" s="84">
        <f t="shared" si="5"/>
        <v>492312.91396632628</v>
      </c>
      <c r="P58" s="85"/>
      <c r="Q58" s="85"/>
    </row>
    <row r="59" spans="1:17" x14ac:dyDescent="0.2">
      <c r="A59" s="17" t="s">
        <v>70</v>
      </c>
      <c r="B59" s="81" t="str">
        <f t="shared" si="10"/>
        <v>Q2/2019</v>
      </c>
      <c r="C59" s="82">
        <f t="shared" si="8"/>
        <v>43556</v>
      </c>
      <c r="D59" s="82">
        <f t="shared" si="6"/>
        <v>43646</v>
      </c>
      <c r="E59" s="81">
        <f t="shared" si="9"/>
        <v>91</v>
      </c>
      <c r="F59" s="83">
        <f>VLOOKUP(D59,'FERC Interest Rate'!$A:$C,2,TRUE)</f>
        <v>5.7999999999999996E-2</v>
      </c>
      <c r="G59" s="84">
        <f t="shared" si="1"/>
        <v>492312.91396632628</v>
      </c>
      <c r="H59" s="84">
        <v>0</v>
      </c>
      <c r="I59" s="109">
        <f t="shared" si="11"/>
        <v>3328.2284915816067</v>
      </c>
      <c r="J59" s="85">
        <f t="shared" si="7"/>
        <v>7118.97961620348</v>
      </c>
      <c r="K59" s="129">
        <f t="shared" si="2"/>
        <v>10447.208107785087</v>
      </c>
      <c r="L59" s="85">
        <f t="shared" si="13"/>
        <v>119750</v>
      </c>
      <c r="M59" s="130">
        <f t="shared" si="3"/>
        <v>130197.20810778509</v>
      </c>
      <c r="N59" s="8">
        <f t="shared" si="4"/>
        <v>499431.89358252974</v>
      </c>
      <c r="O59" s="84">
        <f t="shared" si="5"/>
        <v>369234.68547474465</v>
      </c>
      <c r="P59" s="85"/>
      <c r="Q59" s="85"/>
    </row>
    <row r="60" spans="1:17" x14ac:dyDescent="0.2">
      <c r="A60" s="17" t="s">
        <v>71</v>
      </c>
      <c r="B60" s="81" t="str">
        <f t="shared" si="10"/>
        <v>Q3/2019</v>
      </c>
      <c r="C60" s="82">
        <f>D59+1</f>
        <v>43647</v>
      </c>
      <c r="D60" s="82">
        <f t="shared" si="6"/>
        <v>43738</v>
      </c>
      <c r="E60" s="81">
        <f>D60-C60+1</f>
        <v>92</v>
      </c>
      <c r="F60" s="83">
        <f>VLOOKUP(D60,'FERC Interest Rate'!$A:$C,2,TRUE)</f>
        <v>0.06</v>
      </c>
      <c r="G60" s="84">
        <f>O59</f>
        <v>369234.68547474465</v>
      </c>
      <c r="H60" s="84">
        <v>0</v>
      </c>
      <c r="I60" s="109">
        <f t="shared" si="11"/>
        <v>3328.2284915816067</v>
      </c>
      <c r="J60" s="85">
        <f>G60*F60*(E60/(DATE(YEAR(D60),12,31)-DATE(YEAR(D60),1,1)+1))</f>
        <v>5584.0423666317547</v>
      </c>
      <c r="K60" s="129">
        <f>+SUM(I60:J60)</f>
        <v>8912.2708582133619</v>
      </c>
      <c r="L60" s="85">
        <f t="shared" si="13"/>
        <v>119750</v>
      </c>
      <c r="M60" s="130">
        <f>+SUM(K60:L60)</f>
        <v>128662.27085821336</v>
      </c>
      <c r="N60" s="8">
        <f>+G60+H60+J60</f>
        <v>374818.72784137639</v>
      </c>
      <c r="O60" s="84">
        <f t="shared" si="5"/>
        <v>246156.45698316302</v>
      </c>
      <c r="P60" s="85"/>
      <c r="Q60" s="85"/>
    </row>
    <row r="61" spans="1:17" x14ac:dyDescent="0.2">
      <c r="A61" s="96" t="s">
        <v>72</v>
      </c>
      <c r="B61" s="81" t="str">
        <f t="shared" si="10"/>
        <v>Q4/2019</v>
      </c>
      <c r="C61" s="82">
        <f>D60+1</f>
        <v>43739</v>
      </c>
      <c r="D61" s="82">
        <f t="shared" si="6"/>
        <v>43830</v>
      </c>
      <c r="E61" s="81">
        <f>D61-C61+1</f>
        <v>92</v>
      </c>
      <c r="F61" s="83">
        <f>VLOOKUP(D61,'FERC Interest Rate'!$A:$C,2,TRUE)</f>
        <v>6.0349460000000001E-2</v>
      </c>
      <c r="G61" s="84">
        <f>O60</f>
        <v>246156.45698316302</v>
      </c>
      <c r="H61" s="84">
        <v>0</v>
      </c>
      <c r="I61" s="109">
        <f t="shared" si="11"/>
        <v>3328.2284915816067</v>
      </c>
      <c r="J61" s="85">
        <f>G61*F61*(E61/(DATE(YEAR(D61),12,31)-DATE(YEAR(D61),1,1)+1))</f>
        <v>3744.3771271483147</v>
      </c>
      <c r="K61" s="129">
        <f>+SUM(I61:J61)</f>
        <v>7072.6056187299218</v>
      </c>
      <c r="L61" s="85">
        <f t="shared" si="13"/>
        <v>119750</v>
      </c>
      <c r="M61" s="130">
        <f>+SUM(K61:L61)</f>
        <v>126822.60561872993</v>
      </c>
      <c r="N61" s="8">
        <f>+G61+H61+J61</f>
        <v>249900.83411031135</v>
      </c>
      <c r="O61" s="84">
        <f t="shared" si="5"/>
        <v>123078.22849158142</v>
      </c>
      <c r="P61" s="85"/>
      <c r="Q61" s="85"/>
    </row>
    <row r="62" spans="1:17" x14ac:dyDescent="0.2">
      <c r="A62" s="96" t="s">
        <v>73</v>
      </c>
      <c r="B62" s="81" t="str">
        <f t="shared" si="10"/>
        <v>Q1/2020</v>
      </c>
      <c r="C62" s="82">
        <f>D61+1</f>
        <v>43831</v>
      </c>
      <c r="D62" s="82">
        <f t="shared" si="6"/>
        <v>43921</v>
      </c>
      <c r="E62" s="81">
        <f>D62-C62+1</f>
        <v>91</v>
      </c>
      <c r="F62" s="83">
        <f>VLOOKUP(D62,'FERC Interest Rate'!$A:$C,2,TRUE)</f>
        <v>6.2501040000000008E-2</v>
      </c>
      <c r="G62" s="84">
        <f>O61</f>
        <v>123078.22849158142</v>
      </c>
      <c r="H62" s="84">
        <v>0</v>
      </c>
      <c r="I62" s="109">
        <f t="shared" si="11"/>
        <v>3328.2284915816067</v>
      </c>
      <c r="J62" s="85">
        <f>G62*F62*(E62/(DATE(YEAR(D62),12,31)-DATE(YEAR(D62),1,1)+1))</f>
        <v>1912.6204171295462</v>
      </c>
      <c r="K62" s="129">
        <f>+SUM(I62:J62)</f>
        <v>5240.8489087111529</v>
      </c>
      <c r="L62" s="85">
        <f t="shared" si="13"/>
        <v>119750</v>
      </c>
      <c r="M62" s="130">
        <f>+SUM(K62:L62)</f>
        <v>124990.84890871115</v>
      </c>
      <c r="N62" s="8">
        <f>+G62+H62+J62</f>
        <v>124990.84890871096</v>
      </c>
      <c r="O62" s="84">
        <f t="shared" si="5"/>
        <v>-1.8917489796876907E-10</v>
      </c>
      <c r="P62" s="85"/>
      <c r="Q62" s="85"/>
    </row>
    <row r="63" spans="1:17" x14ac:dyDescent="0.2">
      <c r="B63" s="81"/>
      <c r="C63" s="146"/>
      <c r="D63" s="146"/>
      <c r="E63" s="81"/>
      <c r="F63" s="83"/>
      <c r="G63" s="84"/>
      <c r="H63" s="84"/>
      <c r="I63" s="109"/>
      <c r="J63" s="85"/>
      <c r="K63" s="117"/>
      <c r="L63" s="85"/>
      <c r="M63" s="131"/>
      <c r="O63" s="84"/>
    </row>
    <row r="64" spans="1:17" ht="13.5" thickBot="1" x14ac:dyDescent="0.25">
      <c r="A64" s="151"/>
      <c r="B64" s="152"/>
      <c r="C64" s="155"/>
      <c r="D64" s="155"/>
      <c r="E64" s="154"/>
      <c r="F64" s="152"/>
      <c r="G64" s="140">
        <f t="shared" ref="G64:O64" si="14">+SUM(G40:G63)</f>
        <v>45464435.661526494</v>
      </c>
      <c r="H64" s="140">
        <f t="shared" si="14"/>
        <v>66564.569831632136</v>
      </c>
      <c r="I64" s="141">
        <f t="shared" si="14"/>
        <v>66564.569831632121</v>
      </c>
      <c r="J64" s="140">
        <f t="shared" si="14"/>
        <v>285531.58655756124</v>
      </c>
      <c r="K64" s="140">
        <f t="shared" si="14"/>
        <v>415950.48224381724</v>
      </c>
      <c r="L64" s="140">
        <f t="shared" si="14"/>
        <v>2395000</v>
      </c>
      <c r="M64" s="142">
        <f t="shared" si="14"/>
        <v>2747096.1563891931</v>
      </c>
      <c r="N64" s="140">
        <f t="shared" si="14"/>
        <v>45816531.817915685</v>
      </c>
      <c r="O64" s="140">
        <f t="shared" si="14"/>
        <v>41649435.661526501</v>
      </c>
      <c r="P64" s="8"/>
    </row>
    <row r="65" spans="2:16" ht="14.25" thickTop="1" thickBot="1" x14ac:dyDescent="0.25">
      <c r="B65" s="2"/>
      <c r="C65" s="9"/>
      <c r="D65" s="9"/>
      <c r="E65" s="10"/>
      <c r="F65" s="11"/>
      <c r="G65" s="16"/>
      <c r="H65" s="14"/>
      <c r="I65" s="168"/>
      <c r="J65" s="265"/>
      <c r="K65" s="122"/>
      <c r="L65" s="266"/>
      <c r="M65" s="123"/>
      <c r="O65" s="117"/>
      <c r="P65" s="8"/>
    </row>
  </sheetData>
  <mergeCells count="1">
    <mergeCell ref="A40:B41"/>
  </mergeCells>
  <pageMargins left="0.7" right="0.7" top="0.75" bottom="0.75" header="0.3" footer="0.3"/>
  <pageSetup scale="55" fitToHeight="0" orientation="landscape" r:id="rId1"/>
  <headerFooter alignWithMargins="0">
    <oddHeader>&amp;RTO2019 Annual Update
Attachment 4
WP Schedule 22
Page &amp;P of &amp;N</oddHeader>
    <oddFooter>&amp;L&amp;D&amp;R&amp;A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zoomScale="80" zoomScaleNormal="80" workbookViewId="0"/>
  </sheetViews>
  <sheetFormatPr defaultColWidth="9.140625" defaultRowHeight="12.75" x14ac:dyDescent="0.2"/>
  <cols>
    <col min="1" max="1" width="10.28515625" style="6" customWidth="1"/>
    <col min="2" max="2" width="13.5703125" style="6" customWidth="1"/>
    <col min="3" max="3" width="14.7109375" style="6" customWidth="1"/>
    <col min="4" max="4" width="13.5703125" style="6" customWidth="1"/>
    <col min="5" max="5" width="11.7109375" style="6" bestFit="1" customWidth="1"/>
    <col min="6" max="6" width="15.140625" style="6" bestFit="1" customWidth="1"/>
    <col min="7" max="9" width="16.140625" style="6" customWidth="1"/>
    <col min="10" max="10" width="17.28515625" style="6" bestFit="1" customWidth="1"/>
    <col min="11" max="15" width="16.140625" style="6" customWidth="1"/>
    <col min="16" max="16" width="14.28515625" style="6" bestFit="1" customWidth="1"/>
    <col min="17" max="16384" width="9.140625" style="6"/>
  </cols>
  <sheetData>
    <row r="1" spans="1:17" ht="38.25" x14ac:dyDescent="0.2">
      <c r="A1" s="101" t="s">
        <v>8</v>
      </c>
      <c r="B1" s="102" t="s">
        <v>88</v>
      </c>
      <c r="C1" s="101" t="s">
        <v>2</v>
      </c>
      <c r="D1" s="101" t="s">
        <v>1</v>
      </c>
      <c r="E1" s="102" t="s">
        <v>74</v>
      </c>
      <c r="F1" s="102" t="s">
        <v>48</v>
      </c>
      <c r="H1"/>
      <c r="I1"/>
      <c r="J1"/>
      <c r="K1"/>
      <c r="L1"/>
      <c r="M1"/>
      <c r="N1"/>
      <c r="O1"/>
    </row>
    <row r="2" spans="1:17" ht="12.75" customHeight="1" thickBot="1" x14ac:dyDescent="0.25">
      <c r="A2" s="96" t="s">
        <v>54</v>
      </c>
      <c r="B2" s="76">
        <v>42061</v>
      </c>
      <c r="C2" s="4">
        <v>2410000</v>
      </c>
      <c r="D2" s="4">
        <v>0</v>
      </c>
      <c r="E2" s="4">
        <v>0</v>
      </c>
      <c r="F2" s="7">
        <f>SUM(C2:E2)</f>
        <v>2410000</v>
      </c>
      <c r="H2"/>
      <c r="I2"/>
      <c r="J2"/>
      <c r="K2"/>
      <c r="L2"/>
      <c r="M2"/>
      <c r="N2"/>
      <c r="O2"/>
    </row>
    <row r="3" spans="1:17" x14ac:dyDescent="0.2">
      <c r="B3" s="44" t="s">
        <v>0</v>
      </c>
      <c r="C3" s="124">
        <f>SUM(C2:C2)</f>
        <v>2410000</v>
      </c>
      <c r="D3" s="124">
        <f>SUM(D2:D2)</f>
        <v>0</v>
      </c>
      <c r="E3" s="124">
        <f>SUM(E2:E2)</f>
        <v>0</v>
      </c>
      <c r="F3" s="124">
        <f>SUM(F2:F2)</f>
        <v>2410000</v>
      </c>
      <c r="J3" s="159"/>
      <c r="K3" s="158" t="s">
        <v>14</v>
      </c>
      <c r="L3" s="250" t="s">
        <v>13</v>
      </c>
      <c r="M3"/>
    </row>
    <row r="4" spans="1:17" x14ac:dyDescent="0.2">
      <c r="A4" s="17" t="s">
        <v>19</v>
      </c>
      <c r="B4" s="18" t="s">
        <v>22</v>
      </c>
      <c r="C4" s="8">
        <v>0</v>
      </c>
      <c r="D4" s="8">
        <v>0</v>
      </c>
      <c r="E4" s="8">
        <v>0</v>
      </c>
      <c r="F4" s="8">
        <f>SUM(C4:E4)</f>
        <v>0</v>
      </c>
      <c r="J4" s="156" t="s">
        <v>11</v>
      </c>
      <c r="K4" s="103">
        <v>42125</v>
      </c>
      <c r="L4" s="251">
        <f>K4</f>
        <v>42125</v>
      </c>
      <c r="M4"/>
    </row>
    <row r="5" spans="1:17" ht="13.5" thickBot="1" x14ac:dyDescent="0.25">
      <c r="A5" s="17" t="s">
        <v>20</v>
      </c>
      <c r="B5" s="18" t="s">
        <v>22</v>
      </c>
      <c r="C5" s="8">
        <v>0</v>
      </c>
      <c r="D5" s="8">
        <v>0</v>
      </c>
      <c r="E5" s="8">
        <v>0</v>
      </c>
      <c r="F5" s="8">
        <f>SUM(C5:E5)</f>
        <v>0</v>
      </c>
      <c r="J5" s="157" t="s">
        <v>17</v>
      </c>
      <c r="K5" s="104">
        <v>42548</v>
      </c>
      <c r="L5" s="252">
        <f>K5</f>
        <v>42548</v>
      </c>
      <c r="M5"/>
    </row>
    <row r="6" spans="1:17" ht="13.5" thickBot="1" x14ac:dyDescent="0.25">
      <c r="B6" s="44" t="s">
        <v>52</v>
      </c>
      <c r="C6" s="79">
        <f>+SUM(C3:C5)</f>
        <v>2410000</v>
      </c>
      <c r="D6" s="79">
        <f>+SUM(D3:D5)</f>
        <v>0</v>
      </c>
      <c r="E6" s="79">
        <f>+SUM(E3:E5)</f>
        <v>0</v>
      </c>
      <c r="F6" s="79">
        <f>+SUM(F3:F5)</f>
        <v>2410000</v>
      </c>
      <c r="K6"/>
      <c r="L6"/>
      <c r="M6"/>
    </row>
    <row r="7" spans="1:17" ht="14.25" thickTop="1" thickBot="1" x14ac:dyDescent="0.25">
      <c r="B7" s="44"/>
      <c r="C7" s="13"/>
      <c r="D7" s="13"/>
      <c r="E7" s="13"/>
      <c r="F7" s="13"/>
    </row>
    <row r="8" spans="1:17" x14ac:dyDescent="0.2">
      <c r="B8" s="43"/>
      <c r="C8" s="5"/>
      <c r="D8" s="17"/>
      <c r="I8" s="143"/>
      <c r="J8" s="128"/>
      <c r="K8" s="128"/>
      <c r="L8" s="128"/>
      <c r="M8" s="108"/>
    </row>
    <row r="9" spans="1:17" ht="36.75" x14ac:dyDescent="0.2">
      <c r="A9" s="90" t="s">
        <v>53</v>
      </c>
      <c r="B9" s="90" t="s">
        <v>3</v>
      </c>
      <c r="C9" s="90" t="s">
        <v>4</v>
      </c>
      <c r="D9" s="90" t="s">
        <v>5</v>
      </c>
      <c r="E9" s="90" t="s">
        <v>6</v>
      </c>
      <c r="F9" s="90" t="s">
        <v>7</v>
      </c>
      <c r="G9" s="90" t="s">
        <v>80</v>
      </c>
      <c r="H9" s="90" t="s">
        <v>81</v>
      </c>
      <c r="I9" s="105" t="s">
        <v>82</v>
      </c>
      <c r="J9" s="106" t="s">
        <v>83</v>
      </c>
      <c r="K9" s="106" t="s">
        <v>84</v>
      </c>
      <c r="L9" s="106" t="s">
        <v>85</v>
      </c>
      <c r="M9" s="107" t="s">
        <v>75</v>
      </c>
      <c r="N9" s="90" t="s">
        <v>86</v>
      </c>
      <c r="O9" s="90" t="s">
        <v>87</v>
      </c>
    </row>
    <row r="10" spans="1:17" x14ac:dyDescent="0.2">
      <c r="A10" s="311" t="s">
        <v>2</v>
      </c>
      <c r="B10" s="311"/>
      <c r="C10" s="282">
        <f>$L$4</f>
        <v>42125</v>
      </c>
      <c r="D10" s="282">
        <f t="shared" ref="D10:D33" si="0">DATE(YEAR(C10),IF(MONTH(C10)&lt;=3,3,IF(MONTH(C10)&lt;=6,6,IF(MONTH(C10)&lt;=9,9,12))),IF(OR(MONTH(C10)&lt;=3,MONTH(C10)&gt;=10),31,30))</f>
        <v>42185</v>
      </c>
      <c r="E10" s="283">
        <f t="shared" ref="E10:E33" si="1">D10-C10+1</f>
        <v>61</v>
      </c>
      <c r="F10" s="284">
        <f>VLOOKUP(D10,'FERC Interest Rate'!$A:$B,2,TRUE)</f>
        <v>3.2500000000000001E-2</v>
      </c>
      <c r="G10" s="167">
        <f>$C$3</f>
        <v>2410000</v>
      </c>
      <c r="H10" s="167">
        <f t="shared" ref="H10:H15" si="2">G10*F10*(E10/(DATE(YEAR(D10),12,31)-DATE(YEAR(D10),1,1)+1))</f>
        <v>13089.931506849316</v>
      </c>
      <c r="I10" s="285">
        <v>0</v>
      </c>
      <c r="J10" s="286">
        <v>0</v>
      </c>
      <c r="K10" s="288">
        <f t="shared" ref="K10:K33" si="3">+SUM(I10:J10)</f>
        <v>0</v>
      </c>
      <c r="L10" s="286">
        <v>0</v>
      </c>
      <c r="M10" s="289">
        <f t="shared" ref="M10:M33" si="4">+SUM(K10:L10)</f>
        <v>0</v>
      </c>
      <c r="N10" s="290">
        <f t="shared" ref="N10:N33" si="5">+G10+H10+J10</f>
        <v>2423089.9315068494</v>
      </c>
      <c r="O10" s="167">
        <f t="shared" ref="O10:O33" si="6">G10+H10-L10-I10</f>
        <v>2423089.9315068494</v>
      </c>
      <c r="P10" s="8"/>
      <c r="Q10" s="8"/>
    </row>
    <row r="11" spans="1:17" x14ac:dyDescent="0.2">
      <c r="A11" s="312"/>
      <c r="B11" s="312"/>
      <c r="C11" s="282">
        <f t="shared" ref="C11:C33" si="7">D10+1</f>
        <v>42186</v>
      </c>
      <c r="D11" s="282">
        <f t="shared" si="0"/>
        <v>42277</v>
      </c>
      <c r="E11" s="283">
        <f t="shared" si="1"/>
        <v>92</v>
      </c>
      <c r="F11" s="284">
        <f>VLOOKUP(D11,'FERC Interest Rate'!$A:$B,2,TRUE)</f>
        <v>3.2500000000000001E-2</v>
      </c>
      <c r="G11" s="167">
        <f>O10</f>
        <v>2423089.9315068494</v>
      </c>
      <c r="H11" s="167">
        <f t="shared" si="2"/>
        <v>19849.421630699944</v>
      </c>
      <c r="I11" s="285">
        <v>0</v>
      </c>
      <c r="J11" s="286">
        <v>0</v>
      </c>
      <c r="K11" s="288">
        <f t="shared" si="3"/>
        <v>0</v>
      </c>
      <c r="L11" s="286">
        <v>0</v>
      </c>
      <c r="M11" s="289">
        <f t="shared" si="4"/>
        <v>0</v>
      </c>
      <c r="N11" s="290">
        <f t="shared" si="5"/>
        <v>2442939.3531375495</v>
      </c>
      <c r="O11" s="167">
        <f t="shared" si="6"/>
        <v>2442939.3531375495</v>
      </c>
      <c r="P11" s="8"/>
      <c r="Q11" s="8"/>
    </row>
    <row r="12" spans="1:17" x14ac:dyDescent="0.2">
      <c r="A12" s="293"/>
      <c r="B12" s="293"/>
      <c r="C12" s="282">
        <f>D11+1</f>
        <v>42278</v>
      </c>
      <c r="D12" s="282">
        <f>DATE(YEAR(C12),IF(MONTH(C12)&lt;=3,3,IF(MONTH(C12)&lt;=6,6,IF(MONTH(C12)&lt;=9,9,12))),IF(OR(MONTH(C12)&lt;=3,MONTH(C12)&gt;=10),31,30))</f>
        <v>42369</v>
      </c>
      <c r="E12" s="283">
        <f t="shared" si="1"/>
        <v>92</v>
      </c>
      <c r="F12" s="284">
        <f>VLOOKUP(D12,'FERC Interest Rate'!$A:$B,2,TRUE)</f>
        <v>3.2500000000000001E-2</v>
      </c>
      <c r="G12" s="167">
        <f>O11</f>
        <v>2442939.3531375495</v>
      </c>
      <c r="H12" s="167">
        <f t="shared" si="2"/>
        <v>20012.023742140478</v>
      </c>
      <c r="I12" s="285">
        <v>0</v>
      </c>
      <c r="J12" s="286">
        <v>0</v>
      </c>
      <c r="K12" s="288">
        <f t="shared" si="3"/>
        <v>0</v>
      </c>
      <c r="L12" s="286">
        <v>0</v>
      </c>
      <c r="M12" s="289">
        <f t="shared" si="4"/>
        <v>0</v>
      </c>
      <c r="N12" s="290">
        <f t="shared" si="5"/>
        <v>2462951.3768796897</v>
      </c>
      <c r="O12" s="167">
        <f t="shared" si="6"/>
        <v>2462951.3768796897</v>
      </c>
      <c r="P12" s="8"/>
      <c r="Q12" s="8"/>
    </row>
    <row r="13" spans="1:17" x14ac:dyDescent="0.2">
      <c r="A13" s="293"/>
      <c r="B13" s="293"/>
      <c r="C13" s="282">
        <f>D12+1</f>
        <v>42370</v>
      </c>
      <c r="D13" s="282">
        <f>DATE(YEAR(C13),IF(MONTH(C13)&lt;=3,3,IF(MONTH(C13)&lt;=6,6,IF(MONTH(C13)&lt;=9,9,12))),IF(OR(MONTH(C13)&lt;=3,MONTH(C13)&gt;=10),31,30))</f>
        <v>42460</v>
      </c>
      <c r="E13" s="283">
        <f>D13-C13+1</f>
        <v>91</v>
      </c>
      <c r="F13" s="284">
        <f>VLOOKUP(D13,'FERC Interest Rate'!$A:$B,2,TRUE)</f>
        <v>3.2500000000000001E-2</v>
      </c>
      <c r="G13" s="167">
        <f>O12</f>
        <v>2462951.3768796897</v>
      </c>
      <c r="H13" s="167">
        <f t="shared" si="2"/>
        <v>19902.12758776416</v>
      </c>
      <c r="I13" s="285">
        <v>0</v>
      </c>
      <c r="J13" s="286">
        <v>0</v>
      </c>
      <c r="K13" s="288">
        <f>+SUM(I13:J13)</f>
        <v>0</v>
      </c>
      <c r="L13" s="286">
        <v>0</v>
      </c>
      <c r="M13" s="289">
        <f>+SUM(K13:L13)</f>
        <v>0</v>
      </c>
      <c r="N13" s="290">
        <f>+G13+H13+J13</f>
        <v>2482853.5044674538</v>
      </c>
      <c r="O13" s="167">
        <f>G13+H13-L13-I13</f>
        <v>2482853.5044674538</v>
      </c>
      <c r="P13" s="8"/>
      <c r="Q13" s="8"/>
    </row>
    <row r="14" spans="1:17" x14ac:dyDescent="0.2">
      <c r="B14" s="81"/>
      <c r="C14" s="82">
        <f>D13+1</f>
        <v>42461</v>
      </c>
      <c r="D14" s="82">
        <f>DATE(YEAR(C14),IF(MONTH(C14)&lt;=3,3,IF(MONTH(C14)&lt;=6,6,IF(MONTH(C14)&lt;=9,9,12))),IF(OR(MONTH(C14)&lt;=3,MONTH(C14)&gt;=10),31,30))</f>
        <v>42551</v>
      </c>
      <c r="E14" s="81">
        <f t="shared" si="1"/>
        <v>91</v>
      </c>
      <c r="F14" s="83">
        <f>VLOOKUP(D14,'FERC Interest Rate'!$A:$B,2,TRUE)</f>
        <v>3.4599999999999999E-2</v>
      </c>
      <c r="G14" s="84">
        <f>O13</f>
        <v>2482853.5044674538</v>
      </c>
      <c r="H14" s="167">
        <f t="shared" si="2"/>
        <v>21359.323891164549</v>
      </c>
      <c r="I14" s="109">
        <v>0</v>
      </c>
      <c r="J14" s="286">
        <v>0</v>
      </c>
      <c r="K14" s="129">
        <f t="shared" si="3"/>
        <v>0</v>
      </c>
      <c r="L14" s="85">
        <v>0</v>
      </c>
      <c r="M14" s="130">
        <f t="shared" si="4"/>
        <v>0</v>
      </c>
      <c r="N14" s="8">
        <f t="shared" si="5"/>
        <v>2504212.8283586185</v>
      </c>
      <c r="O14" s="84">
        <f t="shared" si="6"/>
        <v>2504212.8283586185</v>
      </c>
      <c r="P14" s="8"/>
      <c r="Q14" s="8"/>
    </row>
    <row r="15" spans="1:17" x14ac:dyDescent="0.2">
      <c r="A15" s="274" t="s">
        <v>111</v>
      </c>
      <c r="B15" s="81" t="str">
        <f t="shared" ref="B15:B33" si="8">+IF(MONTH(C15)&lt;4,"Q1",IF(MONTH(C15)&lt;7,"Q2",IF(MONTH(C15)&lt;10,"Q3","Q4")))&amp;"/"&amp;YEAR(C15)</f>
        <v>Q3/2016</v>
      </c>
      <c r="C15" s="82">
        <f t="shared" si="7"/>
        <v>42552</v>
      </c>
      <c r="D15" s="82">
        <f t="shared" si="0"/>
        <v>42643</v>
      </c>
      <c r="E15" s="81">
        <f t="shared" si="1"/>
        <v>92</v>
      </c>
      <c r="F15" s="83">
        <f>VLOOKUP(D15,'FERC Interest Rate'!$A:$B,2,TRUE)</f>
        <v>3.5000000000000003E-2</v>
      </c>
      <c r="G15" s="84">
        <f>O14</f>
        <v>2504212.8283586185</v>
      </c>
      <c r="H15" s="84">
        <f t="shared" si="2"/>
        <v>22031.599200313529</v>
      </c>
      <c r="I15" s="109">
        <f>(SUM($H$10:$H$15)/20)*2</f>
        <v>11624.442755893197</v>
      </c>
      <c r="J15" s="85">
        <f t="shared" ref="J15:J33" si="9">G15*F15*(E15/(DATE(YEAR(D15),12,31)-DATE(YEAR(D15),1,1)+1))</f>
        <v>22031.599200313529</v>
      </c>
      <c r="K15" s="129">
        <f t="shared" si="3"/>
        <v>33656.041956206725</v>
      </c>
      <c r="L15" s="85">
        <f>$C$3/20*2</f>
        <v>241000</v>
      </c>
      <c r="M15" s="130">
        <f t="shared" si="4"/>
        <v>274656.04195620673</v>
      </c>
      <c r="N15" s="8">
        <f t="shared" si="5"/>
        <v>2548276.0267592454</v>
      </c>
      <c r="O15" s="84">
        <f t="shared" si="6"/>
        <v>2273619.9848030386</v>
      </c>
      <c r="P15" s="8"/>
      <c r="Q15" s="8"/>
    </row>
    <row r="16" spans="1:17" x14ac:dyDescent="0.2">
      <c r="A16" s="17" t="s">
        <v>56</v>
      </c>
      <c r="B16" s="81" t="str">
        <f t="shared" si="8"/>
        <v>Q4/2016</v>
      </c>
      <c r="C16" s="82">
        <f t="shared" si="7"/>
        <v>42644</v>
      </c>
      <c r="D16" s="82">
        <f t="shared" si="0"/>
        <v>42735</v>
      </c>
      <c r="E16" s="81">
        <f t="shared" si="1"/>
        <v>92</v>
      </c>
      <c r="F16" s="83">
        <f>VLOOKUP(D16,'FERC Interest Rate'!$A:$B,2,TRUE)</f>
        <v>3.5000000000000003E-2</v>
      </c>
      <c r="G16" s="84">
        <f t="shared" ref="G16:G33" si="10">O15</f>
        <v>2273619.9848030386</v>
      </c>
      <c r="H16" s="84">
        <v>0</v>
      </c>
      <c r="I16" s="109">
        <f>(SUM($H$10:$H$15)/20)</f>
        <v>5812.2213779465983</v>
      </c>
      <c r="J16" s="85">
        <f t="shared" si="9"/>
        <v>20002.886205097777</v>
      </c>
      <c r="K16" s="129">
        <f t="shared" si="3"/>
        <v>25815.107583044373</v>
      </c>
      <c r="L16" s="85">
        <f t="shared" ref="L16:L33" si="11">$C$3/20</f>
        <v>120500</v>
      </c>
      <c r="M16" s="130">
        <f t="shared" si="4"/>
        <v>146315.10758304439</v>
      </c>
      <c r="N16" s="8">
        <f t="shared" si="5"/>
        <v>2293622.8710081363</v>
      </c>
      <c r="O16" s="84">
        <f t="shared" si="6"/>
        <v>2147307.7634250922</v>
      </c>
      <c r="P16" s="8"/>
      <c r="Q16" s="8"/>
    </row>
    <row r="17" spans="1:17" x14ac:dyDescent="0.2">
      <c r="A17" s="17" t="s">
        <v>57</v>
      </c>
      <c r="B17" s="81" t="str">
        <f t="shared" si="8"/>
        <v>Q1/2017</v>
      </c>
      <c r="C17" s="82">
        <f t="shared" si="7"/>
        <v>42736</v>
      </c>
      <c r="D17" s="82">
        <f t="shared" si="0"/>
        <v>42825</v>
      </c>
      <c r="E17" s="81">
        <f t="shared" si="1"/>
        <v>90</v>
      </c>
      <c r="F17" s="83">
        <f>VLOOKUP(D17,'FERC Interest Rate'!$A:$B,2,TRUE)</f>
        <v>3.5000000000000003E-2</v>
      </c>
      <c r="G17" s="84">
        <f t="shared" si="10"/>
        <v>2147307.7634250922</v>
      </c>
      <c r="H17" s="84">
        <v>0</v>
      </c>
      <c r="I17" s="109">
        <f t="shared" ref="I17:I33" si="12">(SUM($H$10:$H$15)/20)</f>
        <v>5812.2213779465983</v>
      </c>
      <c r="J17" s="85">
        <f t="shared" si="9"/>
        <v>18531.560150106961</v>
      </c>
      <c r="K17" s="129">
        <f t="shared" si="3"/>
        <v>24343.781528053558</v>
      </c>
      <c r="L17" s="85">
        <f t="shared" si="11"/>
        <v>120500</v>
      </c>
      <c r="M17" s="130">
        <f t="shared" si="4"/>
        <v>144843.78152805357</v>
      </c>
      <c r="N17" s="8">
        <f t="shared" si="5"/>
        <v>2165839.3235751991</v>
      </c>
      <c r="O17" s="84">
        <f t="shared" si="6"/>
        <v>2020995.5420471455</v>
      </c>
      <c r="P17" s="8"/>
      <c r="Q17" s="8"/>
    </row>
    <row r="18" spans="1:17" x14ac:dyDescent="0.2">
      <c r="A18" s="17" t="s">
        <v>58</v>
      </c>
      <c r="B18" s="81" t="str">
        <f t="shared" si="8"/>
        <v>Q2/2017</v>
      </c>
      <c r="C18" s="82">
        <f t="shared" si="7"/>
        <v>42826</v>
      </c>
      <c r="D18" s="82">
        <f t="shared" si="0"/>
        <v>42916</v>
      </c>
      <c r="E18" s="81">
        <f t="shared" si="1"/>
        <v>91</v>
      </c>
      <c r="F18" s="83">
        <f>VLOOKUP(D18,'FERC Interest Rate'!$A:$B,2,TRUE)</f>
        <v>3.7100000000000001E-2</v>
      </c>
      <c r="G18" s="84">
        <f t="shared" si="10"/>
        <v>2020995.5420471455</v>
      </c>
      <c r="H18" s="84">
        <v>0</v>
      </c>
      <c r="I18" s="109">
        <f t="shared" si="12"/>
        <v>5812.2213779465983</v>
      </c>
      <c r="J18" s="85">
        <f t="shared" si="9"/>
        <v>18693.37821782293</v>
      </c>
      <c r="K18" s="129">
        <f t="shared" si="3"/>
        <v>24505.599595769527</v>
      </c>
      <c r="L18" s="85">
        <f t="shared" si="11"/>
        <v>120500</v>
      </c>
      <c r="M18" s="130">
        <f t="shared" si="4"/>
        <v>145005.59959576954</v>
      </c>
      <c r="N18" s="8">
        <f t="shared" si="5"/>
        <v>2039688.9202649684</v>
      </c>
      <c r="O18" s="84">
        <f t="shared" si="6"/>
        <v>1894683.3206691989</v>
      </c>
      <c r="P18" s="8"/>
      <c r="Q18" s="8"/>
    </row>
    <row r="19" spans="1:17" x14ac:dyDescent="0.2">
      <c r="A19" s="17" t="s">
        <v>59</v>
      </c>
      <c r="B19" s="81" t="str">
        <f t="shared" si="8"/>
        <v>Q3/2017</v>
      </c>
      <c r="C19" s="82">
        <f t="shared" si="7"/>
        <v>42917</v>
      </c>
      <c r="D19" s="82">
        <f t="shared" si="0"/>
        <v>43008</v>
      </c>
      <c r="E19" s="81">
        <f t="shared" si="1"/>
        <v>92</v>
      </c>
      <c r="F19" s="83">
        <f>VLOOKUP(D19,'FERC Interest Rate'!$A:$B,2,TRUE)</f>
        <v>3.9600000000000003E-2</v>
      </c>
      <c r="G19" s="84">
        <f t="shared" si="10"/>
        <v>1894683.3206691989</v>
      </c>
      <c r="H19" s="84">
        <v>0</v>
      </c>
      <c r="I19" s="109">
        <f t="shared" si="12"/>
        <v>5812.2213779465983</v>
      </c>
      <c r="J19" s="85">
        <f t="shared" si="9"/>
        <v>18911.534996882263</v>
      </c>
      <c r="K19" s="129">
        <f t="shared" si="3"/>
        <v>24723.756374828859</v>
      </c>
      <c r="L19" s="85">
        <f t="shared" si="11"/>
        <v>120500</v>
      </c>
      <c r="M19" s="130">
        <f t="shared" si="4"/>
        <v>145223.75637482887</v>
      </c>
      <c r="N19" s="8">
        <f t="shared" si="5"/>
        <v>1913594.8556660812</v>
      </c>
      <c r="O19" s="84">
        <f t="shared" si="6"/>
        <v>1768371.0992912522</v>
      </c>
      <c r="P19" s="8"/>
      <c r="Q19" s="8"/>
    </row>
    <row r="20" spans="1:17" x14ac:dyDescent="0.2">
      <c r="A20" s="17" t="s">
        <v>60</v>
      </c>
      <c r="B20" s="81" t="str">
        <f t="shared" si="8"/>
        <v>Q4/2017</v>
      </c>
      <c r="C20" s="82">
        <f t="shared" si="7"/>
        <v>43009</v>
      </c>
      <c r="D20" s="82">
        <f t="shared" si="0"/>
        <v>43100</v>
      </c>
      <c r="E20" s="81">
        <f t="shared" si="1"/>
        <v>92</v>
      </c>
      <c r="F20" s="83">
        <f>VLOOKUP(D20,'FERC Interest Rate'!$A:$B,2,TRUE)</f>
        <v>4.2099999999999999E-2</v>
      </c>
      <c r="G20" s="84">
        <f t="shared" si="10"/>
        <v>1768371.0992912522</v>
      </c>
      <c r="H20" s="84">
        <v>0</v>
      </c>
      <c r="I20" s="109">
        <f t="shared" si="12"/>
        <v>5812.2213779465983</v>
      </c>
      <c r="J20" s="85">
        <f t="shared" si="9"/>
        <v>18765.082032259943</v>
      </c>
      <c r="K20" s="129">
        <f t="shared" si="3"/>
        <v>24577.303410206543</v>
      </c>
      <c r="L20" s="85">
        <f t="shared" si="11"/>
        <v>120500</v>
      </c>
      <c r="M20" s="130">
        <f t="shared" si="4"/>
        <v>145077.30341020654</v>
      </c>
      <c r="N20" s="8">
        <f t="shared" si="5"/>
        <v>1787136.1813235122</v>
      </c>
      <c r="O20" s="84">
        <f t="shared" si="6"/>
        <v>1642058.8779133055</v>
      </c>
      <c r="P20" s="8"/>
      <c r="Q20" s="8"/>
    </row>
    <row r="21" spans="1:17" x14ac:dyDescent="0.2">
      <c r="A21" s="17" t="s">
        <v>61</v>
      </c>
      <c r="B21" s="81" t="str">
        <f t="shared" si="8"/>
        <v>Q1/2018</v>
      </c>
      <c r="C21" s="82">
        <f t="shared" si="7"/>
        <v>43101</v>
      </c>
      <c r="D21" s="82">
        <f t="shared" si="0"/>
        <v>43190</v>
      </c>
      <c r="E21" s="81">
        <f t="shared" si="1"/>
        <v>90</v>
      </c>
      <c r="F21" s="83">
        <f>VLOOKUP(D21,'FERC Interest Rate'!$A:$B,2,TRUE)</f>
        <v>4.2500000000000003E-2</v>
      </c>
      <c r="G21" s="84">
        <f t="shared" si="10"/>
        <v>1642058.8779133055</v>
      </c>
      <c r="H21" s="84">
        <v>0</v>
      </c>
      <c r="I21" s="109">
        <f t="shared" si="12"/>
        <v>5812.2213779465983</v>
      </c>
      <c r="J21" s="85">
        <f t="shared" si="9"/>
        <v>17207.877282242174</v>
      </c>
      <c r="K21" s="129">
        <f t="shared" si="3"/>
        <v>23020.098660188771</v>
      </c>
      <c r="L21" s="85">
        <f t="shared" si="11"/>
        <v>120500</v>
      </c>
      <c r="M21" s="130">
        <f t="shared" si="4"/>
        <v>143520.09866018879</v>
      </c>
      <c r="N21" s="8">
        <f t="shared" si="5"/>
        <v>1659266.7551955478</v>
      </c>
      <c r="O21" s="84">
        <f t="shared" si="6"/>
        <v>1515746.6565353589</v>
      </c>
      <c r="P21" s="8"/>
      <c r="Q21" s="8"/>
    </row>
    <row r="22" spans="1:17" x14ac:dyDescent="0.2">
      <c r="A22" s="17" t="s">
        <v>62</v>
      </c>
      <c r="B22" s="81" t="str">
        <f t="shared" si="8"/>
        <v>Q2/2018</v>
      </c>
      <c r="C22" s="82">
        <f t="shared" si="7"/>
        <v>43191</v>
      </c>
      <c r="D22" s="82">
        <f t="shared" si="0"/>
        <v>43281</v>
      </c>
      <c r="E22" s="81">
        <f t="shared" si="1"/>
        <v>91</v>
      </c>
      <c r="F22" s="83">
        <f>VLOOKUP(D22,'FERC Interest Rate'!$A:$B,2,TRUE)</f>
        <v>4.4699999999999997E-2</v>
      </c>
      <c r="G22" s="84">
        <f t="shared" si="10"/>
        <v>1515746.6565353589</v>
      </c>
      <c r="H22" s="84">
        <v>0</v>
      </c>
      <c r="I22" s="109">
        <f t="shared" si="12"/>
        <v>5812.2213779465983</v>
      </c>
      <c r="J22" s="85">
        <f t="shared" si="9"/>
        <v>16892.062122709256</v>
      </c>
      <c r="K22" s="129">
        <f t="shared" si="3"/>
        <v>22704.283500655853</v>
      </c>
      <c r="L22" s="85">
        <f t="shared" si="11"/>
        <v>120500</v>
      </c>
      <c r="M22" s="130">
        <f t="shared" si="4"/>
        <v>143204.28350065585</v>
      </c>
      <c r="N22" s="8">
        <f t="shared" si="5"/>
        <v>1532638.7186580682</v>
      </c>
      <c r="O22" s="84">
        <f t="shared" si="6"/>
        <v>1389434.4351574122</v>
      </c>
      <c r="P22" s="8"/>
      <c r="Q22" s="8"/>
    </row>
    <row r="23" spans="1:17" x14ac:dyDescent="0.2">
      <c r="A23" s="17" t="s">
        <v>63</v>
      </c>
      <c r="B23" s="81" t="str">
        <f t="shared" si="8"/>
        <v>Q3/2018</v>
      </c>
      <c r="C23" s="82">
        <f t="shared" si="7"/>
        <v>43282</v>
      </c>
      <c r="D23" s="82">
        <f t="shared" si="0"/>
        <v>43373</v>
      </c>
      <c r="E23" s="81">
        <f t="shared" si="1"/>
        <v>92</v>
      </c>
      <c r="F23" s="83">
        <f>VLOOKUP(D23,'FERC Interest Rate'!$A:$B,2,TRUE)</f>
        <v>5.011111E-2</v>
      </c>
      <c r="G23" s="84">
        <f t="shared" si="10"/>
        <v>1389434.4351574122</v>
      </c>
      <c r="H23" s="84">
        <v>0</v>
      </c>
      <c r="I23" s="109">
        <f t="shared" si="12"/>
        <v>5812.2213779465983</v>
      </c>
      <c r="J23" s="85">
        <f t="shared" si="9"/>
        <v>17549.5927869929</v>
      </c>
      <c r="K23" s="129">
        <f t="shared" si="3"/>
        <v>23361.814164939497</v>
      </c>
      <c r="L23" s="85">
        <f t="shared" si="11"/>
        <v>120500</v>
      </c>
      <c r="M23" s="130">
        <f t="shared" si="4"/>
        <v>143861.81416493951</v>
      </c>
      <c r="N23" s="8">
        <f t="shared" si="5"/>
        <v>1406984.0279444051</v>
      </c>
      <c r="O23" s="84">
        <f t="shared" si="6"/>
        <v>1263122.2137794655</v>
      </c>
      <c r="P23" s="8"/>
      <c r="Q23" s="8"/>
    </row>
    <row r="24" spans="1:17" x14ac:dyDescent="0.2">
      <c r="A24" s="17" t="s">
        <v>64</v>
      </c>
      <c r="B24" s="81" t="str">
        <f t="shared" si="8"/>
        <v>Q4/2018</v>
      </c>
      <c r="C24" s="82">
        <f t="shared" si="7"/>
        <v>43374</v>
      </c>
      <c r="D24" s="82">
        <f t="shared" si="0"/>
        <v>43465</v>
      </c>
      <c r="E24" s="81">
        <f t="shared" si="1"/>
        <v>92</v>
      </c>
      <c r="F24" s="83">
        <f>VLOOKUP(D24,'FERC Interest Rate'!$A:$B,2,TRUE)</f>
        <v>5.2822580000000001E-2</v>
      </c>
      <c r="G24" s="84">
        <f t="shared" si="10"/>
        <v>1263122.2137794655</v>
      </c>
      <c r="H24" s="84">
        <v>0</v>
      </c>
      <c r="I24" s="109">
        <f t="shared" si="12"/>
        <v>5812.2213779465983</v>
      </c>
      <c r="J24" s="85">
        <f t="shared" si="9"/>
        <v>16817.442260868902</v>
      </c>
      <c r="K24" s="129">
        <f t="shared" si="3"/>
        <v>22629.663638815502</v>
      </c>
      <c r="L24" s="85">
        <f t="shared" si="11"/>
        <v>120500</v>
      </c>
      <c r="M24" s="130">
        <f t="shared" si="4"/>
        <v>143129.66363881552</v>
      </c>
      <c r="N24" s="8">
        <f t="shared" si="5"/>
        <v>1279939.6560403344</v>
      </c>
      <c r="O24" s="84">
        <f t="shared" si="6"/>
        <v>1136809.9924015189</v>
      </c>
      <c r="P24" s="8"/>
      <c r="Q24" s="8"/>
    </row>
    <row r="25" spans="1:17" x14ac:dyDescent="0.2">
      <c r="A25" s="17" t="s">
        <v>65</v>
      </c>
      <c r="B25" s="81" t="str">
        <f t="shared" si="8"/>
        <v>Q1/2019</v>
      </c>
      <c r="C25" s="82">
        <f t="shared" si="7"/>
        <v>43466</v>
      </c>
      <c r="D25" s="82">
        <f t="shared" si="0"/>
        <v>43555</v>
      </c>
      <c r="E25" s="81">
        <f t="shared" si="1"/>
        <v>90</v>
      </c>
      <c r="F25" s="83">
        <f>VLOOKUP(D25,'FERC Interest Rate'!$A:$B,2,TRUE)</f>
        <v>5.5296770000000002E-2</v>
      </c>
      <c r="G25" s="84">
        <f t="shared" si="10"/>
        <v>1136809.9924015189</v>
      </c>
      <c r="H25" s="84">
        <v>0</v>
      </c>
      <c r="I25" s="109">
        <f t="shared" si="12"/>
        <v>5812.2213779465983</v>
      </c>
      <c r="J25" s="85">
        <f t="shared" si="9"/>
        <v>15500.199620596077</v>
      </c>
      <c r="K25" s="129">
        <f t="shared" si="3"/>
        <v>21312.420998542675</v>
      </c>
      <c r="L25" s="85">
        <f t="shared" si="11"/>
        <v>120500</v>
      </c>
      <c r="M25" s="130">
        <f t="shared" si="4"/>
        <v>141812.42099854269</v>
      </c>
      <c r="N25" s="8">
        <f t="shared" si="5"/>
        <v>1152310.192022115</v>
      </c>
      <c r="O25" s="84">
        <f t="shared" si="6"/>
        <v>1010497.7710235723</v>
      </c>
      <c r="P25" s="8"/>
      <c r="Q25" s="8"/>
    </row>
    <row r="26" spans="1:17" x14ac:dyDescent="0.2">
      <c r="A26" s="17" t="s">
        <v>66</v>
      </c>
      <c r="B26" s="81" t="str">
        <f t="shared" si="8"/>
        <v>Q2/2019</v>
      </c>
      <c r="C26" s="82">
        <f t="shared" si="7"/>
        <v>43556</v>
      </c>
      <c r="D26" s="82">
        <f t="shared" si="0"/>
        <v>43646</v>
      </c>
      <c r="E26" s="81">
        <f t="shared" si="1"/>
        <v>91</v>
      </c>
      <c r="F26" s="83">
        <f>VLOOKUP(D26,'FERC Interest Rate'!$A:$B,2,TRUE)</f>
        <v>5.7999999999999996E-2</v>
      </c>
      <c r="G26" s="84">
        <f t="shared" si="10"/>
        <v>1010497.7710235723</v>
      </c>
      <c r="H26" s="84">
        <v>0</v>
      </c>
      <c r="I26" s="109">
        <f t="shared" si="12"/>
        <v>5812.2213779465983</v>
      </c>
      <c r="J26" s="85">
        <f t="shared" si="9"/>
        <v>14612.074617705244</v>
      </c>
      <c r="K26" s="129">
        <f t="shared" si="3"/>
        <v>20424.295995651843</v>
      </c>
      <c r="L26" s="85">
        <f t="shared" si="11"/>
        <v>120500</v>
      </c>
      <c r="M26" s="130">
        <f t="shared" si="4"/>
        <v>140924.29599565183</v>
      </c>
      <c r="N26" s="8">
        <f t="shared" si="5"/>
        <v>1025109.8456412775</v>
      </c>
      <c r="O26" s="84">
        <f t="shared" si="6"/>
        <v>884185.54964562575</v>
      </c>
      <c r="P26" s="8"/>
      <c r="Q26" s="8"/>
    </row>
    <row r="27" spans="1:17" x14ac:dyDescent="0.2">
      <c r="A27" s="17" t="s">
        <v>67</v>
      </c>
      <c r="B27" s="81" t="str">
        <f t="shared" si="8"/>
        <v>Q3/2019</v>
      </c>
      <c r="C27" s="82">
        <f t="shared" si="7"/>
        <v>43647</v>
      </c>
      <c r="D27" s="82">
        <f t="shared" si="0"/>
        <v>43738</v>
      </c>
      <c r="E27" s="81">
        <f t="shared" si="1"/>
        <v>92</v>
      </c>
      <c r="F27" s="83">
        <f>VLOOKUP(D27,'FERC Interest Rate'!$A:$B,2,TRUE)</f>
        <v>0.06</v>
      </c>
      <c r="G27" s="84">
        <f t="shared" si="10"/>
        <v>884185.54964562575</v>
      </c>
      <c r="H27" s="84">
        <v>0</v>
      </c>
      <c r="I27" s="109">
        <f t="shared" si="12"/>
        <v>5812.2213779465983</v>
      </c>
      <c r="J27" s="85">
        <f t="shared" si="9"/>
        <v>13371.792422037957</v>
      </c>
      <c r="K27" s="129">
        <f t="shared" si="3"/>
        <v>19184.013799984554</v>
      </c>
      <c r="L27" s="85">
        <f t="shared" si="11"/>
        <v>120500</v>
      </c>
      <c r="M27" s="130">
        <f t="shared" si="4"/>
        <v>139684.01379998456</v>
      </c>
      <c r="N27" s="8">
        <f t="shared" si="5"/>
        <v>897557.34206766367</v>
      </c>
      <c r="O27" s="84">
        <f t="shared" si="6"/>
        <v>757873.3282676792</v>
      </c>
      <c r="P27" s="8"/>
      <c r="Q27" s="8"/>
    </row>
    <row r="28" spans="1:17" x14ac:dyDescent="0.2">
      <c r="A28" s="17" t="s">
        <v>68</v>
      </c>
      <c r="B28" s="81" t="str">
        <f t="shared" si="8"/>
        <v>Q4/2019</v>
      </c>
      <c r="C28" s="82">
        <f t="shared" si="7"/>
        <v>43739</v>
      </c>
      <c r="D28" s="82">
        <f t="shared" si="0"/>
        <v>43830</v>
      </c>
      <c r="E28" s="81">
        <f t="shared" si="1"/>
        <v>92</v>
      </c>
      <c r="F28" s="83">
        <f>VLOOKUP(D28,'FERC Interest Rate'!$A:$B,2,TRUE)</f>
        <v>6.0349460000000001E-2</v>
      </c>
      <c r="G28" s="84">
        <f t="shared" si="10"/>
        <v>757873.3282676792</v>
      </c>
      <c r="H28" s="84">
        <v>0</v>
      </c>
      <c r="I28" s="109">
        <f t="shared" si="12"/>
        <v>5812.2213779465983</v>
      </c>
      <c r="J28" s="85">
        <f t="shared" si="9"/>
        <v>11528.292170029756</v>
      </c>
      <c r="K28" s="129">
        <f t="shared" si="3"/>
        <v>17340.513547976356</v>
      </c>
      <c r="L28" s="85">
        <f t="shared" si="11"/>
        <v>120500</v>
      </c>
      <c r="M28" s="130">
        <f t="shared" si="4"/>
        <v>137840.51354797636</v>
      </c>
      <c r="N28" s="8">
        <f t="shared" si="5"/>
        <v>769401.62043770892</v>
      </c>
      <c r="O28" s="84">
        <f t="shared" si="6"/>
        <v>631561.10688973265</v>
      </c>
      <c r="P28" s="8"/>
      <c r="Q28" s="8"/>
    </row>
    <row r="29" spans="1:17" x14ac:dyDescent="0.2">
      <c r="A29" s="17" t="s">
        <v>69</v>
      </c>
      <c r="B29" s="81" t="str">
        <f t="shared" si="8"/>
        <v>Q1/2020</v>
      </c>
      <c r="C29" s="82">
        <f t="shared" si="7"/>
        <v>43831</v>
      </c>
      <c r="D29" s="82">
        <f t="shared" si="0"/>
        <v>43921</v>
      </c>
      <c r="E29" s="81">
        <f t="shared" si="1"/>
        <v>91</v>
      </c>
      <c r="F29" s="83">
        <f>VLOOKUP(D29,'FERC Interest Rate'!$A:$B,2,TRUE)</f>
        <v>6.2501040000000008E-2</v>
      </c>
      <c r="G29" s="84">
        <f t="shared" si="10"/>
        <v>631561.10688973265</v>
      </c>
      <c r="H29" s="84">
        <v>0</v>
      </c>
      <c r="I29" s="109">
        <f t="shared" si="12"/>
        <v>5812.2213779465983</v>
      </c>
      <c r="J29" s="85">
        <f t="shared" si="9"/>
        <v>9814.3813289030368</v>
      </c>
      <c r="K29" s="129">
        <f t="shared" si="3"/>
        <v>15626.602706849635</v>
      </c>
      <c r="L29" s="85">
        <f t="shared" si="11"/>
        <v>120500</v>
      </c>
      <c r="M29" s="130">
        <f t="shared" si="4"/>
        <v>136126.60270684963</v>
      </c>
      <c r="N29" s="8">
        <f t="shared" si="5"/>
        <v>641375.48821863567</v>
      </c>
      <c r="O29" s="84">
        <f t="shared" si="6"/>
        <v>505248.88551178604</v>
      </c>
      <c r="P29" s="8"/>
      <c r="Q29" s="8"/>
    </row>
    <row r="30" spans="1:17" x14ac:dyDescent="0.2">
      <c r="A30" s="17" t="s">
        <v>70</v>
      </c>
      <c r="B30" s="81" t="str">
        <f t="shared" si="8"/>
        <v>Q2/2020</v>
      </c>
      <c r="C30" s="82">
        <f t="shared" si="7"/>
        <v>43922</v>
      </c>
      <c r="D30" s="82">
        <f t="shared" si="0"/>
        <v>44012</v>
      </c>
      <c r="E30" s="81">
        <f t="shared" si="1"/>
        <v>91</v>
      </c>
      <c r="F30" s="83">
        <f>VLOOKUP(D30,'FERC Interest Rate'!$A:$B,2,TRUE)</f>
        <v>6.3055559999999997E-2</v>
      </c>
      <c r="G30" s="84">
        <f t="shared" si="10"/>
        <v>505248.88551178604</v>
      </c>
      <c r="H30" s="84">
        <v>0</v>
      </c>
      <c r="I30" s="109">
        <f t="shared" si="12"/>
        <v>5812.2213779465983</v>
      </c>
      <c r="J30" s="85">
        <f t="shared" si="9"/>
        <v>7921.1649693832278</v>
      </c>
      <c r="K30" s="129">
        <f t="shared" si="3"/>
        <v>13733.386347329826</v>
      </c>
      <c r="L30" s="85">
        <f t="shared" si="11"/>
        <v>120500</v>
      </c>
      <c r="M30" s="130">
        <f t="shared" si="4"/>
        <v>134233.38634732983</v>
      </c>
      <c r="N30" s="8">
        <f t="shared" si="5"/>
        <v>513170.05048116925</v>
      </c>
      <c r="O30" s="84">
        <f t="shared" si="6"/>
        <v>378936.66413383943</v>
      </c>
      <c r="P30" s="8"/>
      <c r="Q30" s="8"/>
    </row>
    <row r="31" spans="1:17" x14ac:dyDescent="0.2">
      <c r="A31" s="17" t="s">
        <v>71</v>
      </c>
      <c r="B31" s="81" t="str">
        <f t="shared" si="8"/>
        <v>Q3/2020</v>
      </c>
      <c r="C31" s="82">
        <f t="shared" si="7"/>
        <v>44013</v>
      </c>
      <c r="D31" s="82">
        <f t="shared" si="0"/>
        <v>44104</v>
      </c>
      <c r="E31" s="81">
        <f t="shared" si="1"/>
        <v>92</v>
      </c>
      <c r="F31" s="83">
        <f>VLOOKUP(D31,'FERC Interest Rate'!$A:$B,2,TRUE)</f>
        <v>6.5000000000000002E-2</v>
      </c>
      <c r="G31" s="84">
        <f t="shared" si="10"/>
        <v>378936.66413383943</v>
      </c>
      <c r="H31" s="84">
        <v>0</v>
      </c>
      <c r="I31" s="109">
        <f t="shared" si="12"/>
        <v>5812.2213779465983</v>
      </c>
      <c r="J31" s="85">
        <f t="shared" si="9"/>
        <v>6191.3695396731136</v>
      </c>
      <c r="K31" s="129">
        <f t="shared" si="3"/>
        <v>12003.590917619713</v>
      </c>
      <c r="L31" s="85">
        <f t="shared" si="11"/>
        <v>120500</v>
      </c>
      <c r="M31" s="130">
        <f t="shared" si="4"/>
        <v>132503.5909176197</v>
      </c>
      <c r="N31" s="8">
        <f t="shared" si="5"/>
        <v>385128.03367351252</v>
      </c>
      <c r="O31" s="84">
        <f t="shared" si="6"/>
        <v>252624.44275589281</v>
      </c>
      <c r="P31" s="8"/>
      <c r="Q31" s="8"/>
    </row>
    <row r="32" spans="1:17" x14ac:dyDescent="0.2">
      <c r="A32" s="17" t="s">
        <v>72</v>
      </c>
      <c r="B32" s="81" t="str">
        <f t="shared" si="8"/>
        <v>Q4/2020</v>
      </c>
      <c r="C32" s="82">
        <f t="shared" si="7"/>
        <v>44105</v>
      </c>
      <c r="D32" s="82">
        <f t="shared" si="0"/>
        <v>44196</v>
      </c>
      <c r="E32" s="81">
        <f t="shared" si="1"/>
        <v>92</v>
      </c>
      <c r="F32" s="83">
        <f>VLOOKUP(D32,'FERC Interest Rate'!$A:$B,2,TRUE)</f>
        <v>6.5000000000000002E-2</v>
      </c>
      <c r="G32" s="84">
        <f t="shared" si="10"/>
        <v>252624.44275589281</v>
      </c>
      <c r="H32" s="84">
        <v>0</v>
      </c>
      <c r="I32" s="109">
        <f t="shared" si="12"/>
        <v>5812.2213779465983</v>
      </c>
      <c r="J32" s="85">
        <f t="shared" si="9"/>
        <v>4127.5796931154082</v>
      </c>
      <c r="K32" s="129">
        <f t="shared" si="3"/>
        <v>9939.8010710620074</v>
      </c>
      <c r="L32" s="85">
        <f t="shared" si="11"/>
        <v>120500</v>
      </c>
      <c r="M32" s="130">
        <f t="shared" si="4"/>
        <v>130439.80107106201</v>
      </c>
      <c r="N32" s="8">
        <f t="shared" si="5"/>
        <v>256752.02244900822</v>
      </c>
      <c r="O32" s="84">
        <f t="shared" si="6"/>
        <v>126312.22137794622</v>
      </c>
      <c r="P32" s="8"/>
      <c r="Q32" s="8"/>
    </row>
    <row r="33" spans="1:17" x14ac:dyDescent="0.2">
      <c r="A33" s="17" t="s">
        <v>73</v>
      </c>
      <c r="B33" s="81" t="str">
        <f t="shared" si="8"/>
        <v>Q1/2021</v>
      </c>
      <c r="C33" s="82">
        <f t="shared" si="7"/>
        <v>44197</v>
      </c>
      <c r="D33" s="82">
        <f t="shared" si="0"/>
        <v>44286</v>
      </c>
      <c r="E33" s="81">
        <f t="shared" si="1"/>
        <v>90</v>
      </c>
      <c r="F33" s="83">
        <f>VLOOKUP(D33,'FERC Interest Rate'!$A:$B,2,TRUE)</f>
        <v>6.5000000000000002E-2</v>
      </c>
      <c r="G33" s="84">
        <f t="shared" si="10"/>
        <v>126312.22137794622</v>
      </c>
      <c r="H33" s="84">
        <v>0</v>
      </c>
      <c r="I33" s="109">
        <f t="shared" si="12"/>
        <v>5812.2213779465983</v>
      </c>
      <c r="J33" s="85">
        <f t="shared" si="9"/>
        <v>2024.4561508520148</v>
      </c>
      <c r="K33" s="129">
        <f t="shared" si="3"/>
        <v>7836.6775287986129</v>
      </c>
      <c r="L33" s="85">
        <f t="shared" si="11"/>
        <v>120500</v>
      </c>
      <c r="M33" s="130">
        <f t="shared" si="4"/>
        <v>128336.67752879861</v>
      </c>
      <c r="N33" s="8">
        <f t="shared" si="5"/>
        <v>128336.67752879823</v>
      </c>
      <c r="O33" s="84">
        <f t="shared" si="6"/>
        <v>-3.80168785341084E-10</v>
      </c>
      <c r="P33" s="8"/>
      <c r="Q33" s="8"/>
    </row>
    <row r="34" spans="1:17" x14ac:dyDescent="0.2">
      <c r="B34" s="11"/>
      <c r="C34" s="125"/>
      <c r="D34" s="125"/>
      <c r="E34" s="10"/>
      <c r="F34" s="11"/>
      <c r="G34" s="85"/>
      <c r="H34" s="12"/>
      <c r="I34" s="115"/>
      <c r="J34" s="85"/>
      <c r="K34" s="117"/>
      <c r="L34" s="70"/>
      <c r="M34" s="131"/>
      <c r="O34" s="85"/>
    </row>
    <row r="35" spans="1:17" ht="13.5" thickBot="1" x14ac:dyDescent="0.25">
      <c r="A35" s="151"/>
      <c r="B35" s="152"/>
      <c r="C35" s="155"/>
      <c r="D35" s="155"/>
      <c r="E35" s="154"/>
      <c r="F35" s="152"/>
      <c r="G35" s="140">
        <f t="shared" ref="G35:O35" si="13">+SUM(G10:G34)</f>
        <v>36325436.849979021</v>
      </c>
      <c r="H35" s="140">
        <f t="shared" si="13"/>
        <v>116244.42755893197</v>
      </c>
      <c r="I35" s="141">
        <f t="shared" si="13"/>
        <v>116244.42755893194</v>
      </c>
      <c r="J35" s="140">
        <f t="shared" si="13"/>
        <v>270494.32576759247</v>
      </c>
      <c r="K35" s="140">
        <f t="shared" si="13"/>
        <v>386738.75332652446</v>
      </c>
      <c r="L35" s="140">
        <f t="shared" si="13"/>
        <v>2410000</v>
      </c>
      <c r="M35" s="142">
        <f t="shared" si="13"/>
        <v>2796738.7533265245</v>
      </c>
      <c r="N35" s="140">
        <f t="shared" si="13"/>
        <v>36712175.603305548</v>
      </c>
      <c r="O35" s="140">
        <f t="shared" si="13"/>
        <v>33915436.849979021</v>
      </c>
    </row>
    <row r="36" spans="1:17" ht="14.25" thickTop="1" thickBot="1" x14ac:dyDescent="0.25">
      <c r="I36" s="121"/>
      <c r="J36" s="122"/>
      <c r="K36" s="122"/>
      <c r="L36" s="122"/>
      <c r="M36" s="123"/>
    </row>
  </sheetData>
  <mergeCells count="1">
    <mergeCell ref="A10:B11"/>
  </mergeCells>
  <pageMargins left="0.7" right="0.7" top="0.75" bottom="0.75" header="0.3" footer="0.3"/>
  <pageSetup scale="55" fitToHeight="0" orientation="landscape" r:id="rId1"/>
  <headerFooter alignWithMargins="0">
    <oddHeader>&amp;RTO2019 Annual Update
Attachment 4
WP Schedule 22
Page &amp;P of &amp;N</oddHeader>
    <oddFooter>&amp;R&amp;A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28</vt:i4>
      </vt:variant>
      <vt:variant>
        <vt:lpstr>Named Ranges</vt:lpstr>
      </vt:variant>
      <vt:variant>
        <vt:i4>49</vt:i4>
      </vt:variant>
    </vt:vector>
  </HeadingPairs>
  <TitlesOfParts>
    <vt:vector size="77" baseType="lpstr">
      <vt:lpstr>2017 Summary</vt:lpstr>
      <vt:lpstr>2016 Summary</vt:lpstr>
      <vt:lpstr>TOT032</vt:lpstr>
      <vt:lpstr>TOT041</vt:lpstr>
      <vt:lpstr>TOT135</vt:lpstr>
      <vt:lpstr>TOT175 (adj)</vt:lpstr>
      <vt:lpstr>TOT211</vt:lpstr>
      <vt:lpstr>TOT219</vt:lpstr>
      <vt:lpstr>TOT223</vt:lpstr>
      <vt:lpstr>TOT278</vt:lpstr>
      <vt:lpstr>TOT381</vt:lpstr>
      <vt:lpstr>TOT404</vt:lpstr>
      <vt:lpstr>TOT411 (Phase 1&amp;2)</vt:lpstr>
      <vt:lpstr>TOT455</vt:lpstr>
      <vt:lpstr>TOT508</vt:lpstr>
      <vt:lpstr>TOT522</vt:lpstr>
      <vt:lpstr>TOT544</vt:lpstr>
      <vt:lpstr>TOT545</vt:lpstr>
      <vt:lpstr>TOT573</vt:lpstr>
      <vt:lpstr>TOT581</vt:lpstr>
      <vt:lpstr>TOT585 (Phase 1&amp;2)</vt:lpstr>
      <vt:lpstr>TOT672 (part1)</vt:lpstr>
      <vt:lpstr>WDT1099</vt:lpstr>
      <vt:lpstr>WDT1007-True-up</vt:lpstr>
      <vt:lpstr>TOT516-True-up</vt:lpstr>
      <vt:lpstr>TOT733-True-up</vt:lpstr>
      <vt:lpstr>WDT400-True-up</vt:lpstr>
      <vt:lpstr>FERC Interest Rate</vt:lpstr>
      <vt:lpstr>'2016 Summary'!Print_Area</vt:lpstr>
      <vt:lpstr>'2017 Summary'!Print_Area</vt:lpstr>
      <vt:lpstr>'TOT032'!Print_Area</vt:lpstr>
      <vt:lpstr>'TOT041'!Print_Area</vt:lpstr>
      <vt:lpstr>'TOT135'!Print_Area</vt:lpstr>
      <vt:lpstr>'TOT175 (adj)'!Print_Area</vt:lpstr>
      <vt:lpstr>'TOT211'!Print_Area</vt:lpstr>
      <vt:lpstr>'TOT219'!Print_Area</vt:lpstr>
      <vt:lpstr>'TOT223'!Print_Area</vt:lpstr>
      <vt:lpstr>'TOT278'!Print_Area</vt:lpstr>
      <vt:lpstr>'TOT381'!Print_Area</vt:lpstr>
      <vt:lpstr>'TOT404'!Print_Area</vt:lpstr>
      <vt:lpstr>'TOT411 (Phase 1&amp;2)'!Print_Area</vt:lpstr>
      <vt:lpstr>'TOT455'!Print_Area</vt:lpstr>
      <vt:lpstr>'TOT508'!Print_Area</vt:lpstr>
      <vt:lpstr>'TOT516-True-up'!Print_Area</vt:lpstr>
      <vt:lpstr>'TOT522'!Print_Area</vt:lpstr>
      <vt:lpstr>'TOT544'!Print_Area</vt:lpstr>
      <vt:lpstr>'TOT545'!Print_Area</vt:lpstr>
      <vt:lpstr>'TOT573'!Print_Area</vt:lpstr>
      <vt:lpstr>'TOT581'!Print_Area</vt:lpstr>
      <vt:lpstr>'TOT585 (Phase 1&amp;2)'!Print_Area</vt:lpstr>
      <vt:lpstr>'TOT672 (part1)'!Print_Area</vt:lpstr>
      <vt:lpstr>'TOT733-True-up'!Print_Area</vt:lpstr>
      <vt:lpstr>'WDT1007-True-up'!Print_Area</vt:lpstr>
      <vt:lpstr>'WDT1099'!Print_Area</vt:lpstr>
      <vt:lpstr>'WDT400-True-up'!Print_Area</vt:lpstr>
      <vt:lpstr>'2016 Summary'!Print_Titles</vt:lpstr>
      <vt:lpstr>'2017 Summary'!Print_Titles</vt:lpstr>
      <vt:lpstr>'FERC Interest Rate'!Print_Titles</vt:lpstr>
      <vt:lpstr>'TOT032'!Print_Titles</vt:lpstr>
      <vt:lpstr>'TOT041'!Print_Titles</vt:lpstr>
      <vt:lpstr>'TOT175 (adj)'!Print_Titles</vt:lpstr>
      <vt:lpstr>'TOT211'!Print_Titles</vt:lpstr>
      <vt:lpstr>'TOT219'!Print_Titles</vt:lpstr>
      <vt:lpstr>'TOT223'!Print_Titles</vt:lpstr>
      <vt:lpstr>'TOT278'!Print_Titles</vt:lpstr>
      <vt:lpstr>'TOT381'!Print_Titles</vt:lpstr>
      <vt:lpstr>'TOT404'!Print_Titles</vt:lpstr>
      <vt:lpstr>'TOT411 (Phase 1&amp;2)'!Print_Titles</vt:lpstr>
      <vt:lpstr>'TOT455'!Print_Titles</vt:lpstr>
      <vt:lpstr>'TOT508'!Print_Titles</vt:lpstr>
      <vt:lpstr>'TOT516-True-up'!Print_Titles</vt:lpstr>
      <vt:lpstr>'TOT522'!Print_Titles</vt:lpstr>
      <vt:lpstr>'TOT581'!Print_Titles</vt:lpstr>
      <vt:lpstr>'TOT733-True-up'!Print_Titles</vt:lpstr>
      <vt:lpstr>'WDT1007-True-up'!Print_Titles</vt:lpstr>
      <vt:lpstr>'WDT1099'!Print_Titles</vt:lpstr>
      <vt:lpstr>'WDT400-True-up'!Print_Titles</vt:lpstr>
    </vt:vector>
  </TitlesOfParts>
  <Company>Edison International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Transmission Credit 2006 Interest Refunds</dc:title>
  <dc:creator>Mauleon, Gregory A</dc:creator>
  <cp:lastModifiedBy>Kim, Jee Young</cp:lastModifiedBy>
  <cp:lastPrinted>2018-06-12T22:22:29Z</cp:lastPrinted>
  <dcterms:created xsi:type="dcterms:W3CDTF">2006-03-16T23:48:07Z</dcterms:created>
  <dcterms:modified xsi:type="dcterms:W3CDTF">2018-10-24T22:49:42Z</dcterms:modified>
</cp:coreProperties>
</file>