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ERC-REG\FERC\FERC Contract &amp; Cost Analysis\2018 FERC Rate Case (Formula 6th True Up) TO12\10-Oct 27-Annual Informational Filing\Workpapers\"/>
    </mc:Choice>
  </mc:AlternateContent>
  <bookViews>
    <workbookView xWindow="0" yWindow="45" windowWidth="19065" windowHeight="12615"/>
  </bookViews>
  <sheets>
    <sheet name="26-TaxRates" sheetId="5" r:id="rId1"/>
    <sheet name="I - Composite Tax Rate" sheetId="1" r:id="rId2"/>
    <sheet name="Apportionment" sheetId="2" r:id="rId3"/>
    <sheet name="II - IV  Apportionment Detail" sheetId="4" r:id="rId4"/>
    <sheet name="A1 Summary 2015 Appt (9-7-16)" sheetId="9" state="hidden" r:id="rId5"/>
  </sheets>
  <externalReferences>
    <externalReference r:id="rId6"/>
  </externalReferences>
  <definedNames>
    <definedName name="\0">#REF!</definedName>
    <definedName name="\A">#REF!</definedName>
    <definedName name="\B">#REF!</definedName>
    <definedName name="\C">#REF!</definedName>
    <definedName name="\D">#REF!</definedName>
    <definedName name="_1">#REF!</definedName>
    <definedName name="_2">#REF!</definedName>
    <definedName name="_Fill" hidden="1">[1]SCE97!#REF!</definedName>
    <definedName name="accliab">#REF!</definedName>
    <definedName name="APOTHER">#REF!</definedName>
    <definedName name="APSCE">#REF!</definedName>
    <definedName name="AROTHER">#REF!</definedName>
    <definedName name="arsce">#REF!</definedName>
    <definedName name="ASSET">#REF!</definedName>
    <definedName name="BALSHEET">#REF!</definedName>
    <definedName name="BALSHEET_">#REF!</definedName>
    <definedName name="CASH">#REF!</definedName>
    <definedName name="COMMISSN">#REF!</definedName>
    <definedName name="CORP">#REF!</definedName>
    <definedName name="CORPELIM">#REF!</definedName>
    <definedName name="CORPSUPT">#REF!</definedName>
    <definedName name="COSTHPP">#REF!</definedName>
    <definedName name="COSTOTHR">#REF!</definedName>
    <definedName name="CS">#REF!</definedName>
    <definedName name="DEFLEASE">#REF!</definedName>
    <definedName name="DEFMIN">#REF!</definedName>
    <definedName name="DEFOTHER">#REF!</definedName>
    <definedName name="DEFTAX">#REF!</definedName>
    <definedName name="DEPESCRW">#REF!</definedName>
    <definedName name="DEPOSIT">#REF!</definedName>
    <definedName name="DEPR">#REF!</definedName>
    <definedName name="DIRREQ">#REF!</definedName>
    <definedName name="DOWNLOAD">#REF!</definedName>
    <definedName name="EDINTLmo">#REF!</definedName>
    <definedName name="ELIM">#REF!</definedName>
    <definedName name="HPP">#REF!</definedName>
    <definedName name="INS">#REF!</definedName>
    <definedName name="INTEREST">#REF!</definedName>
    <definedName name="INTERSTE">#REF!</definedName>
    <definedName name="INTERSTI">#REF!</definedName>
    <definedName name="INVESTMT">#REF!</definedName>
    <definedName name="LEASEEXP">#REF!</definedName>
    <definedName name="LIAB">#REF!</definedName>
    <definedName name="LOSSPROP">#REF!</definedName>
    <definedName name="MAINHPP">#REF!</definedName>
    <definedName name="MAINOTHR">#REF!</definedName>
    <definedName name="MINEXP">#REF!</definedName>
    <definedName name="MININC">#REF!</definedName>
    <definedName name="MINRGHTS">#REF!</definedName>
    <definedName name="MISC">#REF!</definedName>
    <definedName name="MULTILST">#REF!</definedName>
    <definedName name="NI">#REF!</definedName>
    <definedName name="OPERHPP">#REF!</definedName>
    <definedName name="OTHERHPP">#REF!</definedName>
    <definedName name="OTHPROP">#REF!</definedName>
    <definedName name="P_E">#REF!</definedName>
    <definedName name="P_EDEP">#REF!</definedName>
    <definedName name="P_L">#REF!</definedName>
    <definedName name="PIC">#REF!</definedName>
    <definedName name="PREPDMIN">#REF!</definedName>
    <definedName name="_xlnm.Print_Area" localSheetId="0">'26-TaxRates'!$A$1:$F$79</definedName>
    <definedName name="_xlnm.Print_Area" localSheetId="4">'A1 Summary 2015 Appt (9-7-16)'!$H$11:$AC$128</definedName>
    <definedName name="_xlnm.Print_Area" localSheetId="1">'I - Composite Tax Rate'!$A$1:$H$41</definedName>
    <definedName name="_xlnm.Print_Area" localSheetId="3">'II - IV  Apportionment Detail'!$A$1:$G$122</definedName>
    <definedName name="_xlnm.Print_Area">#REF!</definedName>
    <definedName name="Print_Area_MI" localSheetId="4">'A1 Summary 2015 Appt (9-7-16)'!$X$1:$AF$40</definedName>
    <definedName name="_xlnm.Print_Titles" localSheetId="4">'A1 Summary 2015 Appt (9-7-16)'!$A:$G,'A1 Summary 2015 Appt (9-7-16)'!$1:$10</definedName>
    <definedName name="_xlnm.Print_Titles" localSheetId="3">'II - IV  Apportionment Detail'!$1:$3</definedName>
    <definedName name="_xlnm.Print_Titles">#REF!</definedName>
    <definedName name="Print_Titles_MI" localSheetId="4">'A1 Summary 2015 Appt (9-7-16)'!$A:$G</definedName>
    <definedName name="PRINT_TITLES_MI">#REF!</definedName>
    <definedName name="PROPMANG">#REF!</definedName>
    <definedName name="PROPTAX">#REF!</definedName>
    <definedName name="RE">#REF!</definedName>
    <definedName name="REBROK">#REF!</definedName>
    <definedName name="RENTDEP">#REF!</definedName>
    <definedName name="RENTEXP">#REF!</definedName>
    <definedName name="RENTHPP">#REF!</definedName>
    <definedName name="RENTOTHR">#REF!</definedName>
    <definedName name="RENTPROP">#REF!</definedName>
    <definedName name="SALARHPP">#REF!</definedName>
    <definedName name="SALEHPP">#REF!</definedName>
    <definedName name="SALEOTHR">#REF!</definedName>
    <definedName name="SCE">#REF!</definedName>
    <definedName name="SCE_ELIM">#REF!</definedName>
    <definedName name="SCEA">#REF!</definedName>
    <definedName name="SCEE">#REF!</definedName>
    <definedName name="SCEL">#REF!</definedName>
    <definedName name="SCEmo">#REF!</definedName>
    <definedName name="SPECPROJ">#REF!</definedName>
    <definedName name="taxpay">#REF!</definedName>
    <definedName name="TAXREC">#REF!</definedName>
    <definedName name="TOTAL">#REF!</definedName>
    <definedName name="WOF">#REF!</definedName>
    <definedName name="WOFDEP">#REF!</definedName>
    <definedName name="WOFEXP">#REF!</definedName>
    <definedName name="WOFINC">#REF!</definedName>
    <definedName name="Z">#REF!</definedName>
  </definedNames>
  <calcPr calcId="152511"/>
</workbook>
</file>

<file path=xl/calcChain.xml><?xml version="1.0" encoding="utf-8"?>
<calcChain xmlns="http://schemas.openxmlformats.org/spreadsheetml/2006/main">
  <c r="E15" i="1" l="1"/>
  <c r="G58" i="2"/>
  <c r="F94" i="4"/>
  <c r="F91" i="4"/>
  <c r="F86" i="4"/>
  <c r="G27" i="4" l="1"/>
  <c r="E32" i="2" l="1"/>
  <c r="E28" i="2"/>
  <c r="E33" i="2"/>
  <c r="F10" i="2"/>
  <c r="F112" i="4"/>
  <c r="E112" i="4"/>
  <c r="E27" i="4"/>
  <c r="I120" i="9"/>
  <c r="I122" i="9" s="1"/>
  <c r="J124" i="9" s="1"/>
  <c r="AA111" i="9"/>
  <c r="W111" i="9"/>
  <c r="G110" i="9"/>
  <c r="G109" i="9"/>
  <c r="G108" i="9"/>
  <c r="G107" i="9"/>
  <c r="G106" i="9"/>
  <c r="G105" i="9"/>
  <c r="G104" i="9"/>
  <c r="S111" i="9"/>
  <c r="K111" i="9"/>
  <c r="S117" i="9"/>
  <c r="S120" i="9" s="1"/>
  <c r="AA87" i="9"/>
  <c r="E116" i="4" s="1"/>
  <c r="W87" i="9"/>
  <c r="G86" i="9"/>
  <c r="G85" i="9"/>
  <c r="G84" i="9"/>
  <c r="G83" i="9"/>
  <c r="G82" i="9"/>
  <c r="G80" i="9"/>
  <c r="S87" i="9"/>
  <c r="G73" i="9"/>
  <c r="G118" i="9" s="1"/>
  <c r="K118" i="9" s="1"/>
  <c r="W63" i="9"/>
  <c r="W65" i="9" s="1"/>
  <c r="W40" i="9" s="1"/>
  <c r="S63" i="9"/>
  <c r="S65" i="9" s="1"/>
  <c r="S40" i="9" s="1"/>
  <c r="O63" i="9"/>
  <c r="O65" i="9" s="1"/>
  <c r="O40" i="9" s="1"/>
  <c r="E22" i="4" s="1"/>
  <c r="K63" i="9"/>
  <c r="K65" i="9" s="1"/>
  <c r="K40" i="9" s="1"/>
  <c r="G62" i="9"/>
  <c r="G61" i="9"/>
  <c r="G60" i="9"/>
  <c r="G59" i="9"/>
  <c r="G52" i="9"/>
  <c r="AA51" i="9"/>
  <c r="W51" i="9"/>
  <c r="S51" i="9"/>
  <c r="O51" i="9"/>
  <c r="K51" i="9"/>
  <c r="G51" i="9" s="1"/>
  <c r="AA50" i="9"/>
  <c r="W50" i="9"/>
  <c r="G49" i="9"/>
  <c r="G48" i="9"/>
  <c r="G47" i="9"/>
  <c r="AA53" i="9"/>
  <c r="AC35" i="9"/>
  <c r="AA36" i="9" s="1"/>
  <c r="Y35" i="9"/>
  <c r="W36" i="9" s="1"/>
  <c r="U35" i="9"/>
  <c r="S36" i="9" s="1"/>
  <c r="Q35" i="9"/>
  <c r="O36" i="9" s="1"/>
  <c r="M35" i="9"/>
  <c r="K36" i="9" s="1"/>
  <c r="I33" i="9"/>
  <c r="G33" i="9"/>
  <c r="S50" i="9"/>
  <c r="I32" i="9"/>
  <c r="I31" i="9"/>
  <c r="I30" i="9"/>
  <c r="I29" i="9"/>
  <c r="I28" i="9"/>
  <c r="I27" i="9"/>
  <c r="I26" i="9"/>
  <c r="I25" i="9"/>
  <c r="I24" i="9"/>
  <c r="I23" i="9"/>
  <c r="I22" i="9"/>
  <c r="I21" i="9"/>
  <c r="I20" i="9"/>
  <c r="I19" i="9"/>
  <c r="I18" i="9"/>
  <c r="I17" i="9"/>
  <c r="I16" i="9"/>
  <c r="I15" i="9"/>
  <c r="I14" i="9"/>
  <c r="I13" i="9"/>
  <c r="I12" i="9"/>
  <c r="I11" i="9"/>
  <c r="I35" i="9" s="1"/>
  <c r="G36" i="9" s="1"/>
  <c r="M8" i="9"/>
  <c r="Y8" i="9" s="1"/>
  <c r="Q8" i="9" s="1"/>
  <c r="U8" i="9" s="1"/>
  <c r="AC8" i="9" s="1"/>
  <c r="K8" i="9"/>
  <c r="W8" i="9" s="1"/>
  <c r="O8" i="9" s="1"/>
  <c r="S8" i="9" s="1"/>
  <c r="AA8" i="9" s="1"/>
  <c r="K35" i="9" l="1"/>
  <c r="AA35" i="9"/>
  <c r="K53" i="9"/>
  <c r="G32" i="9"/>
  <c r="O53" i="9"/>
  <c r="AA63" i="9"/>
  <c r="AA65" i="9" s="1"/>
  <c r="W35" i="9"/>
  <c r="W54" i="9" s="1"/>
  <c r="W55" i="9" s="1"/>
  <c r="G79" i="9"/>
  <c r="M90" i="9" s="1"/>
  <c r="F30" i="4"/>
  <c r="O35" i="9"/>
  <c r="O37" i="9" s="1"/>
  <c r="O39" i="9" s="1"/>
  <c r="G13" i="9"/>
  <c r="G17" i="9"/>
  <c r="G21" i="9"/>
  <c r="G25" i="9"/>
  <c r="G29" i="9"/>
  <c r="F27" i="4"/>
  <c r="E12" i="2"/>
  <c r="S35" i="9"/>
  <c r="S37" i="9" s="1"/>
  <c r="S39" i="9" s="1"/>
  <c r="S42" i="9" s="1"/>
  <c r="E48" i="2" s="1"/>
  <c r="G12" i="9"/>
  <c r="G16" i="9"/>
  <c r="G20" i="9"/>
  <c r="G24" i="9"/>
  <c r="G28" i="9"/>
  <c r="G46" i="9"/>
  <c r="O111" i="9"/>
  <c r="M91" i="9"/>
  <c r="G14" i="9"/>
  <c r="G15" i="9"/>
  <c r="G18" i="9"/>
  <c r="G19" i="9"/>
  <c r="G22" i="9"/>
  <c r="G23" i="9"/>
  <c r="G26" i="9"/>
  <c r="G27" i="9"/>
  <c r="G30" i="9"/>
  <c r="G31" i="9"/>
  <c r="W53" i="9"/>
  <c r="K87" i="9"/>
  <c r="E64" i="4" s="1"/>
  <c r="O87" i="9"/>
  <c r="E30" i="4" s="1"/>
  <c r="Y90" i="9"/>
  <c r="K37" i="9"/>
  <c r="K39" i="9" s="1"/>
  <c r="K42" i="9" s="1"/>
  <c r="E44" i="2" s="1"/>
  <c r="K54" i="9"/>
  <c r="Y89" i="9"/>
  <c r="Y91" i="9" s="1"/>
  <c r="AA91" i="9" s="1"/>
  <c r="AA37" i="9"/>
  <c r="AA39" i="9" s="1"/>
  <c r="AA54" i="9"/>
  <c r="AA55" i="9" s="1"/>
  <c r="S53" i="9"/>
  <c r="G50" i="9"/>
  <c r="AA92" i="9"/>
  <c r="AA40" i="9"/>
  <c r="K55" i="9"/>
  <c r="G63" i="9"/>
  <c r="G65" i="9" s="1"/>
  <c r="G40" i="9" s="1"/>
  <c r="F22" i="4" s="1"/>
  <c r="G11" i="9"/>
  <c r="G81" i="9"/>
  <c r="F31" i="4" s="1"/>
  <c r="G87" i="9"/>
  <c r="G91" i="9" s="1"/>
  <c r="F116" i="4" s="1"/>
  <c r="G103" i="9"/>
  <c r="G111" i="9" s="1"/>
  <c r="G119" i="9" s="1"/>
  <c r="K119" i="9" s="1"/>
  <c r="AA96" i="9"/>
  <c r="W37" i="9" l="1"/>
  <c r="W39" i="9" s="1"/>
  <c r="W42" i="9" s="1"/>
  <c r="F44" i="2"/>
  <c r="S54" i="9"/>
  <c r="S55" i="9" s="1"/>
  <c r="O54" i="9"/>
  <c r="O55" i="9" s="1"/>
  <c r="G53" i="9"/>
  <c r="O42" i="9"/>
  <c r="E17" i="4"/>
  <c r="G35" i="9"/>
  <c r="G37" i="9" s="1"/>
  <c r="G39" i="9" s="1"/>
  <c r="F17" i="4" s="1"/>
  <c r="AA93" i="9"/>
  <c r="E109" i="4" s="1"/>
  <c r="G96" i="9"/>
  <c r="G54" i="9"/>
  <c r="S119" i="9"/>
  <c r="AA97" i="9"/>
  <c r="AA98" i="9" s="1"/>
  <c r="AA42" i="9"/>
  <c r="E47" i="2" s="1"/>
  <c r="E46" i="2" l="1"/>
  <c r="E49" i="2"/>
  <c r="G55" i="9"/>
  <c r="G42" i="9"/>
  <c r="G117" i="9" s="1"/>
  <c r="AA95" i="9" l="1"/>
  <c r="AA99" i="9" s="1"/>
  <c r="AA101" i="9" s="1"/>
  <c r="F109" i="4"/>
  <c r="K117" i="9"/>
  <c r="K120" i="9" s="1"/>
  <c r="K122" i="9" s="1"/>
  <c r="G120" i="9"/>
  <c r="G122" i="9" s="1"/>
  <c r="D32" i="5" l="1"/>
  <c r="D29" i="5"/>
  <c r="F64" i="4"/>
  <c r="D31" i="5" l="1"/>
  <c r="D30" i="5"/>
  <c r="D71" i="5" l="1"/>
  <c r="D7" i="5" s="1"/>
  <c r="F57" i="5"/>
  <c r="F58" i="5" s="1"/>
  <c r="A8" i="5"/>
  <c r="A9" i="5" s="1"/>
  <c r="A10" i="5" s="1"/>
  <c r="A11" i="5" s="1"/>
  <c r="A12" i="5" s="1"/>
  <c r="A13" i="5" s="1"/>
  <c r="A14" i="5" s="1"/>
  <c r="A15" i="5" s="1"/>
  <c r="A16" i="5" s="1"/>
  <c r="A17" i="5" s="1"/>
  <c r="A18" i="5" s="1"/>
  <c r="A19" i="5" s="1"/>
  <c r="A20" i="5" s="1"/>
  <c r="A21" i="5" s="1"/>
  <c r="A22" i="5" s="1"/>
  <c r="A23" i="5" l="1"/>
  <c r="A24" i="5" l="1"/>
  <c r="A25" i="5" l="1"/>
  <c r="A26" i="5" l="1"/>
  <c r="A27" i="5" s="1"/>
  <c r="A28" i="5" s="1"/>
  <c r="A29" i="5" s="1"/>
  <c r="A30" i="5" l="1"/>
  <c r="A31" i="5" l="1"/>
  <c r="A32" i="5" l="1"/>
  <c r="A33" i="5" l="1"/>
  <c r="A34" i="5" s="1"/>
  <c r="A35" i="5" s="1"/>
  <c r="A36" i="5" s="1"/>
  <c r="A37" i="5" s="1"/>
  <c r="A38" i="5" s="1"/>
  <c r="A39" i="5" s="1"/>
  <c r="A40" i="5" l="1"/>
  <c r="E46" i="5"/>
  <c r="A41" i="5" l="1"/>
  <c r="E47" i="5"/>
  <c r="A42" i="5" l="1"/>
  <c r="E48" i="5"/>
  <c r="A43" i="5" l="1"/>
  <c r="A44" i="5" s="1"/>
  <c r="A45" i="5" s="1"/>
  <c r="A46" i="5" s="1"/>
  <c r="E49" i="5"/>
  <c r="A47" i="5" l="1"/>
  <c r="A48" i="5" s="1"/>
  <c r="A49" i="5" s="1"/>
  <c r="A50" i="5" s="1"/>
  <c r="A51" i="5" s="1"/>
  <c r="E51" i="5" l="1"/>
  <c r="A52" i="5"/>
  <c r="A53" i="5" s="1"/>
  <c r="A54" i="5" s="1"/>
  <c r="A55" i="5" s="1"/>
  <c r="E14" i="5"/>
  <c r="A56" i="5" l="1"/>
  <c r="A57" i="5" s="1"/>
  <c r="A58" i="5" s="1"/>
  <c r="C58" i="5" l="1"/>
  <c r="C57" i="5"/>
  <c r="F17" i="2"/>
  <c r="F16" i="2"/>
  <c r="G60" i="4" l="1"/>
  <c r="F57" i="4" l="1"/>
  <c r="E57" i="4"/>
  <c r="G57" i="4" l="1"/>
  <c r="B30" i="1"/>
  <c r="B38" i="1" l="1"/>
  <c r="B34" i="1"/>
  <c r="B26" i="1"/>
  <c r="B27" i="1"/>
  <c r="B39" i="1"/>
  <c r="B35" i="1"/>
  <c r="B31" i="1"/>
  <c r="B15" i="2"/>
  <c r="B13" i="2"/>
  <c r="F15" i="2" l="1"/>
  <c r="E88" i="4"/>
  <c r="F21" i="4"/>
  <c r="F23" i="4" s="1"/>
  <c r="E21" i="4"/>
  <c r="E23" i="4" s="1"/>
  <c r="E13" i="2"/>
  <c r="F13" i="2" s="1"/>
  <c r="B42" i="2"/>
  <c r="B26" i="2"/>
  <c r="D30" i="1"/>
  <c r="E14" i="1" s="1"/>
  <c r="D41" i="5" s="1"/>
  <c r="C46" i="1"/>
  <c r="D46" i="1" s="1"/>
  <c r="E46" i="1" s="1"/>
  <c r="F46" i="1" s="1"/>
  <c r="G46" i="1" s="1"/>
  <c r="D26" i="1"/>
  <c r="E12" i="1" s="1"/>
  <c r="D39" i="5" s="1"/>
  <c r="B35" i="2"/>
  <c r="D34" i="1"/>
  <c r="D40" i="5" s="1"/>
  <c r="G24" i="4" l="1"/>
  <c r="G23" i="4"/>
  <c r="D38" i="1"/>
  <c r="E13" i="1" s="1"/>
  <c r="D42" i="5" s="1"/>
  <c r="F88" i="4"/>
  <c r="G88" i="4" l="1"/>
  <c r="B51" i="2"/>
  <c r="E35" i="4"/>
  <c r="B14" i="2"/>
  <c r="G112" i="4"/>
  <c r="G91" i="4"/>
  <c r="G109" i="4"/>
  <c r="E69" i="4"/>
  <c r="E14" i="2" l="1"/>
  <c r="F14" i="2" s="1"/>
  <c r="B12" i="2"/>
  <c r="F32" i="4"/>
  <c r="F35" i="4" s="1"/>
  <c r="G35" i="4" s="1"/>
  <c r="G94" i="4"/>
  <c r="G96" i="4" s="1"/>
  <c r="G98" i="4" s="1"/>
  <c r="G37" i="4" l="1"/>
  <c r="G40" i="4" s="1"/>
  <c r="F12" i="2"/>
  <c r="E19" i="2"/>
  <c r="B19" i="2"/>
  <c r="G116" i="4"/>
  <c r="G118" i="4" s="1"/>
  <c r="G120" i="4" s="1"/>
  <c r="G12" i="2" l="1"/>
  <c r="G57" i="2" s="1"/>
  <c r="C16" i="2"/>
  <c r="C17" i="2"/>
  <c r="C13" i="2"/>
  <c r="C15" i="2"/>
  <c r="C14" i="2"/>
  <c r="C12" i="2"/>
  <c r="F69" i="4"/>
  <c r="G69" i="4" s="1"/>
  <c r="G73" i="4" l="1"/>
  <c r="G75" i="4" s="1"/>
  <c r="G70" i="4"/>
  <c r="G71" i="4"/>
  <c r="F19" i="2"/>
  <c r="G14" i="2" s="1"/>
  <c r="G17" i="2" l="1"/>
  <c r="G16" i="2"/>
  <c r="G15" i="2"/>
  <c r="G60" i="2" s="1"/>
  <c r="G13" i="2"/>
  <c r="G19" i="2" l="1"/>
  <c r="C19" i="2"/>
  <c r="C12" i="1"/>
  <c r="F12" i="1" l="1"/>
  <c r="G12" i="1" s="1"/>
  <c r="D22" i="5"/>
  <c r="D46" i="5" s="1"/>
  <c r="F49" i="2" l="1"/>
  <c r="F48" i="2"/>
  <c r="F32" i="2" l="1"/>
  <c r="F31" i="2"/>
  <c r="F33" i="2"/>
  <c r="E51" i="2" l="1"/>
  <c r="F47" i="2"/>
  <c r="F46" i="2"/>
  <c r="F45" i="2"/>
  <c r="F51" i="2" l="1"/>
  <c r="F54" i="2" s="1"/>
  <c r="C51" i="2"/>
  <c r="G48" i="2" l="1"/>
  <c r="G49" i="2"/>
  <c r="G45" i="2"/>
  <c r="G47" i="2"/>
  <c r="G46" i="2"/>
  <c r="G44" i="2"/>
  <c r="G51" i="2" l="1"/>
  <c r="E35" i="2"/>
  <c r="F28" i="2"/>
  <c r="F29" i="2"/>
  <c r="F30" i="2"/>
  <c r="C35" i="2" l="1"/>
  <c r="F35" i="2"/>
  <c r="G33" i="2" s="1"/>
  <c r="C15" i="1"/>
  <c r="G30" i="2" l="1"/>
  <c r="G59" i="2" s="1"/>
  <c r="G28" i="2"/>
  <c r="G31" i="2"/>
  <c r="C13" i="1" s="1"/>
  <c r="G32" i="2"/>
  <c r="G29" i="2"/>
  <c r="F15" i="1"/>
  <c r="G15" i="1" s="1"/>
  <c r="D23" i="5"/>
  <c r="D47" i="5" s="1"/>
  <c r="F13" i="1" l="1"/>
  <c r="G13" i="1" s="1"/>
  <c r="D25" i="5"/>
  <c r="D49" i="5" s="1"/>
  <c r="C14" i="1"/>
  <c r="G35" i="2"/>
  <c r="D24" i="5" l="1"/>
  <c r="D48" i="5" s="1"/>
  <c r="D51" i="5" s="1"/>
  <c r="D14" i="5" s="1"/>
  <c r="F14" i="1"/>
  <c r="G14" i="1" s="1"/>
  <c r="F16" i="1" l="1"/>
  <c r="G16" i="1" s="1"/>
  <c r="G18" i="1" s="1"/>
  <c r="G20" i="1" s="1"/>
  <c r="G22" i="1" s="1"/>
</calcChain>
</file>

<file path=xl/sharedStrings.xml><?xml version="1.0" encoding="utf-8"?>
<sst xmlns="http://schemas.openxmlformats.org/spreadsheetml/2006/main" count="672" uniqueCount="406">
  <si>
    <t>Apportionment</t>
  </si>
  <si>
    <t>Gross</t>
  </si>
  <si>
    <t>Gross Receipts</t>
  </si>
  <si>
    <t>Adjusted</t>
  </si>
  <si>
    <t>Receipts</t>
  </si>
  <si>
    <t>Sales</t>
  </si>
  <si>
    <t>Factor</t>
  </si>
  <si>
    <t>California</t>
  </si>
  <si>
    <t>New Mexico</t>
  </si>
  <si>
    <t>Arizona</t>
  </si>
  <si>
    <t>D.C.</t>
  </si>
  <si>
    <t>Nevada</t>
  </si>
  <si>
    <t>Other</t>
  </si>
  <si>
    <t>Everywhere</t>
  </si>
  <si>
    <t>Wages</t>
  </si>
  <si>
    <t>Property</t>
  </si>
  <si>
    <t>Apportionment Factors</t>
  </si>
  <si>
    <t>Southern California Edison</t>
  </si>
  <si>
    <t>Effective State Tax Rates &amp; Composite Tax Rate</t>
  </si>
  <si>
    <t>REGULAR TAX</t>
  </si>
  <si>
    <t>Statutory</t>
  </si>
  <si>
    <t>Ratio of State</t>
  </si>
  <si>
    <t>Effective State</t>
  </si>
  <si>
    <t>Ratemaking</t>
  </si>
  <si>
    <t>State</t>
  </si>
  <si>
    <t>Tax Rate</t>
  </si>
  <si>
    <t>Income to CA</t>
  </si>
  <si>
    <t>Tax Rates</t>
  </si>
  <si>
    <t>Total States</t>
  </si>
  <si>
    <t>Federal Statutory Rate</t>
  </si>
  <si>
    <t>or</t>
  </si>
  <si>
    <t>California net income</t>
  </si>
  <si>
    <t>=</t>
  </si>
  <si>
    <t>Arizona net income</t>
  </si>
  <si>
    <t>New Mexico net income</t>
  </si>
  <si>
    <t>ALTERNATIVE MINIMUM TAX</t>
  </si>
  <si>
    <t>Alternative Minimum Tax Rate</t>
  </si>
  <si>
    <t>DC</t>
  </si>
  <si>
    <t>DC net income</t>
  </si>
  <si>
    <t>1.</t>
  </si>
  <si>
    <t>II.  Calculation of Arizona Apportionment Factor</t>
  </si>
  <si>
    <t>Value of real and tangible personal property (by averaging the value of owned property</t>
  </si>
  <si>
    <t>at the beginning and end of the tax period; rented property at capitalized value)</t>
  </si>
  <si>
    <t>Column A</t>
  </si>
  <si>
    <t>Column B</t>
  </si>
  <si>
    <t>Column C</t>
  </si>
  <si>
    <t>Total Within</t>
  </si>
  <si>
    <t>Total</t>
  </si>
  <si>
    <t>Ratio within</t>
  </si>
  <si>
    <t>A / B</t>
  </si>
  <si>
    <t>a.</t>
  </si>
  <si>
    <t>Inventories</t>
  </si>
  <si>
    <t>Depreciable assets - (do not include Construction in Progress)</t>
  </si>
  <si>
    <t>Land</t>
  </si>
  <si>
    <t>Other Assets - (describe)</t>
  </si>
  <si>
    <t>Less: Nonbusiness property (if included in above totals)</t>
  </si>
  <si>
    <t>Total of section a</t>
  </si>
  <si>
    <t>b.</t>
  </si>
  <si>
    <t>Rented property (capitalize at 8 times net rental paid)</t>
  </si>
  <si>
    <t>Owned property (at original cost):</t>
  </si>
  <si>
    <t>c.</t>
  </si>
  <si>
    <t>Total owned and rented property (section a total plus section b)</t>
  </si>
  <si>
    <t>Property Factor</t>
  </si>
  <si>
    <t>Payroll Factor</t>
  </si>
  <si>
    <t>Total Wages, salaries, commissions and other compensation to employees</t>
  </si>
  <si>
    <t>(per Federal Form 1120 or payroll reports)</t>
  </si>
  <si>
    <t>2.</t>
  </si>
  <si>
    <t>3.</t>
  </si>
  <si>
    <t>Sales Factor</t>
  </si>
  <si>
    <t>Sales delivered or shipped to Arizona purchasers</t>
  </si>
  <si>
    <t>Other gross receipts</t>
  </si>
  <si>
    <t>Total sales and other gross receipts</t>
  </si>
  <si>
    <t>d.</t>
  </si>
  <si>
    <t>e.</t>
  </si>
  <si>
    <t>Sales factor (for Column A - multiply item c by item d; for column B - enter the</t>
  </si>
  <si>
    <t>amount from item c)</t>
  </si>
  <si>
    <t>X 2  OR  X 8</t>
  </si>
  <si>
    <t>4.</t>
  </si>
  <si>
    <t>Total Ratio - add C1(c), C2, and C3(e), in Column C</t>
  </si>
  <si>
    <t>5.</t>
  </si>
  <si>
    <t>Inventory</t>
  </si>
  <si>
    <t>Buildings</t>
  </si>
  <si>
    <t>Furniture and fixtures</t>
  </si>
  <si>
    <t>Total property</t>
  </si>
  <si>
    <t>Payroll</t>
  </si>
  <si>
    <t>(i)  Shipped from outside California</t>
  </si>
  <si>
    <t>Sales shipped from California to:</t>
  </si>
  <si>
    <t>(i)  The United States Government</t>
  </si>
  <si>
    <t>(ii) Purchasers in a state where the taxpayer is not taxable.</t>
  </si>
  <si>
    <t>Other gross receipts (rents, royalties, interest, etc.)</t>
  </si>
  <si>
    <t>Total Percent. Add the percentages in column (c).</t>
  </si>
  <si>
    <t>II.  Calculation of California Apportionment Factor</t>
  </si>
  <si>
    <t>Average annual value of inventory</t>
  </si>
  <si>
    <t>Average annual value of real property</t>
  </si>
  <si>
    <t>Rented property (Annual rental value times 8)</t>
  </si>
  <si>
    <t>Total compensation of employees</t>
  </si>
  <si>
    <t>Gross receipts</t>
  </si>
  <si>
    <t>TOTAL FACTORS (Add lines 1, 2, and 3)</t>
  </si>
  <si>
    <r>
      <t>AVERAGE FACTOR</t>
    </r>
    <r>
      <rPr>
        <sz val="10"/>
        <rFont val="Arial"/>
        <family val="2"/>
      </rPr>
      <t xml:space="preserve"> (Divide line 4 by the number of factors computed above)</t>
    </r>
  </si>
  <si>
    <t>III.  Calculation of New Mexico Apportionment Factor</t>
  </si>
  <si>
    <t>IV.  Calculation of Washington, D.C. Apportionment Factor</t>
  </si>
  <si>
    <t>Washington, D.C.</t>
  </si>
  <si>
    <t>Average value of real estate and tangible personal property owned or rented to</t>
  </si>
  <si>
    <t>and used by the corporation.</t>
  </si>
  <si>
    <t>Total compensation paid or accrued by the corporation.</t>
  </si>
  <si>
    <t>All gross receipts of the corporation other than gross receipts from non-business</t>
  </si>
  <si>
    <t>SOUTHERN CALIFORNIA EDISON COMPANY</t>
  </si>
  <si>
    <t>A</t>
  </si>
  <si>
    <t>B</t>
  </si>
  <si>
    <t>C</t>
  </si>
  <si>
    <t>D = A x B x C</t>
  </si>
  <si>
    <t>E = D</t>
  </si>
  <si>
    <t>New Mexico Form CIT-1, Line 9 - New Mexico Net Taxable Income</t>
  </si>
  <si>
    <t>Sch 26, Line 16</t>
  </si>
  <si>
    <t>Sch 26, Line 19</t>
  </si>
  <si>
    <t>Sch 26, Line 18</t>
  </si>
  <si>
    <t>Sch 26, Line 17</t>
  </si>
  <si>
    <t>Sch 26, Line 33</t>
  </si>
  <si>
    <t>Sch 26, Line 35</t>
  </si>
  <si>
    <t>Sch 26, Line 34</t>
  </si>
  <si>
    <t>Sch 26, Line 36</t>
  </si>
  <si>
    <r>
      <t>Weight Arizona sales - (</t>
    </r>
    <r>
      <rPr>
        <i/>
        <sz val="8"/>
        <rFont val="Arial"/>
        <family val="2"/>
      </rPr>
      <t>STANDARD</t>
    </r>
    <r>
      <rPr>
        <sz val="8"/>
        <rFont val="Arial"/>
        <family val="2"/>
      </rPr>
      <t xml:space="preserve"> uses X 2; </t>
    </r>
    <r>
      <rPr>
        <i/>
        <sz val="8"/>
        <rFont val="Arial"/>
        <family val="2"/>
      </rPr>
      <t>ENHANCED</t>
    </r>
    <r>
      <rPr>
        <sz val="8"/>
        <rFont val="Arial"/>
        <family val="2"/>
      </rPr>
      <t xml:space="preserve"> uses X 8)</t>
    </r>
  </si>
  <si>
    <t>Sales delivered or shipped to California purchasers:</t>
  </si>
  <si>
    <t xml:space="preserve">Single Sales Factor </t>
  </si>
  <si>
    <t>income (Weight Sales STANDARD uses X 2).</t>
  </si>
  <si>
    <t xml:space="preserve">DC </t>
  </si>
  <si>
    <t>Arizona Form 120, Line 5- Adjusted Business Income</t>
  </si>
  <si>
    <t xml:space="preserve">utilized for the apportionment determination. </t>
  </si>
  <si>
    <t>Machinery and equipment (including delivery equipment)</t>
  </si>
  <si>
    <t>Other tangible assets</t>
  </si>
  <si>
    <t>Rented property used in the business</t>
  </si>
  <si>
    <t>Total Property</t>
  </si>
  <si>
    <t>Total Payroll</t>
  </si>
  <si>
    <t>Total percent</t>
  </si>
  <si>
    <t>For 2012, standard apportionment factor was utilized for the</t>
  </si>
  <si>
    <t>apportionment determination (property, payroll, double-weighted</t>
  </si>
  <si>
    <t>sales).</t>
  </si>
  <si>
    <t>For 2012, property, payroll, and double-weighted sales factor were</t>
  </si>
  <si>
    <t>utilized for the apportionment determination.</t>
  </si>
  <si>
    <t>For 2012, property, payroll, and single-weighted sales factor were</t>
  </si>
  <si>
    <t>Federal Benefit of State Taxes</t>
  </si>
  <si>
    <t>Total for California</t>
  </si>
  <si>
    <t>Other States</t>
  </si>
  <si>
    <t xml:space="preserve">2012 Update:  </t>
  </si>
  <si>
    <t>Arizona provides the option of apportioning using a standard 3-factor formula with</t>
  </si>
  <si>
    <t>California provides the option of apportioning using a single sales factor with market</t>
  </si>
  <si>
    <t>sourcing or a standard 3-factor formula with double-weighting of the sales factor and</t>
  </si>
  <si>
    <t>cost of performance sourcing.  SCE made the single sales factor election for 2011</t>
  </si>
  <si>
    <t>double-weighting of the sales factor or an enhanced sales factor methodology which</t>
  </si>
  <si>
    <t>uses 3 factors, but weights the sales factor at 80%.  SCE used the standard</t>
  </si>
  <si>
    <t>For 2012, both California and Arizona had elective apportion methdologies.</t>
  </si>
  <si>
    <t>single sales factor with market sourcing will be mandatory.</t>
  </si>
  <si>
    <t>apportionment formula for both 2011 and 2012.</t>
  </si>
  <si>
    <t>sales factor.  However, it is included in the denominator sales factor for other states.</t>
  </si>
  <si>
    <t>California net income (line 18 of 100W)</t>
  </si>
  <si>
    <t>Calculation of Income Tax Rates</t>
  </si>
  <si>
    <t>1) Federal Income Tax rate</t>
  </si>
  <si>
    <t>Inputs are shaded yellow</t>
  </si>
  <si>
    <t>Federal</t>
  </si>
  <si>
    <t>Prior</t>
  </si>
  <si>
    <t>Income Tax</t>
  </si>
  <si>
    <t>Line</t>
  </si>
  <si>
    <t>Year</t>
  </si>
  <si>
    <t>Rate ("FITR")</t>
  </si>
  <si>
    <t>Source</t>
  </si>
  <si>
    <t>Note 1, c Column 2, see also Note 2</t>
  </si>
  <si>
    <t>2) Composite State Income Tax Rate</t>
  </si>
  <si>
    <t>Composite State</t>
  </si>
  <si>
    <t>Rate ("CSITR")</t>
  </si>
  <si>
    <t>for apportionment factors and state tax rates.</t>
  </si>
  <si>
    <t>Calculation of Composite State Income Tax Rate for the Prior Year:</t>
  </si>
  <si>
    <t>Factors ("AFs")</t>
  </si>
  <si>
    <t>1) Input most recent available Apportionment Factors.</t>
  </si>
  <si>
    <t>Tax Rate ("STR")</t>
  </si>
  <si>
    <t>2) Input STR for the Prior Year</t>
  </si>
  <si>
    <t>for each state.  See Notes 1 and 3.</t>
  </si>
  <si>
    <t>Ratio of SCE</t>
  </si>
  <si>
    <t>State Taxable</t>
  </si>
  <si>
    <t>Income to SCE</t>
  </si>
  <si>
    <t>Taxable Income</t>
  </si>
  <si>
    <t>3) Input most recent available ratios based on</t>
  </si>
  <si>
    <t xml:space="preserve">      taxable income from state return filings.</t>
  </si>
  <si>
    <t>Income Tax Rate =</t>
  </si>
  <si>
    <t>3) Capitalized Overhead portion of Electric Payroll Tax Expense</t>
  </si>
  <si>
    <t>Amount</t>
  </si>
  <si>
    <t>Capitalization Rate (Note 4)</t>
  </si>
  <si>
    <t>Notes:</t>
  </si>
  <si>
    <t>1) In the event that statutory marginal tax rates change during the Prior Year, the effective tax rate used in</t>
  </si>
  <si>
    <t xml:space="preserve">the formula shall be weighted by the number of days each such rate was in effect.  For example, a 35% rate </t>
  </si>
  <si>
    <t xml:space="preserve">in effect for 120 days superseded by a 40% rate in effect for the remainder of the year will be calculated as: </t>
  </si>
  <si>
    <t xml:space="preserve"> ((.3500 x 120) + (.4000 x 245))/365 = .3836.</t>
  </si>
  <si>
    <t>Calculation of FITR for Prior Year:</t>
  </si>
  <si>
    <t>(Col 1)</t>
  </si>
  <si>
    <t>(Col 2)</t>
  </si>
  <si>
    <t>FITR</t>
  </si>
  <si>
    <t>Days</t>
  </si>
  <si>
    <t>Note</t>
  </si>
  <si>
    <t>a</t>
  </si>
  <si>
    <t>Input FITR in effect for first part of year and number of days</t>
  </si>
  <si>
    <t>b</t>
  </si>
  <si>
    <t>Input FITR in effect for second part of year and number of days</t>
  </si>
  <si>
    <t>c</t>
  </si>
  <si>
    <t>FITR:</t>
  </si>
  <si>
    <t>= ((Line a, C1)*(Line a, C2)+ (Line b, C1)*(Line b, C2))/365</t>
  </si>
  <si>
    <t>2) Federal Source Statute:</t>
  </si>
  <si>
    <t>Internal Revenue Code Section 11(b)(1)(D)</t>
  </si>
  <si>
    <t>3) State Source Statues (Enter Reference to each State Marginal Tax Rate Statute below):</t>
  </si>
  <si>
    <t>a) California:</t>
  </si>
  <si>
    <t>b) New Mexico</t>
  </si>
  <si>
    <t>4) Capitalization Rate approved in:</t>
  </si>
  <si>
    <t>CPUC D. 12-11-051</t>
  </si>
  <si>
    <t>For the following Prior Years:</t>
  </si>
  <si>
    <t>2012-2014</t>
  </si>
  <si>
    <t>for the applicable Prior Year</t>
  </si>
  <si>
    <t xml:space="preserve">SOUTHERN CALIFORNIA EDISON COMPANY </t>
  </si>
  <si>
    <t>SCE - Confidential</t>
  </si>
  <si>
    <t xml:space="preserve">Apportionment Summary </t>
  </si>
  <si>
    <t xml:space="preserve">(Excluding Mohave) </t>
  </si>
  <si>
    <t>T O T A L        E V E R Y W H E R E</t>
  </si>
  <si>
    <t>C A L I F O R N I A</t>
  </si>
  <si>
    <t>N E W    M E X I C O</t>
  </si>
  <si>
    <t>A R I Z O N A</t>
  </si>
  <si>
    <t>N E V A D A</t>
  </si>
  <si>
    <t xml:space="preserve">  Account  </t>
  </si>
  <si>
    <t>SAP Acct,</t>
  </si>
  <si>
    <t>Description</t>
  </si>
  <si>
    <t>2013</t>
  </si>
  <si>
    <t>2012</t>
  </si>
  <si>
    <t>Property Factor:</t>
  </si>
  <si>
    <t>101</t>
  </si>
  <si>
    <t xml:space="preserve"> Electric Plant In Service </t>
  </si>
  <si>
    <t>SCE</t>
  </si>
  <si>
    <t>103</t>
  </si>
  <si>
    <t>Electric Plant Unclassified - Experimental</t>
  </si>
  <si>
    <t>Electric Plant Held for Future Use</t>
  </si>
  <si>
    <t>106</t>
  </si>
  <si>
    <t>Completed Construction - Not Classified</t>
  </si>
  <si>
    <t>118</t>
  </si>
  <si>
    <t xml:space="preserve">Other Utility Plant </t>
  </si>
  <si>
    <t>121</t>
  </si>
  <si>
    <t xml:space="preserve">Non-Utility Property </t>
  </si>
  <si>
    <t>151-163</t>
  </si>
  <si>
    <r>
      <t xml:space="preserve">Materials And Supplies </t>
    </r>
    <r>
      <rPr>
        <b/>
        <sz val="10"/>
        <rFont val="Arial MT"/>
      </rPr>
      <t>(see note)</t>
    </r>
  </si>
  <si>
    <t>301-303</t>
  </si>
  <si>
    <r>
      <t xml:space="preserve">Intangible Plant - Electric </t>
    </r>
    <r>
      <rPr>
        <b/>
        <sz val="10"/>
        <rFont val="Arial MT"/>
      </rPr>
      <t>(see note)</t>
    </r>
  </si>
  <si>
    <t>303</t>
  </si>
  <si>
    <t>Intangible Plant - Other Utility</t>
  </si>
  <si>
    <t>120.101</t>
  </si>
  <si>
    <t>Nuclear Fuel in Process - Uran - SONGS</t>
  </si>
  <si>
    <t>Nuclear Fuel Inventory</t>
  </si>
  <si>
    <t>NF Pre-Reactor Contr</t>
  </si>
  <si>
    <t>120.102</t>
  </si>
  <si>
    <t>Nuclear Fuel in Process - Conv - SONGS</t>
  </si>
  <si>
    <t>Nuclear Fuel</t>
  </si>
  <si>
    <t>120.103</t>
  </si>
  <si>
    <t>Nuclear Fuel in Process - Enrich - SONGS</t>
  </si>
  <si>
    <t>120.110</t>
  </si>
  <si>
    <t>Nuclear Fuel in Process - Refin/Conv - PV</t>
  </si>
  <si>
    <t>120.202</t>
  </si>
  <si>
    <t>Comp Nuc Fuel Assbly - SONGS 2</t>
  </si>
  <si>
    <t>120.203</t>
  </si>
  <si>
    <t>Comp Nuc Fuel Assbly - SONGS 3</t>
  </si>
  <si>
    <t>120.210</t>
  </si>
  <si>
    <t>Comp Nuc Fuel Assbly - PV 1</t>
  </si>
  <si>
    <t>120.220</t>
  </si>
  <si>
    <t>Comp Nuc Fuel Assbly - PV 2</t>
  </si>
  <si>
    <t>120.230</t>
  </si>
  <si>
    <t>Comp Nuc Fuel Assbly - PV 3</t>
  </si>
  <si>
    <t>SHT 3-4b</t>
  </si>
  <si>
    <t>Nuclear Fuel In Reactor</t>
  </si>
  <si>
    <t>EMS inventory</t>
  </si>
  <si>
    <t>EMS</t>
  </si>
  <si>
    <t xml:space="preserve"> </t>
  </si>
  <si>
    <t>Palo Verde</t>
  </si>
  <si>
    <t>Less: Mohave</t>
  </si>
  <si>
    <t>Less: Book Basis of Nuclear Fuel in Reactor</t>
  </si>
  <si>
    <t>Add: Tax Basis of Nuclear Fuel in Reactor</t>
  </si>
  <si>
    <t>Add: EMS Inventory</t>
  </si>
  <si>
    <t>Rounding</t>
  </si>
  <si>
    <t>Note1: Mountainview LLC was dissolved and merged into SCE in 7/1/2009.  2009 tax year is the last year for a Mountainview federal proforma tax return.</t>
  </si>
  <si>
    <t xml:space="preserve">Note 2:  New in 2010 - An EMS 1120 proforma was prepared due to more book/tax differences.   The amount of EMS sales less I/C sales to SCE is included in the sales apportionment wps.  In prior years, EMS sales rolled up into SCE's income in equity subs. </t>
  </si>
  <si>
    <t>D</t>
  </si>
  <si>
    <t>Dividends</t>
  </si>
  <si>
    <t>Interest (for CA apportionment only, see Note below)</t>
  </si>
  <si>
    <t>Royalties</t>
  </si>
  <si>
    <t>Capital Gain - gross proceed</t>
  </si>
  <si>
    <t>F/A disposal - gross proceed</t>
  </si>
  <si>
    <t>Other Income</t>
  </si>
  <si>
    <t xml:space="preserve">TOTAL GROSS RECEIPTS </t>
  </si>
  <si>
    <t xml:space="preserve">Add:  Treasury Function </t>
  </si>
  <si>
    <t>D4</t>
  </si>
  <si>
    <t>Add:  Overcollected Balancing Accounts</t>
  </si>
  <si>
    <t xml:space="preserve">Everywhere Gross Receipts before Bal Acct adj = </t>
  </si>
  <si>
    <t>TOTAL GROSS RECEIPTS (for non-CA purposes)</t>
  </si>
  <si>
    <t xml:space="preserve">CA Gross Receipts before Bal Account adj = </t>
  </si>
  <si>
    <t>DC Factor:</t>
  </si>
  <si>
    <t>Difference</t>
  </si>
  <si>
    <t>Factors:</t>
  </si>
  <si>
    <t>Average DC Property</t>
  </si>
  <si>
    <t>Property:</t>
  </si>
  <si>
    <t>Capitalized Rents</t>
  </si>
  <si>
    <t>Payroll:</t>
  </si>
  <si>
    <t>Sales:</t>
  </si>
  <si>
    <t>/3</t>
  </si>
  <si>
    <t>/4</t>
  </si>
  <si>
    <t>3 factor</t>
  </si>
  <si>
    <t>DC apportionment</t>
  </si>
  <si>
    <t>See Note B</t>
  </si>
  <si>
    <t>CA Factor using single sales factor based on market based sourcing (see Note A):</t>
  </si>
  <si>
    <t xml:space="preserve">[2] Adjustments have been made to reflect exclusion of balancing account adjustments and treasury interest from the CA </t>
  </si>
  <si>
    <r>
      <t>Adjustments</t>
    </r>
    <r>
      <rPr>
        <sz val="10"/>
        <color rgb="FFFF0000"/>
        <rFont val="Arial"/>
        <family val="2"/>
      </rPr>
      <t xml:space="preserve"> [3]</t>
    </r>
  </si>
  <si>
    <r>
      <t xml:space="preserve">and used 3-factor apportionment factor for 2012.  </t>
    </r>
    <r>
      <rPr>
        <b/>
        <i/>
        <sz val="10"/>
        <color rgb="FFFF0000"/>
        <rFont val="Arial"/>
        <family val="2"/>
      </rPr>
      <t>Commencing in 2013, use of the</t>
    </r>
  </si>
  <si>
    <t>Gross Receipts Factor (Market Sourcing)</t>
  </si>
  <si>
    <t xml:space="preserve">EV Gross Receipts before Bal Acct adj = </t>
  </si>
  <si>
    <t>Overcollected Balancing Accounts</t>
  </si>
  <si>
    <t>Total Electric Payroll Tax Expense (From 1-BaseTRR, Line 30)</t>
  </si>
  <si>
    <t xml:space="preserve">Other </t>
  </si>
  <si>
    <r>
      <t xml:space="preserve">Adjustments </t>
    </r>
    <r>
      <rPr>
        <sz val="10"/>
        <color rgb="FFFF0000"/>
        <rFont val="Arial"/>
        <family val="2"/>
      </rPr>
      <t>[3]</t>
    </r>
  </si>
  <si>
    <t>[1]</t>
  </si>
  <si>
    <t>PROPERTY FACTOR</t>
  </si>
  <si>
    <t>OTHER (WASHINGTON, DC)</t>
  </si>
  <si>
    <t>2014</t>
  </si>
  <si>
    <t>/C2</t>
  </si>
  <si>
    <t>/C4</t>
  </si>
  <si>
    <t>/C3</t>
  </si>
  <si>
    <t>Total Ending Property Owned</t>
  </si>
  <si>
    <t>Total Beginning Property Owned</t>
  </si>
  <si>
    <t>Sum of Ending and Beginning Property Owned</t>
  </si>
  <si>
    <t>Divided by</t>
  </si>
  <si>
    <t>Average Property Owned</t>
  </si>
  <si>
    <t>/1</t>
  </si>
  <si>
    <t>/2</t>
  </si>
  <si>
    <t>/5</t>
  </si>
  <si>
    <t>/6</t>
  </si>
  <si>
    <t>Total Property Factor</t>
  </si>
  <si>
    <t>RECONCILIATION OF ENDING OWNED PROPERTY</t>
  </si>
  <si>
    <t>Sch I Total</t>
  </si>
  <si>
    <t>Less: Book Basis of NF Inventory Contra</t>
  </si>
  <si>
    <t>Total from Above</t>
  </si>
  <si>
    <t>difference</t>
  </si>
  <si>
    <t>CAPITALIZED RENTS</t>
  </si>
  <si>
    <t>426.400-Washington (DC)</t>
  </si>
  <si>
    <t>/C6</t>
  </si>
  <si>
    <t>Participation Share-Palo Verde (AZ)</t>
  </si>
  <si>
    <t>Participation Share - Four Corners (NM) - Disposed 12/31/2013</t>
  </si>
  <si>
    <t>/C5</t>
  </si>
  <si>
    <t>Total Rent Expense</t>
  </si>
  <si>
    <t>Capitalization Factor</t>
  </si>
  <si>
    <t>1/</t>
  </si>
  <si>
    <t>2/</t>
  </si>
  <si>
    <t>3/</t>
  </si>
  <si>
    <t>4/</t>
  </si>
  <si>
    <t>5/</t>
  </si>
  <si>
    <t>6/</t>
  </si>
  <si>
    <t>PAYROLL FACTOR (SCE ONLY)</t>
  </si>
  <si>
    <t>/B1</t>
  </si>
  <si>
    <t>SALES FACTOR</t>
  </si>
  <si>
    <t>D1</t>
  </si>
  <si>
    <t>2014 DC Property</t>
  </si>
  <si>
    <t>Divided By</t>
  </si>
  <si>
    <t>CA Gross Receipts Factor (Cost of Performance Sourcing)  - NOT USED FOR 2014 APPORTIONMENT CALCULATION</t>
  </si>
  <si>
    <t>CA Factor using Compact Method for 2013 based on cost of performance (see note A): - NOT USED FOR 2014 APPORTIONMENT CALCULATION</t>
  </si>
  <si>
    <r>
      <rPr>
        <b/>
        <i/>
        <sz val="10"/>
        <rFont val="Arial"/>
        <family val="2"/>
      </rPr>
      <t>Note A:</t>
    </r>
    <r>
      <rPr>
        <sz val="10"/>
        <rFont val="Arial"/>
        <family val="2"/>
      </rPr>
      <t xml:space="preserve"> CA Sales factor election - For tax years beginning on or after January 1, 2011, and before 2013,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t>
    </r>
  </si>
  <si>
    <r>
      <rPr>
        <b/>
        <i/>
        <sz val="10"/>
        <rFont val="Arial"/>
        <family val="2"/>
      </rPr>
      <t>Note B:</t>
    </r>
    <r>
      <rPr>
        <sz val="10"/>
        <rFont val="Arial"/>
        <family val="2"/>
      </rPr>
      <t xml:space="preserve"> Effective for tax years beginning after December 31, 2010 and before January 1, 2015, D.C. requires double-weighted sales factor apportionment.  For tax years beginning on or after January 1, 2015, D.C. requires use of single-sales-factor apportionment.</t>
    </r>
  </si>
  <si>
    <r>
      <t xml:space="preserve">Adjustiment </t>
    </r>
    <r>
      <rPr>
        <sz val="10"/>
        <color rgb="FFFF0000"/>
        <rFont val="Arial"/>
        <family val="2"/>
      </rPr>
      <t>[2]</t>
    </r>
  </si>
  <si>
    <t>Enhances</t>
  </si>
  <si>
    <t>Arizona - Enhances 2016 budget</t>
  </si>
  <si>
    <t>Total Sales</t>
  </si>
  <si>
    <r>
      <rPr>
        <b/>
        <sz val="10"/>
        <rFont val="Arial"/>
        <family val="2"/>
      </rPr>
      <t>Apportionment percentage.</t>
    </r>
    <r>
      <rPr>
        <sz val="10"/>
        <rFont val="Arial"/>
        <family val="2"/>
      </rPr>
      <t xml:space="preserve">  Single Sales Factor</t>
    </r>
  </si>
  <si>
    <t>(Enhances 2 1/2 percent for property and payroll and 95% for sales)</t>
  </si>
  <si>
    <r>
      <t xml:space="preserve">Average apportionment ratio </t>
    </r>
    <r>
      <rPr>
        <sz val="8"/>
        <rFont val="Arial"/>
        <family val="2"/>
      </rPr>
      <t xml:space="preserve">- </t>
    </r>
  </si>
  <si>
    <r>
      <t>DC APPORTIONMENT FACTOR</t>
    </r>
    <r>
      <rPr>
        <sz val="10"/>
        <rFont val="Arial"/>
        <family val="2"/>
      </rPr>
      <t xml:space="preserve"> (Single sales factory beginning after Dec 31, 2014)</t>
    </r>
  </si>
  <si>
    <t>apportionment factor under the "market sourcing" method, this adjustment is required to get to the right denominator amount.</t>
  </si>
  <si>
    <t>D.C. **</t>
  </si>
  <si>
    <t>New Mexico Statutes, ¶12,300 Rates in general</t>
  </si>
  <si>
    <t>based on 2015 State Apportionment (SCE standalone)</t>
  </si>
  <si>
    <t>For the Year Ended December 31, 2015</t>
  </si>
  <si>
    <t>2015</t>
  </si>
  <si>
    <t>105</t>
  </si>
  <si>
    <t>/C7</t>
  </si>
  <si>
    <t xml:space="preserve">Form 1120, Rents line 16 </t>
  </si>
  <si>
    <t>2015 DC Property</t>
  </si>
  <si>
    <t>-D1</t>
  </si>
  <si>
    <t>Lifted from:  L:\SUPPORT\SCE\15 Sheets\State\[SCE 15 Apportionment Summary.xlsx]A1 Summary</t>
  </si>
  <si>
    <t xml:space="preserve">Tax Apportionment Detail Worksheet By State based on 2015 Tax Return </t>
  </si>
  <si>
    <t>State Tax Apportionment based on 2015 Tax Return</t>
  </si>
  <si>
    <t>2015 TR</t>
  </si>
  <si>
    <t>[1] This denominator ties to SCE standalone 2015 state apportionment.</t>
  </si>
  <si>
    <t>Arizona - Enhances 2016 Actual</t>
  </si>
  <si>
    <t xml:space="preserve">[3] For SCE 2015 CA tax return, SCE is using a single sales factor.  However, for purpose of computing the non-CA state </t>
  </si>
  <si>
    <t>** For tax years beginning after December 31, 2014, a single sales factor is used in apportioning business income to DC.</t>
  </si>
  <si>
    <t>Total Composite Tax Rate - 2016</t>
  </si>
  <si>
    <t>b) Arizona</t>
  </si>
  <si>
    <t>c) District of Columbia</t>
  </si>
  <si>
    <t>Arizona ***</t>
  </si>
  <si>
    <t xml:space="preserve">*** 2015 AZ apportionment factor is very immaterial and Tax Provision is not accruing any taxes for it.  Thus, the </t>
  </si>
  <si>
    <t>composite tax rate calculation follows provision.</t>
  </si>
  <si>
    <t>***</t>
  </si>
  <si>
    <t>California Form 100W, Line 17 - Net Income After State Apportionment</t>
  </si>
  <si>
    <t>D.C. Tax Form D-20 SUB Corpration, Line 30 - Net Income subject to Apportmnt</t>
  </si>
  <si>
    <t xml:space="preserve">For tax years beginning after Dec 31, 2014, business income is apportioned using a single sales factor apportionment formula. </t>
  </si>
  <si>
    <t>**</t>
  </si>
  <si>
    <t>Arizona Rev. Stat.Ann. Statute, § 43-1111</t>
  </si>
  <si>
    <t>California Rev. &amp; Tax. Cd. § 23151</t>
  </si>
  <si>
    <t>DC Code Ann. §47-1807.02</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</si>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</sst>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1" formatCode="_(* #,##0_);_(* \(#,##0\);_(* &quot;-&quot;_);_(@_)"/>
    <numFmt numFmtId="44" formatCode="_(&quot;$&quot;* #,##0.00_);_(&quot;$&quot;* \(#,##0.00\);_(&quot;$&quot;* &quot;-&quot;??_);_(@_)"/>
    <numFmt numFmtId="43" formatCode="_(* #,##0.00_);_(* \(#,##0.00\);_(* &quot;-&quot;??_);_(@_)"/>
    <numFmt numFmtId="164" formatCode="0.0000%"/>
    <numFmt numFmtId="165" formatCode="0_);\(0\)"/>
    <numFmt numFmtId="166" formatCode="_(* #,##0.000000_);_(* \(#,##0.000000\);_(* &quot;-&quot;??_);_(@_)"/>
    <numFmt numFmtId="167" formatCode="#,##0.0_);\(#,##0.0\)"/>
    <numFmt numFmtId="168" formatCode="0.000%"/>
    <numFmt numFmtId="169" formatCode="_(* #,##0_);_(* \(#,##0\);_(* &quot;-&quot;??_);_(@_)"/>
    <numFmt numFmtId="170" formatCode="_(* #,##0.000000000_);_(* \(#,##0.000000000\);_(* &quot;-&quot;?????????_);_(@_)"/>
    <numFmt numFmtId="171" formatCode="_(* #,##0.0000000_);_(* \(#,##0.0000000\);_(* &quot;-&quot;???????_);_(@_)"/>
    <numFmt numFmtId="172" formatCode="#,##0.000000_);\(#,##0.000000\)"/>
    <numFmt numFmtId="173" formatCode="_(* #,##0.00000_);_(* \(#,##0.00000\);_(* &quot;-&quot;?????_);_(@_)"/>
    <numFmt numFmtId="174" formatCode="#,##0.000000"/>
    <numFmt numFmtId="175" formatCode="&quot;$&quot;#,##0"/>
    <numFmt numFmtId="176" formatCode="0.0%"/>
    <numFmt numFmtId="177" formatCode="_-* #,##0.00\ _D_M_-;\-* #,##0.00\ _D_M_-;_-* &quot;-&quot;??\ _D_M_-;_-@_-"/>
    <numFmt numFmtId="178" formatCode="0.000000%"/>
  </numFmts>
  <fonts count="65">
    <font>
      <sz val="10"/>
      <name val="Arial"/>
    </font>
    <font>
      <sz val="10"/>
      <color theme="1"/>
      <name val="Arial"/>
      <family val="2"/>
    </font>
    <font>
      <sz val="10"/>
      <name val="Arial"/>
      <family val="2"/>
    </font>
    <font>
      <b/>
      <u/>
      <sz val="10"/>
      <name val="Arial"/>
      <family val="2"/>
    </font>
    <font>
      <sz val="10"/>
      <name val="Arial"/>
      <family val="2"/>
    </font>
    <font>
      <b/>
      <sz val="10"/>
      <name val="Arial"/>
      <family val="2"/>
    </font>
    <font>
      <sz val="9"/>
      <name val="Arial"/>
      <family val="2"/>
    </font>
    <font>
      <u/>
      <sz val="9"/>
      <name val="Arial"/>
      <family val="2"/>
    </font>
    <font>
      <b/>
      <sz val="9"/>
      <name val="Arial"/>
      <family val="2"/>
    </font>
    <font>
      <sz val="8"/>
      <name val="Arial"/>
      <family val="2"/>
    </font>
    <font>
      <b/>
      <sz val="8"/>
      <color rgb="FFFF0000"/>
      <name val="Arial"/>
      <family val="2"/>
    </font>
    <font>
      <b/>
      <sz val="8"/>
      <name val="Arial"/>
      <family val="2"/>
    </font>
    <font>
      <i/>
      <sz val="8"/>
      <name val="Arial"/>
      <family val="2"/>
    </font>
    <font>
      <i/>
      <sz val="10"/>
      <name val="Arial"/>
      <family val="2"/>
    </font>
    <font>
      <b/>
      <sz val="9"/>
      <color rgb="FFFF0000"/>
      <name val="Arial"/>
      <family val="2"/>
    </font>
    <font>
      <b/>
      <i/>
      <sz val="10"/>
      <name val="Arial"/>
      <family val="2"/>
    </font>
    <font>
      <b/>
      <u val="singleAccounting"/>
      <sz val="10"/>
      <name val="Arial"/>
      <family val="2"/>
    </font>
    <font>
      <sz val="10"/>
      <color rgb="FFFF0000"/>
      <name val="Arial"/>
      <family val="2"/>
    </font>
    <font>
      <u/>
      <sz val="10"/>
      <name val="Arial"/>
      <family val="2"/>
    </font>
    <font>
      <u/>
      <sz val="10"/>
      <color theme="1"/>
      <name val="Arial"/>
      <family val="2"/>
    </font>
    <font>
      <sz val="11"/>
      <color indexed="8"/>
      <name val="Calibri"/>
      <family val="2"/>
    </font>
    <font>
      <sz val="11"/>
      <color indexed="9"/>
      <name val="Calibri"/>
      <family val="2"/>
    </font>
    <font>
      <b/>
      <sz val="11"/>
      <color indexed="8"/>
      <name val="Calibri"/>
      <family val="2"/>
    </font>
    <font>
      <sz val="10"/>
      <name val="MS Sans Serif"/>
      <family val="2"/>
    </font>
    <font>
      <sz val="11"/>
      <color theme="1"/>
      <name val="Calibri"/>
      <family val="2"/>
      <scheme val="minor"/>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0"/>
      <name val="Arial MT"/>
    </font>
    <font>
      <b/>
      <sz val="11"/>
      <name val="Arial MT"/>
      <family val="2"/>
    </font>
    <font>
      <b/>
      <sz val="8"/>
      <name val="Arial MT"/>
    </font>
    <font>
      <b/>
      <sz val="10"/>
      <name val="Arial MT"/>
      <family val="2"/>
    </font>
    <font>
      <b/>
      <sz val="11"/>
      <name val="Arial MT"/>
    </font>
    <font>
      <b/>
      <sz val="10"/>
      <color rgb="FFFF0000"/>
      <name val="Arial MT"/>
    </font>
    <font>
      <sz val="10"/>
      <color rgb="FFFF0000"/>
      <name val="Arial MT"/>
    </font>
    <font>
      <b/>
      <sz val="10"/>
      <name val="Arial MT"/>
    </font>
    <font>
      <u/>
      <sz val="11"/>
      <name val="Arial MT"/>
      <family val="2"/>
    </font>
    <font>
      <sz val="6"/>
      <color indexed="8"/>
      <name val="Arial MT"/>
    </font>
    <font>
      <b/>
      <sz val="8"/>
      <color rgb="FFFF0000"/>
      <name val="Arial MT"/>
    </font>
    <font>
      <u/>
      <sz val="10"/>
      <name val="Arial MT"/>
    </font>
    <font>
      <sz val="10"/>
      <color rgb="FF0000FF"/>
      <name val="Arial MT"/>
    </font>
    <font>
      <sz val="10"/>
      <color rgb="FF0070C0"/>
      <name val="Arial MT"/>
    </font>
    <font>
      <b/>
      <sz val="8"/>
      <color rgb="FF0070C0"/>
      <name val="Arial MT"/>
    </font>
    <font>
      <sz val="9"/>
      <name val="Arial MT"/>
      <family val="2"/>
    </font>
    <font>
      <sz val="9"/>
      <name val="Arial MT"/>
    </font>
    <font>
      <sz val="10"/>
      <color theme="1"/>
      <name val="Arial MT"/>
    </font>
    <font>
      <sz val="12"/>
      <name val="Arial MT"/>
    </font>
    <font>
      <b/>
      <sz val="10"/>
      <color rgb="FFFF0000"/>
      <name val="Arial MT"/>
      <family val="2"/>
    </font>
    <font>
      <b/>
      <sz val="11"/>
      <color rgb="FF0000FF"/>
      <name val="Arial MT"/>
      <family val="2"/>
    </font>
    <font>
      <b/>
      <sz val="10"/>
      <color rgb="FF0070C0"/>
      <name val="Arial MT"/>
      <family val="2"/>
    </font>
    <font>
      <b/>
      <sz val="10"/>
      <color indexed="10"/>
      <name val="Arial MT"/>
    </font>
    <font>
      <b/>
      <sz val="10"/>
      <color rgb="FF0070C0"/>
      <name val="Arial MT"/>
    </font>
    <font>
      <sz val="10"/>
      <color rgb="FFFF00FF"/>
      <name val="Arial MT"/>
    </font>
    <font>
      <b/>
      <sz val="12"/>
      <name val="Arial MT"/>
    </font>
    <font>
      <b/>
      <i/>
      <sz val="10"/>
      <color rgb="FFFF0000"/>
      <name val="Arial"/>
      <family val="2"/>
    </font>
    <font>
      <sz val="10"/>
      <name val="Arial"/>
      <family val="2"/>
    </font>
    <font>
      <b/>
      <u/>
      <sz val="10"/>
      <name val="Arial MT"/>
    </font>
    <font>
      <sz val="11"/>
      <name val="Arial MT"/>
    </font>
    <font>
      <sz val="10"/>
      <color indexed="8"/>
      <name val="Arial MT"/>
    </font>
    <font>
      <sz val="9"/>
      <color rgb="FFFF0000"/>
      <name val="Arial"/>
      <family val="2"/>
    </font>
  </fonts>
  <fills count="4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theme="9" tint="0.39997558519241921"/>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indexed="8"/>
      </bottom>
      <diagonal/>
    </border>
    <border>
      <left/>
      <right/>
      <top/>
      <bottom style="thin">
        <color theme="1"/>
      </bottom>
      <diagonal/>
    </border>
    <border>
      <left/>
      <right/>
      <top style="thin">
        <color theme="1"/>
      </top>
      <bottom style="double">
        <color theme="1"/>
      </bottom>
      <diagonal/>
    </border>
    <border>
      <left/>
      <right/>
      <top/>
      <bottom style="medium">
        <color theme="1"/>
      </bottom>
      <diagonal/>
    </border>
    <border>
      <left/>
      <right/>
      <top style="thin">
        <color indexed="8"/>
      </top>
      <bottom/>
      <diagonal/>
    </border>
    <border>
      <left/>
      <right/>
      <top style="thin">
        <color indexed="8"/>
      </top>
      <bottom style="double">
        <color indexed="8"/>
      </bottom>
      <diagonal/>
    </border>
    <border>
      <left style="medium">
        <color indexed="64"/>
      </left>
      <right/>
      <top/>
      <bottom/>
      <diagonal/>
    </border>
    <border>
      <left/>
      <right/>
      <top/>
      <bottom style="double">
        <color theme="1"/>
      </bottom>
      <diagonal/>
    </border>
    <border>
      <left/>
      <right/>
      <top style="thin">
        <color theme="1"/>
      </top>
      <bottom style="thin">
        <color theme="1"/>
      </bottom>
      <diagonal/>
    </border>
    <border>
      <left/>
      <right/>
      <top style="thin">
        <color indexed="64"/>
      </top>
      <bottom/>
      <diagonal/>
    </border>
  </borders>
  <cellStyleXfs count="165">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0" fillId="6" borderId="0" applyNumberFormat="0" applyBorder="0" applyAlignment="0" applyProtection="0"/>
    <xf numFmtId="0" fontId="20" fillId="7" borderId="0" applyNumberFormat="0" applyBorder="0" applyAlignment="0" applyProtection="0"/>
    <xf numFmtId="0" fontId="21"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1" fillId="14"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1" fillId="14"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15" borderId="0" applyNumberFormat="0" applyBorder="0" applyAlignment="0" applyProtection="0"/>
    <xf numFmtId="0" fontId="20" fillId="10" borderId="0" applyNumberFormat="0" applyBorder="0" applyAlignment="0" applyProtection="0"/>
    <xf numFmtId="0" fontId="21" fillId="16"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 fillId="0" borderId="0"/>
    <xf numFmtId="0" fontId="2" fillId="0" borderId="0"/>
    <xf numFmtId="0" fontId="23" fillId="0" borderId="0"/>
    <xf numFmtId="0" fontId="23"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4" fillId="0" borderId="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 fontId="25" fillId="20" borderId="7" applyNumberFormat="0" applyProtection="0">
      <alignment vertical="center"/>
    </xf>
    <xf numFmtId="4" fontId="26" fillId="20" borderId="7" applyNumberFormat="0" applyProtection="0">
      <alignment vertical="center"/>
    </xf>
    <xf numFmtId="4" fontId="25" fillId="20" borderId="7" applyNumberFormat="0" applyProtection="0">
      <alignment horizontal="left" vertical="center" indent="1"/>
    </xf>
    <xf numFmtId="0" fontId="25" fillId="20" borderId="7" applyNumberFormat="0" applyProtection="0">
      <alignment horizontal="left" vertical="top" indent="1"/>
    </xf>
    <xf numFmtId="4" fontId="25" fillId="21" borderId="0" applyNumberFormat="0" applyProtection="0">
      <alignment horizontal="left" vertical="center" indent="1"/>
    </xf>
    <xf numFmtId="4" fontId="27" fillId="22" borderId="7" applyNumberFormat="0" applyProtection="0">
      <alignment horizontal="right" vertical="center"/>
    </xf>
    <xf numFmtId="4" fontId="27" fillId="23" borderId="7" applyNumberFormat="0" applyProtection="0">
      <alignment horizontal="right" vertical="center"/>
    </xf>
    <xf numFmtId="4" fontId="27" fillId="24" borderId="7" applyNumberFormat="0" applyProtection="0">
      <alignment horizontal="right" vertical="center"/>
    </xf>
    <xf numFmtId="4" fontId="27" fillId="25" borderId="7" applyNumberFormat="0" applyProtection="0">
      <alignment horizontal="right" vertical="center"/>
    </xf>
    <xf numFmtId="4" fontId="27" fillId="26" borderId="7" applyNumberFormat="0" applyProtection="0">
      <alignment horizontal="right" vertical="center"/>
    </xf>
    <xf numFmtId="4" fontId="27" fillId="27" borderId="7" applyNumberFormat="0" applyProtection="0">
      <alignment horizontal="right" vertical="center"/>
    </xf>
    <xf numFmtId="4" fontId="27" fillId="28" borderId="7" applyNumberFormat="0" applyProtection="0">
      <alignment horizontal="right" vertical="center"/>
    </xf>
    <xf numFmtId="4" fontId="27" fillId="29" borderId="7" applyNumberFormat="0" applyProtection="0">
      <alignment horizontal="right" vertical="center"/>
    </xf>
    <xf numFmtId="4" fontId="27" fillId="30" borderId="7" applyNumberFormat="0" applyProtection="0">
      <alignment horizontal="right" vertical="center"/>
    </xf>
    <xf numFmtId="4" fontId="25" fillId="31" borderId="8" applyNumberFormat="0" applyProtection="0">
      <alignment horizontal="left" vertical="center" indent="1"/>
    </xf>
    <xf numFmtId="4" fontId="27" fillId="32" borderId="0" applyNumberFormat="0" applyProtection="0">
      <alignment horizontal="left" vertical="center" indent="1"/>
    </xf>
    <xf numFmtId="4" fontId="28" fillId="33" borderId="0" applyNumberFormat="0" applyProtection="0">
      <alignment horizontal="left" vertical="center" indent="1"/>
    </xf>
    <xf numFmtId="4" fontId="27" fillId="21" borderId="7" applyNumberFormat="0" applyProtection="0">
      <alignment horizontal="right" vertical="center"/>
    </xf>
    <xf numFmtId="4" fontId="27" fillId="32" borderId="0" applyNumberFormat="0" applyProtection="0">
      <alignment horizontal="left" vertical="center" indent="1"/>
    </xf>
    <xf numFmtId="4" fontId="27" fillId="21" borderId="0"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top" indent="1"/>
    </xf>
    <xf numFmtId="0" fontId="2" fillId="33" borderId="7" applyNumberFormat="0" applyProtection="0">
      <alignment horizontal="left" vertical="top" indent="1"/>
    </xf>
    <xf numFmtId="0" fontId="2" fillId="21" borderId="7" applyNumberFormat="0" applyProtection="0">
      <alignment horizontal="left" vertical="center" indent="1"/>
    </xf>
    <xf numFmtId="0" fontId="2" fillId="21" borderId="7" applyNumberFormat="0" applyProtection="0">
      <alignment horizontal="left" vertical="center" indent="1"/>
    </xf>
    <xf numFmtId="0" fontId="2" fillId="21" borderId="7" applyNumberFormat="0" applyProtection="0">
      <alignment horizontal="left" vertical="top" indent="1"/>
    </xf>
    <xf numFmtId="0" fontId="2" fillId="21" borderId="7" applyNumberFormat="0" applyProtection="0">
      <alignment horizontal="left" vertical="top" indent="1"/>
    </xf>
    <xf numFmtId="0" fontId="2" fillId="34" borderId="7" applyNumberFormat="0" applyProtection="0">
      <alignment horizontal="left" vertical="center" indent="1"/>
    </xf>
    <xf numFmtId="0" fontId="2" fillId="34" borderId="7" applyNumberFormat="0" applyProtection="0">
      <alignment horizontal="left" vertical="center" indent="1"/>
    </xf>
    <xf numFmtId="0" fontId="2" fillId="34" borderId="7" applyNumberFormat="0" applyProtection="0">
      <alignment horizontal="left" vertical="top" indent="1"/>
    </xf>
    <xf numFmtId="0" fontId="2" fillId="34" borderId="7" applyNumberFormat="0" applyProtection="0">
      <alignment horizontal="left" vertical="top" indent="1"/>
    </xf>
    <xf numFmtId="0" fontId="2" fillId="32" borderId="7" applyNumberFormat="0" applyProtection="0">
      <alignment horizontal="left" vertical="center" indent="1"/>
    </xf>
    <xf numFmtId="0" fontId="2" fillId="32" borderId="7" applyNumberFormat="0" applyProtection="0">
      <alignment horizontal="left" vertical="center" indent="1"/>
    </xf>
    <xf numFmtId="0" fontId="2" fillId="32" borderId="7" applyNumberFormat="0" applyProtection="0">
      <alignment horizontal="left" vertical="top" indent="1"/>
    </xf>
    <xf numFmtId="0" fontId="2" fillId="32" borderId="7" applyNumberFormat="0" applyProtection="0">
      <alignment horizontal="left" vertical="top" indent="1"/>
    </xf>
    <xf numFmtId="0" fontId="2" fillId="35" borderId="4" applyNumberFormat="0">
      <protection locked="0"/>
    </xf>
    <xf numFmtId="0" fontId="2" fillId="35" borderId="4" applyNumberFormat="0">
      <protection locked="0"/>
    </xf>
    <xf numFmtId="4" fontId="27" fillId="36" borderId="7" applyNumberFormat="0" applyProtection="0">
      <alignment vertical="center"/>
    </xf>
    <xf numFmtId="4" fontId="29" fillId="36" borderId="7" applyNumberFormat="0" applyProtection="0">
      <alignment vertical="center"/>
    </xf>
    <xf numFmtId="4" fontId="27" fillId="36" borderId="7" applyNumberFormat="0" applyProtection="0">
      <alignment horizontal="left" vertical="center" indent="1"/>
    </xf>
    <xf numFmtId="0" fontId="27" fillId="36" borderId="7" applyNumberFormat="0" applyProtection="0">
      <alignment horizontal="left" vertical="top" indent="1"/>
    </xf>
    <xf numFmtId="4" fontId="27" fillId="32" borderId="7" applyNumberFormat="0" applyProtection="0">
      <alignment horizontal="right" vertical="center"/>
    </xf>
    <xf numFmtId="4" fontId="29" fillId="32" borderId="7" applyNumberFormat="0" applyProtection="0">
      <alignment horizontal="right" vertical="center"/>
    </xf>
    <xf numFmtId="4" fontId="27" fillId="21" borderId="7" applyNumberFormat="0" applyProtection="0">
      <alignment horizontal="left" vertical="center" indent="1"/>
    </xf>
    <xf numFmtId="0" fontId="27" fillId="21" borderId="7" applyNumberFormat="0" applyProtection="0">
      <alignment horizontal="left" vertical="top" indent="1"/>
    </xf>
    <xf numFmtId="4" fontId="30" fillId="37" borderId="0" applyNumberFormat="0" applyProtection="0">
      <alignment horizontal="left" vertical="center" indent="1"/>
    </xf>
    <xf numFmtId="4" fontId="31" fillId="32" borderId="7" applyNumberFormat="0" applyProtection="0">
      <alignment horizontal="right" vertical="center"/>
    </xf>
    <xf numFmtId="0" fontId="32" fillId="0" borderId="0" applyNumberFormat="0" applyFill="0" applyBorder="0" applyAlignment="0" applyProtection="0"/>
    <xf numFmtId="37" fontId="33" fillId="0" borderId="0"/>
    <xf numFmtId="0" fontId="42" fillId="0" borderId="0"/>
    <xf numFmtId="44" fontId="42" fillId="0" borderId="0" applyFont="0" applyFill="0" applyBorder="0" applyAlignment="0" applyProtection="0"/>
    <xf numFmtId="43" fontId="42" fillId="0" borderId="0" applyFont="0" applyFill="0" applyBorder="0" applyAlignment="0" applyProtection="0"/>
    <xf numFmtId="43" fontId="60" fillId="0" borderId="0" applyFont="0" applyFill="0" applyBorder="0" applyAlignment="0" applyProtection="0"/>
    <xf numFmtId="9" fontId="60" fillId="0" borderId="0" applyFont="0" applyFill="0" applyBorder="0" applyAlignment="0" applyProtection="0"/>
    <xf numFmtId="0" fontId="42" fillId="0" borderId="0"/>
    <xf numFmtId="41" fontId="24" fillId="0" borderId="0" applyFont="0" applyFill="0" applyBorder="0" applyAlignment="0" applyProtection="0"/>
  </cellStyleXfs>
  <cellXfs count="319">
    <xf numFmtId="0" fontId="0" fillId="0" borderId="0" xfId="0"/>
    <xf numFmtId="41" fontId="4" fillId="0" borderId="0" xfId="0" applyNumberFormat="1" applyFont="1"/>
    <xf numFmtId="0" fontId="4" fillId="0" borderId="0" xfId="0" applyFont="1"/>
    <xf numFmtId="41" fontId="4" fillId="0" borderId="0" xfId="0" applyNumberFormat="1" applyFont="1" applyAlignment="1">
      <alignment horizontal="center"/>
    </xf>
    <xf numFmtId="41" fontId="4" fillId="0" borderId="1" xfId="0" applyNumberFormat="1" applyFont="1" applyBorder="1" applyAlignment="1">
      <alignment horizontal="center"/>
    </xf>
    <xf numFmtId="164" fontId="4" fillId="0" borderId="0" xfId="0" applyNumberFormat="1" applyFont="1"/>
    <xf numFmtId="41" fontId="4" fillId="0" borderId="2" xfId="0" applyNumberFormat="1" applyFont="1" applyBorder="1"/>
    <xf numFmtId="164" fontId="4" fillId="0" borderId="2" xfId="0" applyNumberFormat="1" applyFont="1" applyBorder="1"/>
    <xf numFmtId="0" fontId="5" fillId="0" borderId="0" xfId="0" applyFont="1"/>
    <xf numFmtId="0" fontId="6" fillId="0" borderId="0" xfId="0" applyFont="1"/>
    <xf numFmtId="0" fontId="7" fillId="0" borderId="0" xfId="0" applyFont="1"/>
    <xf numFmtId="165" fontId="6" fillId="0" borderId="0" xfId="0" applyNumberFormat="1" applyFont="1" applyAlignment="1">
      <alignment horizontal="center"/>
    </xf>
    <xf numFmtId="0" fontId="6" fillId="0" borderId="0" xfId="0" applyFont="1" applyAlignment="1">
      <alignment horizontal="center"/>
    </xf>
    <xf numFmtId="0" fontId="6" fillId="0" borderId="1" xfId="0" applyFont="1" applyBorder="1" applyAlignment="1">
      <alignment horizontal="center"/>
    </xf>
    <xf numFmtId="0" fontId="6" fillId="0" borderId="0" xfId="0" applyFont="1" applyFill="1"/>
    <xf numFmtId="164" fontId="6" fillId="0" borderId="0" xfId="2" applyNumberFormat="1" applyFont="1" applyFill="1" applyProtection="1">
      <protection locked="0"/>
    </xf>
    <xf numFmtId="166" fontId="6" fillId="0" borderId="0" xfId="1" applyNumberFormat="1" applyFont="1" applyFill="1" applyBorder="1" applyProtection="1">
      <protection locked="0"/>
    </xf>
    <xf numFmtId="164" fontId="6" fillId="0" borderId="0" xfId="0" applyNumberFormat="1" applyFont="1"/>
    <xf numFmtId="164" fontId="6" fillId="0" borderId="0" xfId="2" applyNumberFormat="1" applyFont="1"/>
    <xf numFmtId="166" fontId="6" fillId="0" borderId="1" xfId="1" applyNumberFormat="1" applyFont="1" applyFill="1" applyBorder="1" applyProtection="1">
      <protection locked="0"/>
    </xf>
    <xf numFmtId="164" fontId="6" fillId="0" borderId="1" xfId="0" applyNumberFormat="1" applyFont="1" applyBorder="1"/>
    <xf numFmtId="164" fontId="6" fillId="0" borderId="1" xfId="2" applyNumberFormat="1" applyFont="1" applyBorder="1"/>
    <xf numFmtId="167" fontId="6" fillId="0" borderId="0" xfId="0" applyNumberFormat="1" applyFont="1"/>
    <xf numFmtId="164" fontId="6" fillId="0" borderId="0" xfId="0" applyNumberFormat="1" applyFont="1" applyFill="1"/>
    <xf numFmtId="164" fontId="6" fillId="0" borderId="0" xfId="0" applyNumberFormat="1" applyFont="1" applyBorder="1"/>
    <xf numFmtId="164" fontId="8" fillId="0" borderId="3" xfId="0" applyNumberFormat="1" applyFont="1" applyBorder="1"/>
    <xf numFmtId="169" fontId="6" fillId="0" borderId="0" xfId="1" applyNumberFormat="1" applyFont="1" applyFill="1" applyBorder="1"/>
    <xf numFmtId="169" fontId="6" fillId="0" borderId="0" xfId="1" applyNumberFormat="1" applyFont="1"/>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horizontal="centerContinuous"/>
    </xf>
    <xf numFmtId="0" fontId="4" fillId="0" borderId="1" xfId="0" quotePrefix="1" applyNumberFormat="1" applyFont="1" applyBorder="1" applyAlignment="1">
      <alignment horizontal="center"/>
    </xf>
    <xf numFmtId="10" fontId="6" fillId="0" borderId="0" xfId="0" applyNumberFormat="1" applyFont="1" applyFill="1" applyBorder="1" applyAlignment="1">
      <alignment horizontal="center"/>
    </xf>
    <xf numFmtId="10" fontId="6" fillId="0" borderId="0" xfId="0" applyNumberFormat="1" applyFont="1" applyFill="1" applyBorder="1" applyAlignment="1" applyProtection="1">
      <alignment horizontal="center"/>
      <protection locked="0"/>
    </xf>
    <xf numFmtId="165" fontId="8" fillId="2" borderId="0" xfId="0" applyNumberFormat="1" applyFont="1" applyFill="1" applyAlignment="1">
      <alignment horizontal="center"/>
    </xf>
    <xf numFmtId="0" fontId="5" fillId="0" borderId="0" xfId="0" applyFont="1" applyAlignment="1">
      <alignment horizontal="center"/>
    </xf>
    <xf numFmtId="41" fontId="5" fillId="0" borderId="0" xfId="0" applyNumberFormat="1" applyFont="1" applyAlignment="1">
      <alignment horizontal="center"/>
    </xf>
    <xf numFmtId="41" fontId="5" fillId="0" borderId="0" xfId="0" quotePrefix="1" applyNumberFormat="1" applyFont="1" applyAlignment="1">
      <alignment horizontal="center"/>
    </xf>
    <xf numFmtId="41" fontId="5" fillId="0" borderId="0" xfId="0" applyNumberFormat="1" applyFont="1" applyAlignment="1">
      <alignment horizontal="left"/>
    </xf>
    <xf numFmtId="41" fontId="4" fillId="0" borderId="0" xfId="0" applyNumberFormat="1" applyFont="1" applyAlignment="1">
      <alignment horizontal="left"/>
    </xf>
    <xf numFmtId="0" fontId="3" fillId="0" borderId="0" xfId="0" applyFont="1" applyAlignment="1">
      <alignment horizontal="center"/>
    </xf>
    <xf numFmtId="0" fontId="5" fillId="0" borderId="1" xfId="0" applyFont="1" applyBorder="1" applyAlignment="1">
      <alignment horizontal="center"/>
    </xf>
    <xf numFmtId="169" fontId="0" fillId="0" borderId="0" xfId="1" applyNumberFormat="1" applyFont="1"/>
    <xf numFmtId="169" fontId="3" fillId="0" borderId="0" xfId="1" applyNumberFormat="1" applyFont="1" applyAlignment="1">
      <alignment horizontal="center"/>
    </xf>
    <xf numFmtId="169" fontId="5" fillId="0" borderId="0" xfId="1" applyNumberFormat="1" applyFont="1" applyAlignment="1">
      <alignment horizontal="center"/>
    </xf>
    <xf numFmtId="169" fontId="5" fillId="0" borderId="1" xfId="1" applyNumberFormat="1" applyFont="1" applyBorder="1" applyAlignment="1">
      <alignment horizontal="center"/>
    </xf>
    <xf numFmtId="169" fontId="0" fillId="0" borderId="1" xfId="1" applyNumberFormat="1" applyFont="1" applyBorder="1"/>
    <xf numFmtId="0" fontId="0" fillId="3" borderId="0" xfId="0" applyFill="1"/>
    <xf numFmtId="0" fontId="0" fillId="3" borderId="0" xfId="0" applyFill="1" applyBorder="1"/>
    <xf numFmtId="0" fontId="0" fillId="3" borderId="1" xfId="0" applyFill="1" applyBorder="1"/>
    <xf numFmtId="41" fontId="5" fillId="0" borderId="0" xfId="0" quotePrefix="1" applyNumberFormat="1" applyFont="1" applyAlignment="1">
      <alignment horizontal="left"/>
    </xf>
    <xf numFmtId="169" fontId="5" fillId="0" borderId="0" xfId="1" applyNumberFormat="1" applyFont="1"/>
    <xf numFmtId="169" fontId="0" fillId="3" borderId="0" xfId="1" applyNumberFormat="1" applyFont="1" applyFill="1"/>
    <xf numFmtId="169" fontId="4" fillId="0" borderId="0" xfId="1" applyNumberFormat="1" applyFont="1"/>
    <xf numFmtId="169" fontId="4" fillId="0" borderId="0" xfId="1" applyNumberFormat="1" applyFont="1" applyAlignment="1">
      <alignment horizontal="center"/>
    </xf>
    <xf numFmtId="169" fontId="0" fillId="3" borderId="1" xfId="1" applyNumberFormat="1" applyFont="1" applyFill="1" applyBorder="1"/>
    <xf numFmtId="169" fontId="0" fillId="0" borderId="0" xfId="1" applyNumberFormat="1" applyFont="1" applyBorder="1"/>
    <xf numFmtId="0" fontId="0" fillId="0" borderId="0" xfId="0" applyFill="1"/>
    <xf numFmtId="166" fontId="5" fillId="0" borderId="0" xfId="0" applyNumberFormat="1" applyFont="1" applyBorder="1"/>
    <xf numFmtId="0" fontId="10" fillId="0" borderId="0" xfId="0" applyFont="1" applyAlignment="1">
      <alignment horizontal="center"/>
    </xf>
    <xf numFmtId="41" fontId="5" fillId="0" borderId="0" xfId="0" applyNumberFormat="1" applyFont="1" applyAlignment="1">
      <alignment horizontal="center"/>
    </xf>
    <xf numFmtId="169" fontId="6" fillId="0" borderId="5" xfId="1" applyNumberFormat="1" applyFont="1" applyFill="1" applyBorder="1"/>
    <xf numFmtId="0" fontId="5" fillId="0" borderId="0" xfId="0" applyFont="1" applyAlignment="1"/>
    <xf numFmtId="41" fontId="5" fillId="0" borderId="0" xfId="0" applyNumberFormat="1" applyFont="1" applyAlignment="1">
      <alignment horizontal="center"/>
    </xf>
    <xf numFmtId="0" fontId="9" fillId="0" borderId="0" xfId="0" applyFont="1"/>
    <xf numFmtId="0" fontId="11" fillId="0" borderId="0" xfId="0" applyFont="1"/>
    <xf numFmtId="0" fontId="8" fillId="0" borderId="0" xfId="0" applyFont="1"/>
    <xf numFmtId="0" fontId="2" fillId="0" borderId="0" xfId="0" applyFont="1"/>
    <xf numFmtId="41" fontId="9" fillId="0" borderId="0" xfId="0" applyNumberFormat="1" applyFont="1" applyAlignment="1">
      <alignment horizontal="left"/>
    </xf>
    <xf numFmtId="170" fontId="5" fillId="0" borderId="0" xfId="0" applyNumberFormat="1" applyFont="1" applyAlignment="1">
      <alignment horizontal="center"/>
    </xf>
    <xf numFmtId="41" fontId="5" fillId="0" borderId="0" xfId="0" applyNumberFormat="1" applyFont="1"/>
    <xf numFmtId="171" fontId="5" fillId="0" borderId="0" xfId="0" applyNumberFormat="1" applyFont="1" applyAlignment="1">
      <alignment horizontal="center"/>
    </xf>
    <xf numFmtId="172" fontId="5" fillId="0" borderId="0" xfId="0" applyNumberFormat="1" applyFont="1"/>
    <xf numFmtId="41" fontId="2" fillId="0" borderId="1" xfId="0" applyNumberFormat="1" applyFont="1" applyBorder="1" applyAlignment="1">
      <alignment horizontal="center"/>
    </xf>
    <xf numFmtId="172" fontId="5" fillId="0" borderId="0" xfId="1" applyNumberFormat="1" applyFont="1"/>
    <xf numFmtId="173" fontId="0" fillId="0" borderId="0" xfId="1" applyNumberFormat="1" applyFont="1"/>
    <xf numFmtId="0" fontId="4" fillId="4" borderId="0" xfId="0" applyFont="1" applyFill="1"/>
    <xf numFmtId="0" fontId="0" fillId="0" borderId="0" xfId="1" applyNumberFormat="1" applyFont="1"/>
    <xf numFmtId="41" fontId="4" fillId="4" borderId="2" xfId="0" applyNumberFormat="1" applyFont="1" applyFill="1" applyBorder="1"/>
    <xf numFmtId="44" fontId="4" fillId="0" borderId="0" xfId="0" applyNumberFormat="1" applyFont="1"/>
    <xf numFmtId="41" fontId="4" fillId="4" borderId="0" xfId="0" applyNumberFormat="1" applyFont="1" applyFill="1"/>
    <xf numFmtId="0" fontId="13" fillId="0" borderId="0" xfId="0" applyFont="1"/>
    <xf numFmtId="41" fontId="13" fillId="0" borderId="0" xfId="0" applyNumberFormat="1" applyFont="1"/>
    <xf numFmtId="169" fontId="6" fillId="4" borderId="5" xfId="1" applyNumberFormat="1" applyFont="1" applyFill="1" applyBorder="1"/>
    <xf numFmtId="0" fontId="15" fillId="0" borderId="0" xfId="0" applyFont="1"/>
    <xf numFmtId="41" fontId="15" fillId="0" borderId="0" xfId="0" applyNumberFormat="1" applyFont="1"/>
    <xf numFmtId="164" fontId="5" fillId="0" borderId="0" xfId="0" applyNumberFormat="1" applyFont="1"/>
    <xf numFmtId="168" fontId="14" fillId="2" borderId="3" xfId="2" applyNumberFormat="1" applyFont="1" applyFill="1" applyBorder="1"/>
    <xf numFmtId="164" fontId="6" fillId="2" borderId="0" xfId="0" applyNumberFormat="1" applyFont="1" applyFill="1"/>
    <xf numFmtId="169" fontId="6" fillId="4" borderId="0" xfId="1" applyNumberFormat="1" applyFont="1" applyFill="1" applyBorder="1"/>
    <xf numFmtId="169" fontId="5" fillId="0" borderId="6" xfId="1" applyNumberFormat="1" applyFont="1" applyBorder="1"/>
    <xf numFmtId="172" fontId="5" fillId="0" borderId="1" xfId="0" applyNumberFormat="1" applyFont="1" applyBorder="1"/>
    <xf numFmtId="174" fontId="5" fillId="0" borderId="0" xfId="1" applyNumberFormat="1" applyFont="1"/>
    <xf numFmtId="174" fontId="0" fillId="0" borderId="0" xfId="0" applyNumberFormat="1"/>
    <xf numFmtId="174" fontId="5" fillId="0" borderId="0" xfId="0" applyNumberFormat="1" applyFont="1" applyBorder="1"/>
    <xf numFmtId="174" fontId="5" fillId="0" borderId="1" xfId="0" applyNumberFormat="1" applyFont="1" applyBorder="1"/>
    <xf numFmtId="174" fontId="5" fillId="0" borderId="0" xfId="0" applyNumberFormat="1" applyFont="1"/>
    <xf numFmtId="174" fontId="5" fillId="2" borderId="4" xfId="0" applyNumberFormat="1" applyFont="1" applyFill="1" applyBorder="1"/>
    <xf numFmtId="172" fontId="0" fillId="0" borderId="0" xfId="0" applyNumberFormat="1"/>
    <xf numFmtId="172" fontId="5" fillId="0" borderId="0" xfId="0" applyNumberFormat="1" applyFont="1" applyBorder="1"/>
    <xf numFmtId="172" fontId="5" fillId="2" borderId="4" xfId="0" applyNumberFormat="1" applyFont="1" applyFill="1" applyBorder="1"/>
    <xf numFmtId="172" fontId="4" fillId="0" borderId="1" xfId="0" applyNumberFormat="1" applyFont="1" applyBorder="1"/>
    <xf numFmtId="172" fontId="0" fillId="3" borderId="0" xfId="0" applyNumberFormat="1" applyFill="1"/>
    <xf numFmtId="172" fontId="0" fillId="3" borderId="1" xfId="0" applyNumberFormat="1" applyFill="1" applyBorder="1"/>
    <xf numFmtId="41" fontId="2" fillId="0" borderId="0" xfId="0" applyNumberFormat="1" applyFont="1"/>
    <xf numFmtId="41" fontId="2" fillId="0" borderId="0" xfId="0" applyNumberFormat="1" applyFont="1" applyAlignment="1">
      <alignment horizontal="center"/>
    </xf>
    <xf numFmtId="0" fontId="2" fillId="0" borderId="0" xfId="0" applyFont="1" applyAlignment="1">
      <alignment horizontal="center"/>
    </xf>
    <xf numFmtId="41" fontId="2" fillId="0" borderId="1" xfId="0" applyNumberFormat="1" applyFont="1" applyFill="1" applyBorder="1" applyAlignment="1">
      <alignment horizontal="center"/>
    </xf>
    <xf numFmtId="41" fontId="2" fillId="0" borderId="0" xfId="0" applyNumberFormat="1" applyFont="1" applyBorder="1" applyAlignment="1">
      <alignment horizontal="center"/>
    </xf>
    <xf numFmtId="41" fontId="4" fillId="0" borderId="0" xfId="0" applyNumberFormat="1" applyFont="1" applyBorder="1" applyAlignment="1">
      <alignment horizontal="center"/>
    </xf>
    <xf numFmtId="164" fontId="4" fillId="0" borderId="0" xfId="0" applyNumberFormat="1" applyFont="1" applyBorder="1"/>
    <xf numFmtId="41" fontId="4" fillId="0" borderId="0" xfId="0" applyNumberFormat="1" applyFont="1" applyBorder="1"/>
    <xf numFmtId="41" fontId="16" fillId="0" borderId="0" xfId="0" applyNumberFormat="1" applyFont="1"/>
    <xf numFmtId="0" fontId="5" fillId="0" borderId="0" xfId="0" applyFont="1" applyAlignment="1">
      <alignment horizontal="center"/>
    </xf>
    <xf numFmtId="0" fontId="0" fillId="2" borderId="0" xfId="0" applyFill="1"/>
    <xf numFmtId="0" fontId="0" fillId="2" borderId="0" xfId="0" quotePrefix="1" applyFill="1" applyAlignment="1">
      <alignment horizontal="center"/>
    </xf>
    <xf numFmtId="10" fontId="0" fillId="0" borderId="0" xfId="0" applyNumberFormat="1" applyFill="1" applyAlignment="1">
      <alignment horizontal="center"/>
    </xf>
    <xf numFmtId="0" fontId="2" fillId="0" borderId="0" xfId="3" applyFont="1" applyFill="1" applyAlignment="1">
      <alignment horizontal="left" indent="1"/>
    </xf>
    <xf numFmtId="0" fontId="2" fillId="0" borderId="0" xfId="0" applyFont="1" applyFill="1" applyAlignment="1">
      <alignment horizontal="left" indent="1"/>
    </xf>
    <xf numFmtId="164" fontId="0" fillId="0" borderId="0" xfId="0" applyNumberFormat="1" applyFill="1"/>
    <xf numFmtId="0" fontId="2" fillId="0" borderId="0" xfId="0" applyFont="1" applyAlignment="1">
      <alignment horizontal="left" indent="1"/>
    </xf>
    <xf numFmtId="0" fontId="0" fillId="0" borderId="0" xfId="0" quotePrefix="1" applyAlignment="1">
      <alignment horizontal="center"/>
    </xf>
    <xf numFmtId="0" fontId="0" fillId="0" borderId="0" xfId="0" applyAlignment="1">
      <alignment horizontal="left" indent="1"/>
    </xf>
    <xf numFmtId="0" fontId="0" fillId="0" borderId="0" xfId="0" applyAlignment="1">
      <alignment horizontal="center"/>
    </xf>
    <xf numFmtId="164" fontId="0" fillId="5" borderId="0" xfId="0" applyNumberFormat="1" applyFill="1"/>
    <xf numFmtId="168" fontId="0" fillId="0" borderId="0" xfId="0" applyNumberFormat="1" applyAlignment="1">
      <alignment horizontal="left" indent="1"/>
    </xf>
    <xf numFmtId="168" fontId="2" fillId="0" borderId="0" xfId="0" applyNumberFormat="1" applyFont="1" applyAlignment="1">
      <alignment horizontal="left" indent="1"/>
    </xf>
    <xf numFmtId="168" fontId="0" fillId="0" borderId="0" xfId="0" applyNumberFormat="1"/>
    <xf numFmtId="168" fontId="18" fillId="0" borderId="0" xfId="0" applyNumberFormat="1" applyFont="1"/>
    <xf numFmtId="168" fontId="2" fillId="0" borderId="0" xfId="0" applyNumberFormat="1" applyFont="1" applyFill="1" applyAlignment="1">
      <alignment horizontal="left" indent="1"/>
    </xf>
    <xf numFmtId="164" fontId="2" fillId="5" borderId="0" xfId="0" applyNumberFormat="1" applyFont="1" applyFill="1"/>
    <xf numFmtId="168" fontId="5" fillId="0" borderId="0" xfId="0" applyNumberFormat="1" applyFont="1" applyFill="1" applyAlignment="1">
      <alignment horizontal="center"/>
    </xf>
    <xf numFmtId="164" fontId="2" fillId="0" borderId="0" xfId="0" applyNumberFormat="1" applyFont="1" applyFill="1"/>
    <xf numFmtId="0" fontId="5" fillId="0" borderId="0" xfId="0" applyFont="1" applyAlignment="1">
      <alignment horizontal="right"/>
    </xf>
    <xf numFmtId="0" fontId="2" fillId="0" borderId="0" xfId="0" quotePrefix="1" applyFont="1" applyAlignment="1">
      <alignment horizontal="left" indent="1"/>
    </xf>
    <xf numFmtId="0" fontId="5" fillId="0" borderId="0" xfId="0" applyFont="1" applyFill="1" applyAlignment="1">
      <alignment horizontal="center"/>
    </xf>
    <xf numFmtId="175" fontId="0" fillId="0" borderId="0" xfId="0" applyNumberFormat="1"/>
    <xf numFmtId="0" fontId="2" fillId="0" borderId="0" xfId="0" applyFont="1" applyFill="1"/>
    <xf numFmtId="176" fontId="0" fillId="2" borderId="0" xfId="0" applyNumberFormat="1" applyFill="1"/>
    <xf numFmtId="175" fontId="19" fillId="0" borderId="0" xfId="0" applyNumberFormat="1" applyFont="1" applyFill="1"/>
    <xf numFmtId="0" fontId="3" fillId="0" borderId="0" xfId="0" applyFont="1"/>
    <xf numFmtId="0" fontId="2" fillId="0" borderId="0" xfId="0" applyNumberFormat="1" applyFont="1" applyFill="1"/>
    <xf numFmtId="0" fontId="2" fillId="0" borderId="0" xfId="0" applyNumberFormat="1" applyFont="1" applyFill="1" applyAlignment="1">
      <alignment horizontal="left"/>
    </xf>
    <xf numFmtId="0" fontId="5" fillId="0" borderId="0" xfId="0" quotePrefix="1" applyFont="1" applyFill="1" applyAlignment="1">
      <alignment horizontal="center"/>
    </xf>
    <xf numFmtId="0" fontId="3" fillId="0" borderId="0" xfId="0" applyFont="1" applyFill="1" applyAlignment="1">
      <alignment horizontal="center"/>
    </xf>
    <xf numFmtId="0" fontId="18" fillId="0" borderId="0" xfId="0" applyFont="1" applyFill="1" applyAlignment="1">
      <alignment horizontal="center"/>
    </xf>
    <xf numFmtId="0" fontId="18" fillId="0" borderId="0" xfId="0" applyFont="1" applyFill="1"/>
    <xf numFmtId="0" fontId="5" fillId="0" borderId="0" xfId="0" applyNumberFormat="1" applyFont="1" applyFill="1" applyAlignment="1">
      <alignment horizontal="center"/>
    </xf>
    <xf numFmtId="10" fontId="2" fillId="2" borderId="0" xfId="0" applyNumberFormat="1" applyFont="1" applyFill="1"/>
    <xf numFmtId="0" fontId="2" fillId="2" borderId="0" xfId="0" applyFont="1" applyFill="1"/>
    <xf numFmtId="0" fontId="2" fillId="0" borderId="0" xfId="0" applyFont="1" applyFill="1" applyAlignment="1">
      <alignment horizontal="right"/>
    </xf>
    <xf numFmtId="10" fontId="0" fillId="0" borderId="0" xfId="0" applyNumberFormat="1" applyFill="1"/>
    <xf numFmtId="0" fontId="2" fillId="0" borderId="0" xfId="0" quotePrefix="1" applyFont="1" applyFill="1"/>
    <xf numFmtId="0" fontId="2" fillId="0" borderId="0" xfId="0" applyNumberFormat="1" applyFont="1" applyFill="1" applyAlignment="1">
      <alignment horizontal="left" indent="1"/>
    </xf>
    <xf numFmtId="0" fontId="2" fillId="2" borderId="0" xfId="0" quotePrefix="1" applyFont="1" applyFill="1"/>
    <xf numFmtId="37" fontId="34" fillId="0" borderId="0" xfId="157" applyFont="1" applyProtection="1"/>
    <xf numFmtId="37" fontId="33" fillId="0" borderId="0" xfId="157" applyProtection="1"/>
    <xf numFmtId="37" fontId="33" fillId="0" borderId="0" xfId="157" applyFill="1" applyProtection="1"/>
    <xf numFmtId="37" fontId="35" fillId="0" borderId="0" xfId="157" applyFont="1" applyFill="1" applyProtection="1"/>
    <xf numFmtId="37" fontId="35" fillId="0" borderId="0" xfId="157" applyFont="1" applyProtection="1"/>
    <xf numFmtId="37" fontId="33" fillId="0" borderId="0" xfId="157"/>
    <xf numFmtId="37" fontId="34" fillId="0" borderId="0" xfId="157" applyFont="1" applyAlignment="1" applyProtection="1">
      <alignment horizontal="right"/>
    </xf>
    <xf numFmtId="37" fontId="36" fillId="0" borderId="0" xfId="157" applyFont="1" applyProtection="1"/>
    <xf numFmtId="37" fontId="37" fillId="0" borderId="0" xfId="157" applyFont="1" applyProtection="1"/>
    <xf numFmtId="37" fontId="35" fillId="0" borderId="0" xfId="157" applyFont="1"/>
    <xf numFmtId="37" fontId="39" fillId="0" borderId="0" xfId="157" applyFont="1" applyAlignment="1"/>
    <xf numFmtId="37" fontId="41" fillId="0" borderId="0" xfId="157" applyFont="1" applyProtection="1"/>
    <xf numFmtId="37" fontId="44" fillId="0" borderId="0" xfId="157" applyFont="1" applyAlignment="1" applyProtection="1">
      <alignment horizontal="center"/>
    </xf>
    <xf numFmtId="37" fontId="33" fillId="0" borderId="9" xfId="157" applyBorder="1" applyProtection="1"/>
    <xf numFmtId="49" fontId="33" fillId="0" borderId="9" xfId="157" applyNumberFormat="1" applyBorder="1" applyAlignment="1" applyProtection="1">
      <alignment horizontal="center"/>
    </xf>
    <xf numFmtId="37" fontId="33" fillId="0" borderId="9" xfId="157" quotePrefix="1" applyBorder="1" applyAlignment="1" applyProtection="1">
      <alignment horizontal="center"/>
    </xf>
    <xf numFmtId="37" fontId="44" fillId="0" borderId="0" xfId="157" applyFont="1" applyProtection="1"/>
    <xf numFmtId="37" fontId="45" fillId="0" borderId="0" xfId="157" applyFont="1"/>
    <xf numFmtId="37" fontId="33" fillId="0" borderId="0" xfId="157" applyAlignment="1">
      <alignment horizontal="center"/>
    </xf>
    <xf numFmtId="37" fontId="33" fillId="0" borderId="0" xfId="157" applyFill="1"/>
    <xf numFmtId="37" fontId="35" fillId="0" borderId="0" xfId="157" applyFont="1" applyFill="1"/>
    <xf numFmtId="37" fontId="45" fillId="0" borderId="0" xfId="157" applyFont="1" applyFill="1"/>
    <xf numFmtId="37" fontId="33" fillId="0" borderId="0" xfId="157" applyFont="1" applyFill="1"/>
    <xf numFmtId="49" fontId="33" fillId="0" borderId="0" xfId="157" applyNumberFormat="1" applyAlignment="1">
      <alignment horizontal="center"/>
    </xf>
    <xf numFmtId="37" fontId="46" fillId="0" borderId="0" xfId="157" applyFont="1" applyFill="1"/>
    <xf numFmtId="37" fontId="33" fillId="0" borderId="0" xfId="157" applyBorder="1" applyProtection="1"/>
    <xf numFmtId="37" fontId="38" fillId="0" borderId="0" xfId="157" applyFont="1" applyAlignment="1" applyProtection="1">
      <alignment horizontal="center"/>
    </xf>
    <xf numFmtId="37" fontId="38" fillId="0" borderId="0" xfId="157" applyFont="1"/>
    <xf numFmtId="37" fontId="33" fillId="0" borderId="2" xfId="157" applyBorder="1"/>
    <xf numFmtId="37" fontId="43" fillId="0" borderId="0" xfId="157" applyFont="1"/>
    <xf numFmtId="37" fontId="33" fillId="0" borderId="0" xfId="157" applyFont="1" applyProtection="1"/>
    <xf numFmtId="37" fontId="47" fillId="0" borderId="0" xfId="157" applyFont="1" applyFill="1" applyAlignment="1" applyProtection="1">
      <alignment horizontal="right"/>
    </xf>
    <xf numFmtId="37" fontId="48" fillId="0" borderId="0" xfId="157" applyFont="1" applyFill="1" applyProtection="1"/>
    <xf numFmtId="37" fontId="48" fillId="0" borderId="0" xfId="157" applyFont="1" applyProtection="1"/>
    <xf numFmtId="37" fontId="49" fillId="0" borderId="0" xfId="157" applyFont="1" applyProtection="1"/>
    <xf numFmtId="37" fontId="39" fillId="0" borderId="0" xfId="157" applyFont="1" applyAlignment="1">
      <alignment horizontal="center"/>
    </xf>
    <xf numFmtId="39" fontId="33" fillId="0" borderId="0" xfId="157" applyNumberFormat="1"/>
    <xf numFmtId="37" fontId="33" fillId="0" borderId="0" xfId="157" applyAlignment="1">
      <alignment horizontal="right"/>
    </xf>
    <xf numFmtId="37" fontId="33" fillId="0" borderId="0" xfId="157" applyBorder="1"/>
    <xf numFmtId="37" fontId="33" fillId="0" borderId="0" xfId="157" applyAlignment="1"/>
    <xf numFmtId="37" fontId="50" fillId="0" borderId="2" xfId="157" applyFont="1" applyBorder="1"/>
    <xf numFmtId="37" fontId="51" fillId="0" borderId="0" xfId="157" applyFont="1"/>
    <xf numFmtId="37" fontId="33" fillId="0" borderId="0" xfId="157" applyBorder="1" applyAlignment="1">
      <alignment horizontal="center"/>
    </xf>
    <xf numFmtId="37" fontId="33" fillId="0" borderId="0" xfId="157" applyAlignment="1" applyProtection="1">
      <alignment horizontal="center"/>
    </xf>
    <xf numFmtId="37" fontId="54" fillId="0" borderId="0" xfId="157" quotePrefix="1" applyFont="1" applyAlignment="1" applyProtection="1">
      <alignment horizontal="right"/>
    </xf>
    <xf numFmtId="37" fontId="55" fillId="0" borderId="0" xfId="157" applyFont="1"/>
    <xf numFmtId="37" fontId="38" fillId="0" borderId="0" xfId="157" applyFont="1" applyAlignment="1">
      <alignment horizontal="center"/>
    </xf>
    <xf numFmtId="37" fontId="57" fillId="0" borderId="0" xfId="157" applyFont="1"/>
    <xf numFmtId="37" fontId="45" fillId="0" borderId="0" xfId="157" applyFont="1" applyFill="1" applyBorder="1"/>
    <xf numFmtId="37" fontId="33" fillId="0" borderId="1" xfId="157" applyBorder="1"/>
    <xf numFmtId="37" fontId="45" fillId="0" borderId="1" xfId="157" applyFont="1" applyFill="1" applyBorder="1"/>
    <xf numFmtId="37" fontId="40" fillId="0" borderId="0" xfId="157" applyFont="1"/>
    <xf numFmtId="37" fontId="33" fillId="0" borderId="0" xfId="157" applyFont="1" applyAlignment="1">
      <alignment horizontal="right"/>
    </xf>
    <xf numFmtId="37" fontId="37" fillId="0" borderId="2" xfId="157" applyFont="1" applyBorder="1"/>
    <xf numFmtId="37" fontId="40" fillId="0" borderId="0" xfId="157" applyFont="1" applyProtection="1"/>
    <xf numFmtId="37" fontId="40" fillId="0" borderId="0" xfId="157" applyFont="1" applyBorder="1"/>
    <xf numFmtId="37" fontId="58" fillId="0" borderId="0" xfId="157" applyFont="1" applyBorder="1"/>
    <xf numFmtId="37" fontId="40" fillId="0" borderId="0" xfId="157" quotePrefix="1" applyFont="1" applyBorder="1" applyAlignment="1">
      <alignment horizontal="center"/>
    </xf>
    <xf numFmtId="37" fontId="33" fillId="0" borderId="0" xfId="157" applyAlignment="1" applyProtection="1">
      <alignment horizontal="right"/>
    </xf>
    <xf numFmtId="164" fontId="33" fillId="0" borderId="0" xfId="157" applyNumberFormat="1" applyBorder="1" applyProtection="1"/>
    <xf numFmtId="164" fontId="33" fillId="0" borderId="0" xfId="157" applyNumberFormat="1" applyProtection="1"/>
    <xf numFmtId="164" fontId="33" fillId="0" borderId="0" xfId="157" applyNumberFormat="1" applyBorder="1" applyAlignment="1" applyProtection="1">
      <alignment horizontal="right"/>
    </xf>
    <xf numFmtId="172" fontId="33" fillId="0" borderId="0" xfId="157" applyNumberFormat="1" applyBorder="1"/>
    <xf numFmtId="164" fontId="33" fillId="0" borderId="0" xfId="157" applyNumberFormat="1" applyAlignment="1" applyProtection="1">
      <alignment horizontal="right"/>
    </xf>
    <xf numFmtId="172" fontId="33" fillId="0" borderId="0" xfId="157" applyNumberFormat="1"/>
    <xf numFmtId="37" fontId="39" fillId="0" borderId="0" xfId="157" applyFont="1"/>
    <xf numFmtId="37" fontId="33" fillId="0" borderId="0" xfId="157" applyFill="1" applyBorder="1" applyProtection="1"/>
    <xf numFmtId="37" fontId="33" fillId="0" borderId="0" xfId="157" applyFill="1" applyBorder="1"/>
    <xf numFmtId="37" fontId="35" fillId="0" borderId="0" xfId="157" applyFont="1" applyFill="1" applyBorder="1"/>
    <xf numFmtId="37" fontId="33" fillId="0" borderId="0" xfId="157" applyBorder="1" applyAlignment="1" applyProtection="1">
      <alignment horizontal="right"/>
    </xf>
    <xf numFmtId="37" fontId="33" fillId="0" borderId="0" xfId="157" applyFont="1"/>
    <xf numFmtId="37" fontId="35" fillId="0" borderId="0" xfId="157" applyFont="1" applyBorder="1"/>
    <xf numFmtId="37" fontId="40" fillId="0" borderId="0" xfId="157" quotePrefix="1" applyFont="1" applyFill="1" applyBorder="1" applyAlignment="1">
      <alignment horizontal="center"/>
    </xf>
    <xf numFmtId="37" fontId="33" fillId="0" borderId="0" xfId="157" applyFill="1" applyBorder="1" applyAlignment="1">
      <alignment horizontal="center"/>
    </xf>
    <xf numFmtId="169" fontId="5" fillId="38" borderId="0" xfId="1" applyNumberFormat="1" applyFont="1" applyFill="1"/>
    <xf numFmtId="41" fontId="2" fillId="0" borderId="1" xfId="0" applyNumberFormat="1" applyFont="1" applyBorder="1" applyAlignment="1">
      <alignment horizontal="center"/>
    </xf>
    <xf numFmtId="37" fontId="37" fillId="0" borderId="0" xfId="157" applyFont="1" applyBorder="1"/>
    <xf numFmtId="37" fontId="58" fillId="0" borderId="0" xfId="157" applyFont="1" applyAlignment="1" applyProtection="1">
      <alignment horizontal="left"/>
    </xf>
    <xf numFmtId="37" fontId="56" fillId="0" borderId="10" xfId="157" quotePrefix="1" applyFont="1" applyBorder="1" applyAlignment="1">
      <alignment horizontal="center"/>
    </xf>
    <xf numFmtId="37" fontId="46" fillId="0" borderId="0" xfId="157" applyFont="1"/>
    <xf numFmtId="37" fontId="40" fillId="0" borderId="11" xfId="157" applyFont="1" applyBorder="1"/>
    <xf numFmtId="37" fontId="33" fillId="0" borderId="0" xfId="157" applyFont="1" applyAlignment="1">
      <alignment horizontal="center"/>
    </xf>
    <xf numFmtId="164" fontId="33" fillId="0" borderId="10" xfId="157" applyNumberFormat="1" applyBorder="1" applyProtection="1"/>
    <xf numFmtId="169" fontId="5" fillId="0" borderId="0" xfId="1" applyNumberFormat="1" applyFont="1" applyBorder="1"/>
    <xf numFmtId="41" fontId="17" fillId="0" borderId="0" xfId="0" applyNumberFormat="1" applyFont="1" applyAlignment="1">
      <alignment horizontal="center"/>
    </xf>
    <xf numFmtId="37" fontId="33" fillId="0" borderId="0" xfId="157" applyBorder="1" applyAlignment="1" applyProtection="1">
      <alignment horizontal="center"/>
    </xf>
    <xf numFmtId="37" fontId="33" fillId="0" borderId="0" xfId="157" quotePrefix="1" applyBorder="1" applyAlignment="1" applyProtection="1">
      <alignment horizontal="center"/>
    </xf>
    <xf numFmtId="37" fontId="33" fillId="0" borderId="9" xfId="157" applyFont="1" applyBorder="1" applyProtection="1"/>
    <xf numFmtId="37" fontId="33" fillId="0" borderId="13" xfId="157" applyBorder="1" applyProtection="1"/>
    <xf numFmtId="37" fontId="33" fillId="0" borderId="13" xfId="157" applyFill="1" applyBorder="1" applyProtection="1"/>
    <xf numFmtId="37" fontId="38" fillId="0" borderId="0" xfId="157" applyFont="1" applyBorder="1" applyAlignment="1">
      <alignment horizontal="right"/>
    </xf>
    <xf numFmtId="37" fontId="34" fillId="0" borderId="14" xfId="157" applyFont="1" applyBorder="1" applyProtection="1"/>
    <xf numFmtId="37" fontId="61" fillId="0" borderId="0" xfId="157" applyFont="1" applyBorder="1" applyAlignment="1">
      <alignment horizontal="left"/>
    </xf>
    <xf numFmtId="37" fontId="33" fillId="0" borderId="0" xfId="157" applyAlignment="1">
      <alignment horizontal="left"/>
    </xf>
    <xf numFmtId="37" fontId="33" fillId="0" borderId="1" xfId="157" applyFill="1" applyBorder="1"/>
    <xf numFmtId="37" fontId="38" fillId="0" borderId="0" xfId="157" applyFont="1" applyBorder="1"/>
    <xf numFmtId="37" fontId="50" fillId="0" borderId="0" xfId="157" applyFont="1" applyBorder="1"/>
    <xf numFmtId="37" fontId="62" fillId="0" borderId="0" xfId="157" applyFont="1"/>
    <xf numFmtId="37" fontId="33" fillId="0" borderId="15" xfId="157" applyBorder="1" applyProtection="1"/>
    <xf numFmtId="37" fontId="34" fillId="0" borderId="0" xfId="157" applyFont="1" applyBorder="1" applyProtection="1"/>
    <xf numFmtId="37" fontId="36" fillId="0" borderId="0" xfId="157" applyFont="1" applyBorder="1" applyProtection="1"/>
    <xf numFmtId="37" fontId="52" fillId="0" borderId="0" xfId="157" applyFont="1" applyBorder="1" applyAlignment="1" applyProtection="1">
      <alignment horizontal="center"/>
    </xf>
    <xf numFmtId="37" fontId="34" fillId="0" borderId="16" xfId="157" applyFont="1" applyBorder="1" applyProtection="1"/>
    <xf numFmtId="37" fontId="53" fillId="0" borderId="16" xfId="157" applyFont="1" applyBorder="1" applyProtection="1"/>
    <xf numFmtId="37" fontId="53" fillId="0" borderId="0" xfId="157" applyFont="1" applyBorder="1" applyProtection="1"/>
    <xf numFmtId="37" fontId="33" fillId="0" borderId="17" xfId="157" applyBorder="1"/>
    <xf numFmtId="37" fontId="33" fillId="0" borderId="11" xfId="157" applyBorder="1"/>
    <xf numFmtId="37" fontId="61" fillId="0" borderId="0" xfId="157" applyFont="1" applyProtection="1"/>
    <xf numFmtId="37" fontId="40" fillId="0" borderId="0" xfId="157" applyFont="1" applyFill="1"/>
    <xf numFmtId="164" fontId="33" fillId="0" borderId="14" xfId="157" applyNumberFormat="1" applyBorder="1" applyProtection="1"/>
    <xf numFmtId="169" fontId="5" fillId="0" borderId="0" xfId="1" applyNumberFormat="1" applyFont="1" applyFill="1" applyBorder="1"/>
    <xf numFmtId="169" fontId="4" fillId="0" borderId="0" xfId="0" applyNumberFormat="1" applyFont="1"/>
    <xf numFmtId="0" fontId="0" fillId="0" borderId="1" xfId="0" applyBorder="1"/>
    <xf numFmtId="176" fontId="5" fillId="0" borderId="0" xfId="2" applyNumberFormat="1" applyFont="1"/>
    <xf numFmtId="10" fontId="4" fillId="0" borderId="0" xfId="2" applyNumberFormat="1" applyFont="1"/>
    <xf numFmtId="37" fontId="40" fillId="0" borderId="0" xfId="157" applyFont="1" applyAlignment="1">
      <alignment horizontal="center"/>
    </xf>
    <xf numFmtId="37" fontId="33" fillId="0" borderId="9" xfId="157" applyBorder="1" applyAlignment="1" applyProtection="1">
      <alignment horizontal="center"/>
    </xf>
    <xf numFmtId="5" fontId="43" fillId="0" borderId="0" xfId="157" applyNumberFormat="1" applyFont="1"/>
    <xf numFmtId="5" fontId="45" fillId="0" borderId="0" xfId="157" applyNumberFormat="1" applyFont="1" applyFill="1"/>
    <xf numFmtId="5" fontId="45" fillId="0" borderId="0" xfId="157" applyNumberFormat="1" applyFont="1"/>
    <xf numFmtId="5" fontId="45" fillId="0" borderId="0" xfId="157" applyNumberFormat="1" applyFont="1" applyFill="1" applyAlignment="1">
      <alignment horizontal="right"/>
    </xf>
    <xf numFmtId="0" fontId="45" fillId="0" borderId="0" xfId="157" applyNumberFormat="1" applyFont="1" applyFill="1"/>
    <xf numFmtId="0" fontId="63" fillId="0" borderId="0" xfId="163" applyFont="1" applyFill="1" applyAlignment="1">
      <alignment horizontal="center"/>
    </xf>
    <xf numFmtId="37" fontId="45" fillId="0" borderId="0" xfId="157" applyNumberFormat="1" applyFont="1" applyFill="1"/>
    <xf numFmtId="37" fontId="45" fillId="0" borderId="0" xfId="157" applyNumberFormat="1" applyFont="1"/>
    <xf numFmtId="37" fontId="45" fillId="0" borderId="0" xfId="157" applyNumberFormat="1" applyFont="1" applyBorder="1"/>
    <xf numFmtId="37" fontId="45" fillId="0" borderId="0" xfId="157" applyNumberFormat="1" applyFont="1" applyFill="1" applyBorder="1"/>
    <xf numFmtId="0" fontId="33" fillId="0" borderId="0" xfId="157" applyNumberFormat="1" applyAlignment="1">
      <alignment horizontal="center"/>
    </xf>
    <xf numFmtId="5" fontId="43" fillId="0" borderId="0" xfId="157" applyNumberFormat="1" applyFont="1" applyAlignment="1">
      <alignment horizontal="center"/>
    </xf>
    <xf numFmtId="43" fontId="47" fillId="0" borderId="0" xfId="157" applyNumberFormat="1" applyFont="1" applyFill="1" applyAlignment="1" applyProtection="1">
      <alignment horizontal="right"/>
    </xf>
    <xf numFmtId="5" fontId="38" fillId="0" borderId="0" xfId="157" applyNumberFormat="1" applyFont="1" applyAlignment="1">
      <alignment horizontal="center"/>
    </xf>
    <xf numFmtId="37" fontId="50" fillId="0" borderId="18" xfId="157" applyFont="1" applyBorder="1"/>
    <xf numFmtId="37" fontId="50" fillId="0" borderId="2" xfId="157" applyFont="1" applyFill="1" applyBorder="1"/>
    <xf numFmtId="37" fontId="61" fillId="0" borderId="0" xfId="157" applyFont="1" applyFill="1"/>
    <xf numFmtId="37" fontId="38" fillId="0" borderId="0" xfId="157" quotePrefix="1" applyFont="1" applyAlignment="1">
      <alignment horizontal="center"/>
    </xf>
    <xf numFmtId="178" fontId="33" fillId="0" borderId="0" xfId="157" applyNumberFormat="1" applyFont="1"/>
    <xf numFmtId="178" fontId="33" fillId="0" borderId="10" xfId="157" applyNumberFormat="1" applyFont="1" applyBorder="1"/>
    <xf numFmtId="178" fontId="40" fillId="0" borderId="11" xfId="157" applyNumberFormat="1" applyFont="1" applyBorder="1"/>
    <xf numFmtId="37" fontId="38" fillId="0" borderId="0" xfId="157" applyFont="1" applyFill="1" applyProtection="1"/>
    <xf numFmtId="164" fontId="64" fillId="0" borderId="0" xfId="2" applyNumberFormat="1" applyFont="1" applyFill="1" applyProtection="1">
      <protection locked="0"/>
    </xf>
    <xf numFmtId="164" fontId="64" fillId="0" borderId="1" xfId="2" applyNumberFormat="1" applyFont="1" applyFill="1" applyBorder="1" applyProtection="1">
      <protection locked="0"/>
    </xf>
    <xf numFmtId="41" fontId="5" fillId="0" borderId="0" xfId="0" applyNumberFormat="1" applyFont="1" applyFill="1" applyAlignment="1">
      <alignment horizontal="center"/>
    </xf>
    <xf numFmtId="169" fontId="5" fillId="39" borderId="0" xfId="1" applyNumberFormat="1" applyFont="1" applyFill="1"/>
    <xf numFmtId="41" fontId="4" fillId="39" borderId="0" xfId="0" applyNumberFormat="1" applyFont="1" applyFill="1"/>
    <xf numFmtId="164" fontId="64" fillId="0" borderId="0" xfId="2" applyNumberFormat="1" applyFont="1" applyFill="1" applyBorder="1" applyProtection="1">
      <protection locked="0"/>
    </xf>
    <xf numFmtId="164" fontId="6" fillId="0" borderId="0" xfId="2" applyNumberFormat="1" applyFont="1" applyBorder="1"/>
    <xf numFmtId="0" fontId="6" fillId="0" borderId="0" xfId="0" applyFont="1" applyAlignment="1">
      <alignment horizontal="center" vertical="center"/>
    </xf>
    <xf numFmtId="0" fontId="5" fillId="0" borderId="0" xfId="0" applyFont="1" applyAlignment="1">
      <alignment horizontal="center"/>
    </xf>
    <xf numFmtId="0" fontId="6" fillId="0" borderId="0" xfId="0" quotePrefix="1" applyFont="1" applyAlignment="1">
      <alignment horizontal="center" vertical="center"/>
    </xf>
    <xf numFmtId="0" fontId="0" fillId="0" borderId="0" xfId="0" applyAlignment="1">
      <alignment horizontal="center" vertical="center"/>
    </xf>
    <xf numFmtId="164" fontId="6" fillId="0" borderId="0" xfId="2" applyNumberFormat="1" applyFont="1" applyAlignment="1">
      <alignment vertical="center"/>
    </xf>
    <xf numFmtId="0" fontId="0" fillId="0" borderId="0" xfId="0" applyAlignment="1">
      <alignment vertical="center"/>
    </xf>
    <xf numFmtId="0" fontId="8" fillId="0" borderId="0" xfId="0" applyFont="1" applyAlignment="1">
      <alignment horizontal="center"/>
    </xf>
    <xf numFmtId="0" fontId="5" fillId="0" borderId="0" xfId="0" applyFont="1" applyAlignment="1"/>
    <xf numFmtId="41" fontId="2" fillId="0" borderId="1" xfId="0" applyNumberFormat="1" applyFont="1" applyBorder="1" applyAlignment="1">
      <alignment horizontal="center"/>
    </xf>
    <xf numFmtId="0" fontId="5" fillId="0" borderId="1" xfId="0" applyFont="1" applyBorder="1" applyAlignment="1">
      <alignment horizontal="center"/>
    </xf>
    <xf numFmtId="41" fontId="11" fillId="0" borderId="0" xfId="0" quotePrefix="1" applyNumberFormat="1" applyFont="1" applyAlignment="1">
      <alignment horizontal="left"/>
    </xf>
    <xf numFmtId="41" fontId="11" fillId="0" borderId="0" xfId="0" applyNumberFormat="1" applyFont="1" applyAlignment="1">
      <alignment horizontal="left"/>
    </xf>
    <xf numFmtId="37" fontId="37" fillId="0" borderId="12" xfId="157" applyFont="1" applyBorder="1" applyAlignment="1">
      <alignment horizontal="center"/>
    </xf>
    <xf numFmtId="0" fontId="2" fillId="0" borderId="0" xfId="157" applyNumberFormat="1" applyFont="1" applyFill="1" applyAlignment="1">
      <alignment horizontal="left" vertical="top" wrapText="1"/>
    </xf>
    <xf numFmtId="37" fontId="37" fillId="0" borderId="12" xfId="157" applyFont="1" applyBorder="1" applyAlignment="1" applyProtection="1">
      <alignment horizontal="center"/>
    </xf>
    <xf numFmtId="37" fontId="40" fillId="0" borderId="0" xfId="157" applyFont="1" applyAlignment="1">
      <alignment horizontal="center"/>
    </xf>
    <xf numFmtId="37" fontId="33" fillId="0" borderId="1" xfId="157" applyBorder="1" applyAlignment="1" applyProtection="1">
      <alignment horizontal="center"/>
    </xf>
    <xf numFmtId="37" fontId="33" fillId="0" borderId="9" xfId="157" applyBorder="1" applyAlignment="1" applyProtection="1">
      <alignment horizontal="center"/>
    </xf>
  </cellXfs>
  <cellStyles count="165">
    <cellStyle name="Accent1 - 20%" xfId="4"/>
    <cellStyle name="Accent1 - 40%" xfId="5"/>
    <cellStyle name="Accent1 - 60%" xfId="6"/>
    <cellStyle name="Accent2 - 20%" xfId="7"/>
    <cellStyle name="Accent2 - 40%" xfId="8"/>
    <cellStyle name="Accent2 - 60%" xfId="9"/>
    <cellStyle name="Accent3 - 20%" xfId="10"/>
    <cellStyle name="Accent3 - 40%" xfId="11"/>
    <cellStyle name="Accent3 - 60%" xfId="12"/>
    <cellStyle name="Accent4 - 20%" xfId="13"/>
    <cellStyle name="Accent4 - 40%" xfId="14"/>
    <cellStyle name="Accent4 - 60%" xfId="15"/>
    <cellStyle name="Accent5 - 20%" xfId="16"/>
    <cellStyle name="Accent5 - 40%" xfId="17"/>
    <cellStyle name="Accent5 - 60%" xfId="18"/>
    <cellStyle name="Accent6 - 20%" xfId="19"/>
    <cellStyle name="Accent6 - 40%" xfId="20"/>
    <cellStyle name="Accent6 - 60%" xfId="21"/>
    <cellStyle name="Comma" xfId="1" builtinId="3"/>
    <cellStyle name="Comma [0] 2" xfId="164"/>
    <cellStyle name="Comma 2" xfId="22"/>
    <cellStyle name="Comma 2 2" xfId="23"/>
    <cellStyle name="Comma 2 2 2" xfId="24"/>
    <cellStyle name="Comma 2 3" xfId="25"/>
    <cellStyle name="Comma 2 4" xfId="26"/>
    <cellStyle name="Comma 2 5" xfId="160"/>
    <cellStyle name="Comma 3" xfId="27"/>
    <cellStyle name="Comma 3 2" xfId="28"/>
    <cellStyle name="Comma 4" xfId="29"/>
    <cellStyle name="Comma 5" xfId="30"/>
    <cellStyle name="Comma 6" xfId="161"/>
    <cellStyle name="Comma 8" xfId="31"/>
    <cellStyle name="Currency 2" xfId="32"/>
    <cellStyle name="Currency 2 2" xfId="159"/>
    <cellStyle name="Currency 3" xfId="33"/>
    <cellStyle name="Emphasis 1" xfId="34"/>
    <cellStyle name="Emphasis 2" xfId="35"/>
    <cellStyle name="Emphasis 3" xfId="36"/>
    <cellStyle name="Normal" xfId="0" builtinId="0"/>
    <cellStyle name="Normal 10" xfId="37"/>
    <cellStyle name="Normal 10 6" xfId="38"/>
    <cellStyle name="Normal 11" xfId="157"/>
    <cellStyle name="Normal 12" xfId="39"/>
    <cellStyle name="Normal 13" xfId="40"/>
    <cellStyle name="Normal 14" xfId="41"/>
    <cellStyle name="Normal 15" xfId="42"/>
    <cellStyle name="Normal 16" xfId="43"/>
    <cellStyle name="Normal 2" xfId="3"/>
    <cellStyle name="Normal 2 2" xfId="44"/>
    <cellStyle name="Normal 2 2 2" xfId="45"/>
    <cellStyle name="Normal 2 3" xfId="46"/>
    <cellStyle name="Normal 2 3 2" xfId="47"/>
    <cellStyle name="Normal 2 4" xfId="48"/>
    <cellStyle name="Normal 2 4 2" xfId="49"/>
    <cellStyle name="Normal 2 5" xfId="50"/>
    <cellStyle name="Normal 2 6" xfId="51"/>
    <cellStyle name="Normal 2 6 2" xfId="52"/>
    <cellStyle name="Normal 2 6 2 2" xfId="53"/>
    <cellStyle name="Normal 2 6 2 2 2" xfId="54"/>
    <cellStyle name="Normal 2 6 2 3" xfId="55"/>
    <cellStyle name="Normal 2 6 2 3 2" xfId="56"/>
    <cellStyle name="Normal 2 6 2 4" xfId="57"/>
    <cellStyle name="Normal 2 6 2 4 2" xfId="58"/>
    <cellStyle name="Normal 2 6 2 5" xfId="59"/>
    <cellStyle name="Normal 2 6 2 6" xfId="60"/>
    <cellStyle name="Normal 2 6 3" xfId="61"/>
    <cellStyle name="Normal 2 6 3 2" xfId="62"/>
    <cellStyle name="Normal 2 6 4" xfId="63"/>
    <cellStyle name="Normal 2 6 4 2" xfId="64"/>
    <cellStyle name="Normal 2 6 5" xfId="65"/>
    <cellStyle name="Normal 2 6 5 2" xfId="66"/>
    <cellStyle name="Normal 2 6 6" xfId="67"/>
    <cellStyle name="Normal 2 6 6 2" xfId="68"/>
    <cellStyle name="Normal 2 6 7" xfId="69"/>
    <cellStyle name="Normal 2 6 8" xfId="70"/>
    <cellStyle name="Normal 2 7" xfId="71"/>
    <cellStyle name="Normal 2 8" xfId="163"/>
    <cellStyle name="Normal 3" xfId="72"/>
    <cellStyle name="Normal 3 2" xfId="73"/>
    <cellStyle name="Normal 3 2 2" xfId="74"/>
    <cellStyle name="Normal 3 3" xfId="158"/>
    <cellStyle name="Normal 4" xfId="75"/>
    <cellStyle name="Normal 4 2" xfId="76"/>
    <cellStyle name="Normal 5" xfId="77"/>
    <cellStyle name="Normal 5 2" xfId="78"/>
    <cellStyle name="Normal 6" xfId="79"/>
    <cellStyle name="Normal 6 2" xfId="80"/>
    <cellStyle name="Normal 6 2 2" xfId="81"/>
    <cellStyle name="Normal 6 2 2 2" xfId="82"/>
    <cellStyle name="Normal 6 2 3" xfId="83"/>
    <cellStyle name="Normal 6 2 3 2" xfId="84"/>
    <cellStyle name="Normal 6 2 4" xfId="85"/>
    <cellStyle name="Normal 6 2 4 2" xfId="86"/>
    <cellStyle name="Normal 6 2 5" xfId="87"/>
    <cellStyle name="Normal 6 2 6" xfId="88"/>
    <cellStyle name="Normal 6 3" xfId="89"/>
    <cellStyle name="Normal 6 3 2" xfId="90"/>
    <cellStyle name="Normal 6 4" xfId="91"/>
    <cellStyle name="Normal 6 4 2" xfId="92"/>
    <cellStyle name="Normal 6 5" xfId="93"/>
    <cellStyle name="Normal 6 5 2" xfId="94"/>
    <cellStyle name="Normal 6 6" xfId="95"/>
    <cellStyle name="Normal 6 6 2" xfId="96"/>
    <cellStyle name="Normal 6 7" xfId="97"/>
    <cellStyle name="Normal 6 8" xfId="98"/>
    <cellStyle name="Normal 7" xfId="99"/>
    <cellStyle name="Normal 8" xfId="100"/>
    <cellStyle name="Normal 9" xfId="101"/>
    <cellStyle name="Percent" xfId="2" builtinId="5"/>
    <cellStyle name="Percent 2" xfId="102"/>
    <cellStyle name="Percent 3" xfId="103"/>
    <cellStyle name="Percent 3 2" xfId="104"/>
    <cellStyle name="Percent 3 3" xfId="105"/>
    <cellStyle name="Percent 4" xfId="106"/>
    <cellStyle name="Percent 5" xfId="107"/>
    <cellStyle name="Percent 6" xfId="162"/>
    <cellStyle name="SAPBEXaggData" xfId="108"/>
    <cellStyle name="SAPBEXaggDataEmph" xfId="109"/>
    <cellStyle name="SAPBEXaggItem" xfId="110"/>
    <cellStyle name="SAPBEXaggItemX" xfId="111"/>
    <cellStyle name="SAPBEXchaText" xfId="112"/>
    <cellStyle name="SAPBEXexcBad7" xfId="113"/>
    <cellStyle name="SAPBEXexcBad8" xfId="114"/>
    <cellStyle name="SAPBEXexcBad9" xfId="115"/>
    <cellStyle name="SAPBEXexcCritical4" xfId="116"/>
    <cellStyle name="SAPBEXexcCritical5" xfId="117"/>
    <cellStyle name="SAPBEXexcCritical6" xfId="118"/>
    <cellStyle name="SAPBEXexcGood1" xfId="119"/>
    <cellStyle name="SAPBEXexcGood2" xfId="120"/>
    <cellStyle name="SAPBEXexcGood3" xfId="121"/>
    <cellStyle name="SAPBEXfilterDrill" xfId="122"/>
    <cellStyle name="SAPBEXfilterItem" xfId="123"/>
    <cellStyle name="SAPBEXfilterText" xfId="124"/>
    <cellStyle name="SAPBEXformats" xfId="125"/>
    <cellStyle name="SAPBEXheaderItem" xfId="126"/>
    <cellStyle name="SAPBEXheaderText" xfId="127"/>
    <cellStyle name="SAPBEXHLevel0" xfId="128"/>
    <cellStyle name="SAPBEXHLevel0 2" xfId="129"/>
    <cellStyle name="SAPBEXHLevel0X" xfId="130"/>
    <cellStyle name="SAPBEXHLevel0X 2" xfId="131"/>
    <cellStyle name="SAPBEXHLevel1" xfId="132"/>
    <cellStyle name="SAPBEXHLevel1 2" xfId="133"/>
    <cellStyle name="SAPBEXHLevel1X" xfId="134"/>
    <cellStyle name="SAPBEXHLevel1X 2" xfId="135"/>
    <cellStyle name="SAPBEXHLevel2" xfId="136"/>
    <cellStyle name="SAPBEXHLevel2 2" xfId="137"/>
    <cellStyle name="SAPBEXHLevel2X" xfId="138"/>
    <cellStyle name="SAPBEXHLevel2X 2" xfId="139"/>
    <cellStyle name="SAPBEXHLevel3" xfId="140"/>
    <cellStyle name="SAPBEXHLevel3 2" xfId="141"/>
    <cellStyle name="SAPBEXHLevel3X" xfId="142"/>
    <cellStyle name="SAPBEXHLevel3X 2" xfId="143"/>
    <cellStyle name="SAPBEXinputData" xfId="144"/>
    <cellStyle name="SAPBEXinputData 2" xfId="145"/>
    <cellStyle name="SAPBEXresData" xfId="146"/>
    <cellStyle name="SAPBEXresDataEmph" xfId="147"/>
    <cellStyle name="SAPBEXresItem" xfId="148"/>
    <cellStyle name="SAPBEXresItemX" xfId="149"/>
    <cellStyle name="SAPBEXstdData" xfId="150"/>
    <cellStyle name="SAPBEXstdDataEmph" xfId="151"/>
    <cellStyle name="SAPBEXstdItem" xfId="152"/>
    <cellStyle name="SAPBEXstdItemX" xfId="153"/>
    <cellStyle name="SAPBEXtitle" xfId="154"/>
    <cellStyle name="SAPBEXundefined" xfId="155"/>
    <cellStyle name="Sheet Title" xfId="15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141939</xdr:colOff>
      <xdr:row>80</xdr:row>
      <xdr:rowOff>20955</xdr:rowOff>
    </xdr:from>
    <xdr:to>
      <xdr:col>5</xdr:col>
      <xdr:colOff>152400</xdr:colOff>
      <xdr:row>86</xdr:row>
      <xdr:rowOff>18544</xdr:rowOff>
    </xdr:to>
    <xdr:cxnSp macro="">
      <xdr:nvCxnSpPr>
        <xdr:cNvPr id="2" name="Straight Arrow Connector 1"/>
        <xdr:cNvCxnSpPr/>
      </xdr:nvCxnSpPr>
      <xdr:spPr>
        <a:xfrm>
          <a:off x="5428314" y="13241655"/>
          <a:ext cx="10461" cy="969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124946</xdr:colOff>
      <xdr:row>80</xdr:row>
      <xdr:rowOff>53789</xdr:rowOff>
    </xdr:from>
    <xdr:to>
      <xdr:col>9</xdr:col>
      <xdr:colOff>133911</xdr:colOff>
      <xdr:row>85</xdr:row>
      <xdr:rowOff>125068</xdr:rowOff>
    </xdr:to>
    <xdr:cxnSp macro="">
      <xdr:nvCxnSpPr>
        <xdr:cNvPr id="3" name="Straight Arrow Connector 2"/>
        <xdr:cNvCxnSpPr/>
      </xdr:nvCxnSpPr>
      <xdr:spPr>
        <a:xfrm flipH="1">
          <a:off x="8468846" y="13274489"/>
          <a:ext cx="8965" cy="88090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112059</xdr:colOff>
      <xdr:row>103</xdr:row>
      <xdr:rowOff>38884</xdr:rowOff>
    </xdr:from>
    <xdr:to>
      <xdr:col>5</xdr:col>
      <xdr:colOff>141939</xdr:colOff>
      <xdr:row>110</xdr:row>
      <xdr:rowOff>147414</xdr:rowOff>
    </xdr:to>
    <xdr:cxnSp macro="">
      <xdr:nvCxnSpPr>
        <xdr:cNvPr id="4" name="Straight Arrow Connector 3"/>
        <xdr:cNvCxnSpPr/>
      </xdr:nvCxnSpPr>
      <xdr:spPr>
        <a:xfrm flipH="1">
          <a:off x="5398434" y="16973550"/>
          <a:ext cx="29880"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128981</xdr:colOff>
      <xdr:row>101</xdr:row>
      <xdr:rowOff>0</xdr:rowOff>
    </xdr:from>
    <xdr:to>
      <xdr:col>9</xdr:col>
      <xdr:colOff>134583</xdr:colOff>
      <xdr:row>101</xdr:row>
      <xdr:rowOff>0</xdr:rowOff>
    </xdr:to>
    <xdr:cxnSp macro="">
      <xdr:nvCxnSpPr>
        <xdr:cNvPr id="5" name="Straight Arrow Connector 4"/>
        <xdr:cNvCxnSpPr/>
      </xdr:nvCxnSpPr>
      <xdr:spPr>
        <a:xfrm flipH="1">
          <a:off x="8472881" y="16973550"/>
          <a:ext cx="5602"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46505</xdr:colOff>
      <xdr:row>10</xdr:row>
      <xdr:rowOff>30032</xdr:rowOff>
    </xdr:from>
    <xdr:to>
      <xdr:col>6</xdr:col>
      <xdr:colOff>46505</xdr:colOff>
      <xdr:row>31</xdr:row>
      <xdr:rowOff>9</xdr:rowOff>
    </xdr:to>
    <xdr:cxnSp macro="">
      <xdr:nvCxnSpPr>
        <xdr:cNvPr id="6" name="Straight Arrow Connector 5"/>
        <xdr:cNvCxnSpPr/>
      </xdr:nvCxnSpPr>
      <xdr:spPr>
        <a:xfrm>
          <a:off x="5723405" y="1687382"/>
          <a:ext cx="0" cy="3370402"/>
        </a:xfrm>
        <a:prstGeom prst="straightConnector1">
          <a:avLst/>
        </a:prstGeom>
        <a:ln w="952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33618</xdr:colOff>
      <xdr:row>10</xdr:row>
      <xdr:rowOff>30032</xdr:rowOff>
    </xdr:from>
    <xdr:to>
      <xdr:col>10</xdr:col>
      <xdr:colOff>33618</xdr:colOff>
      <xdr:row>30</xdr:row>
      <xdr:rowOff>110159</xdr:rowOff>
    </xdr:to>
    <xdr:cxnSp macro="">
      <xdr:nvCxnSpPr>
        <xdr:cNvPr id="7" name="Straight Arrow Connector 6"/>
        <xdr:cNvCxnSpPr/>
      </xdr:nvCxnSpPr>
      <xdr:spPr>
        <a:xfrm>
          <a:off x="8682318" y="1687382"/>
          <a:ext cx="0" cy="331862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33617</xdr:colOff>
      <xdr:row>10</xdr:row>
      <xdr:rowOff>30031</xdr:rowOff>
    </xdr:from>
    <xdr:to>
      <xdr:col>14</xdr:col>
      <xdr:colOff>33618</xdr:colOff>
      <xdr:row>31</xdr:row>
      <xdr:rowOff>20757</xdr:rowOff>
    </xdr:to>
    <xdr:cxnSp macro="">
      <xdr:nvCxnSpPr>
        <xdr:cNvPr id="8" name="Straight Arrow Connector 7"/>
        <xdr:cNvCxnSpPr/>
      </xdr:nvCxnSpPr>
      <xdr:spPr>
        <a:xfrm>
          <a:off x="11616017" y="1687381"/>
          <a:ext cx="1" cy="33911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12886</xdr:colOff>
      <xdr:row>10</xdr:row>
      <xdr:rowOff>11206</xdr:rowOff>
    </xdr:from>
    <xdr:to>
      <xdr:col>18</xdr:col>
      <xdr:colOff>12886</xdr:colOff>
      <xdr:row>31</xdr:row>
      <xdr:rowOff>20755</xdr:rowOff>
    </xdr:to>
    <xdr:cxnSp macro="">
      <xdr:nvCxnSpPr>
        <xdr:cNvPr id="9" name="Straight Arrow Connector 8"/>
        <xdr:cNvCxnSpPr/>
      </xdr:nvCxnSpPr>
      <xdr:spPr>
        <a:xfrm>
          <a:off x="14224186" y="1668556"/>
          <a:ext cx="0" cy="34099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30032</xdr:colOff>
      <xdr:row>9</xdr:row>
      <xdr:rowOff>12887</xdr:rowOff>
    </xdr:from>
    <xdr:to>
      <xdr:col>22</xdr:col>
      <xdr:colOff>30032</xdr:colOff>
      <xdr:row>30</xdr:row>
      <xdr:rowOff>145700</xdr:rowOff>
    </xdr:to>
    <xdr:cxnSp macro="">
      <xdr:nvCxnSpPr>
        <xdr:cNvPr id="10" name="Straight Arrow Connector 9"/>
        <xdr:cNvCxnSpPr/>
      </xdr:nvCxnSpPr>
      <xdr:spPr>
        <a:xfrm>
          <a:off x="16717832" y="1632137"/>
          <a:ext cx="0" cy="34094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30032</xdr:colOff>
      <xdr:row>10</xdr:row>
      <xdr:rowOff>0</xdr:rowOff>
    </xdr:from>
    <xdr:to>
      <xdr:col>26</xdr:col>
      <xdr:colOff>37502</xdr:colOff>
      <xdr:row>31</xdr:row>
      <xdr:rowOff>0</xdr:rowOff>
    </xdr:to>
    <xdr:cxnSp macro="">
      <xdr:nvCxnSpPr>
        <xdr:cNvPr id="11" name="Straight Arrow Connector 10"/>
        <xdr:cNvCxnSpPr/>
      </xdr:nvCxnSpPr>
      <xdr:spPr>
        <a:xfrm>
          <a:off x="19051457" y="1657350"/>
          <a:ext cx="7470" cy="3400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44824</xdr:colOff>
      <xdr:row>89</xdr:row>
      <xdr:rowOff>0</xdr:rowOff>
    </xdr:from>
    <xdr:to>
      <xdr:col>11</xdr:col>
      <xdr:colOff>51548</xdr:colOff>
      <xdr:row>91</xdr:row>
      <xdr:rowOff>44823</xdr:rowOff>
    </xdr:to>
    <xdr:cxnSp macro="">
      <xdr:nvCxnSpPr>
        <xdr:cNvPr id="12" name="Straight Arrow Connector 11"/>
        <xdr:cNvCxnSpPr/>
      </xdr:nvCxnSpPr>
      <xdr:spPr>
        <a:xfrm>
          <a:off x="10093699" y="14716125"/>
          <a:ext cx="6724" cy="40677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G\INCSTATE\GG\1998gg\Is06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97"/>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tabSelected="1" zoomScaleNormal="100" workbookViewId="0"/>
  </sheetViews>
  <sheetFormatPr defaultRowHeight="12.75"/>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c r="A1" s="8" t="s">
        <v>155</v>
      </c>
    </row>
    <row r="3" spans="1:5">
      <c r="B3" s="8" t="s">
        <v>156</v>
      </c>
      <c r="E3" s="114" t="s">
        <v>157</v>
      </c>
    </row>
    <row r="4" spans="1:5">
      <c r="D4" s="113" t="s">
        <v>158</v>
      </c>
    </row>
    <row r="5" spans="1:5">
      <c r="C5" s="113" t="s">
        <v>159</v>
      </c>
      <c r="D5" s="113" t="s">
        <v>160</v>
      </c>
    </row>
    <row r="6" spans="1:5">
      <c r="A6" s="40" t="s">
        <v>161</v>
      </c>
      <c r="C6" s="40" t="s">
        <v>162</v>
      </c>
      <c r="D6" s="40" t="s">
        <v>163</v>
      </c>
      <c r="E6" s="40" t="s">
        <v>164</v>
      </c>
    </row>
    <row r="7" spans="1:5">
      <c r="A7" s="113">
        <v>1</v>
      </c>
      <c r="C7" s="115">
        <v>2016</v>
      </c>
      <c r="D7" s="116">
        <f>D71</f>
        <v>0.35</v>
      </c>
      <c r="E7" s="117" t="s">
        <v>165</v>
      </c>
    </row>
    <row r="8" spans="1:5">
      <c r="A8" s="113">
        <f>A7+1</f>
        <v>2</v>
      </c>
      <c r="E8" s="118"/>
    </row>
    <row r="9" spans="1:5">
      <c r="A9" s="113">
        <f t="shared" ref="A9:A58" si="0">A8+1</f>
        <v>3</v>
      </c>
      <c r="B9" s="8" t="s">
        <v>166</v>
      </c>
    </row>
    <row r="10" spans="1:5">
      <c r="A10" s="113">
        <f t="shared" si="0"/>
        <v>4</v>
      </c>
      <c r="B10" s="8"/>
      <c r="D10" s="113"/>
    </row>
    <row r="11" spans="1:5">
      <c r="A11" s="113">
        <f t="shared" si="0"/>
        <v>5</v>
      </c>
      <c r="D11" s="113" t="s">
        <v>167</v>
      </c>
    </row>
    <row r="12" spans="1:5">
      <c r="A12" s="113">
        <f t="shared" si="0"/>
        <v>6</v>
      </c>
      <c r="C12" s="113" t="s">
        <v>159</v>
      </c>
      <c r="D12" s="113" t="s">
        <v>160</v>
      </c>
    </row>
    <row r="13" spans="1:5">
      <c r="A13" s="113">
        <f t="shared" si="0"/>
        <v>7</v>
      </c>
      <c r="C13" s="40" t="s">
        <v>162</v>
      </c>
      <c r="D13" s="40" t="s">
        <v>168</v>
      </c>
      <c r="E13" s="40" t="s">
        <v>164</v>
      </c>
    </row>
    <row r="14" spans="1:5">
      <c r="A14" s="113">
        <f t="shared" si="0"/>
        <v>8</v>
      </c>
      <c r="C14" s="115">
        <v>2016</v>
      </c>
      <c r="D14" s="119">
        <f>D51</f>
        <v>8.8400000000000006E-2</v>
      </c>
      <c r="E14" s="120" t="str">
        <f>"1) See calculation below on Line "&amp;A51&amp;" based on inputs"</f>
        <v>1) See calculation below on Line 45 based on inputs</v>
      </c>
    </row>
    <row r="15" spans="1:5">
      <c r="A15" s="113">
        <f t="shared" si="0"/>
        <v>9</v>
      </c>
      <c r="C15" s="121"/>
      <c r="D15" s="57"/>
      <c r="E15" s="120" t="s">
        <v>169</v>
      </c>
    </row>
    <row r="16" spans="1:5">
      <c r="A16" s="113">
        <f t="shared" si="0"/>
        <v>10</v>
      </c>
      <c r="C16" s="121"/>
      <c r="D16" s="57"/>
      <c r="E16" s="120" t="s">
        <v>213</v>
      </c>
    </row>
    <row r="17" spans="1:5">
      <c r="A17" s="113">
        <f t="shared" si="0"/>
        <v>11</v>
      </c>
      <c r="C17" s="123"/>
      <c r="E17" s="122"/>
    </row>
    <row r="18" spans="1:5">
      <c r="A18" s="113">
        <f t="shared" si="0"/>
        <v>12</v>
      </c>
      <c r="C18" s="8" t="s">
        <v>170</v>
      </c>
      <c r="E18" s="122"/>
    </row>
    <row r="19" spans="1:5">
      <c r="A19" s="113">
        <f t="shared" si="0"/>
        <v>13</v>
      </c>
      <c r="E19" s="122"/>
    </row>
    <row r="20" spans="1:5">
      <c r="A20" s="113">
        <f t="shared" si="0"/>
        <v>14</v>
      </c>
      <c r="C20" s="113"/>
      <c r="D20" s="113" t="s">
        <v>0</v>
      </c>
    </row>
    <row r="21" spans="1:5">
      <c r="A21" s="113">
        <f t="shared" si="0"/>
        <v>15</v>
      </c>
      <c r="C21" s="40" t="s">
        <v>24</v>
      </c>
      <c r="D21" s="40" t="s">
        <v>171</v>
      </c>
      <c r="E21" s="40" t="s">
        <v>164</v>
      </c>
    </row>
    <row r="22" spans="1:5">
      <c r="A22" s="113">
        <f t="shared" si="0"/>
        <v>16</v>
      </c>
      <c r="C22" t="s">
        <v>7</v>
      </c>
      <c r="D22" s="124">
        <f>'I - Composite Tax Rate'!C12</f>
        <v>1</v>
      </c>
      <c r="E22" s="125" t="s">
        <v>172</v>
      </c>
    </row>
    <row r="23" spans="1:5">
      <c r="A23" s="113">
        <f t="shared" si="0"/>
        <v>17</v>
      </c>
      <c r="C23" t="s">
        <v>8</v>
      </c>
      <c r="D23" s="124">
        <f>'I - Composite Tax Rate'!C15</f>
        <v>0</v>
      </c>
      <c r="E23" s="126"/>
    </row>
    <row r="24" spans="1:5">
      <c r="A24" s="113">
        <f t="shared" si="0"/>
        <v>18</v>
      </c>
      <c r="C24" t="s">
        <v>9</v>
      </c>
      <c r="D24" s="124">
        <f>'I - Composite Tax Rate'!C14</f>
        <v>0</v>
      </c>
      <c r="E24" s="127"/>
    </row>
    <row r="25" spans="1:5">
      <c r="A25" s="113">
        <f t="shared" si="0"/>
        <v>19</v>
      </c>
      <c r="C25" t="s">
        <v>10</v>
      </c>
      <c r="D25" s="124">
        <f>'I - Composite Tax Rate'!C13</f>
        <v>0</v>
      </c>
      <c r="E25" s="128"/>
    </row>
    <row r="26" spans="1:5">
      <c r="A26" s="113">
        <f t="shared" si="0"/>
        <v>20</v>
      </c>
      <c r="D26" s="119"/>
      <c r="E26" s="128"/>
    </row>
    <row r="27" spans="1:5">
      <c r="A27" s="113">
        <f t="shared" si="0"/>
        <v>21</v>
      </c>
      <c r="D27" s="113" t="s">
        <v>20</v>
      </c>
    </row>
    <row r="28" spans="1:5">
      <c r="A28" s="113">
        <f t="shared" si="0"/>
        <v>22</v>
      </c>
      <c r="C28" s="40" t="s">
        <v>24</v>
      </c>
      <c r="D28" s="40" t="s">
        <v>173</v>
      </c>
    </row>
    <row r="29" spans="1:5">
      <c r="A29" s="113">
        <f t="shared" si="0"/>
        <v>23</v>
      </c>
      <c r="C29" t="s">
        <v>7</v>
      </c>
      <c r="D29" s="124">
        <f>'I - Composite Tax Rate'!B12</f>
        <v>8.8400000000000006E-2</v>
      </c>
      <c r="E29" s="126" t="s">
        <v>174</v>
      </c>
    </row>
    <row r="30" spans="1:5">
      <c r="A30" s="113">
        <f t="shared" si="0"/>
        <v>24</v>
      </c>
      <c r="C30" t="s">
        <v>8</v>
      </c>
      <c r="D30" s="124">
        <f>'I - Composite Tax Rate'!B15</f>
        <v>6.6000000000000003E-2</v>
      </c>
      <c r="E30" s="129" t="s">
        <v>175</v>
      </c>
    </row>
    <row r="31" spans="1:5">
      <c r="A31" s="113">
        <f t="shared" si="0"/>
        <v>25</v>
      </c>
      <c r="C31" t="s">
        <v>9</v>
      </c>
      <c r="D31" s="124">
        <f>'I - Composite Tax Rate'!B14</f>
        <v>5.5E-2</v>
      </c>
    </row>
    <row r="32" spans="1:5">
      <c r="A32" s="113">
        <f t="shared" si="0"/>
        <v>26</v>
      </c>
      <c r="C32" t="s">
        <v>10</v>
      </c>
      <c r="D32" s="130">
        <f>'I - Composite Tax Rate'!B13</f>
        <v>9.4E-2</v>
      </c>
    </row>
    <row r="33" spans="1:5">
      <c r="A33" s="113">
        <f t="shared" si="0"/>
        <v>27</v>
      </c>
    </row>
    <row r="34" spans="1:5">
      <c r="A34" s="113">
        <f t="shared" si="0"/>
        <v>28</v>
      </c>
      <c r="D34" s="113" t="s">
        <v>176</v>
      </c>
    </row>
    <row r="35" spans="1:5">
      <c r="A35" s="113">
        <f t="shared" si="0"/>
        <v>29</v>
      </c>
      <c r="D35" s="113" t="s">
        <v>177</v>
      </c>
    </row>
    <row r="36" spans="1:5">
      <c r="A36" s="113">
        <f t="shared" si="0"/>
        <v>30</v>
      </c>
      <c r="D36" s="131" t="s">
        <v>178</v>
      </c>
    </row>
    <row r="37" spans="1:5">
      <c r="A37" s="113">
        <f t="shared" si="0"/>
        <v>31</v>
      </c>
      <c r="D37" s="113" t="s">
        <v>7</v>
      </c>
    </row>
    <row r="38" spans="1:5">
      <c r="A38" s="113">
        <f t="shared" si="0"/>
        <v>32</v>
      </c>
      <c r="C38" s="40" t="s">
        <v>24</v>
      </c>
      <c r="D38" s="40" t="s">
        <v>179</v>
      </c>
    </row>
    <row r="39" spans="1:5">
      <c r="A39" s="113">
        <f t="shared" si="0"/>
        <v>33</v>
      </c>
      <c r="C39" t="s">
        <v>7</v>
      </c>
      <c r="D39" s="124">
        <f>'I - Composite Tax Rate'!E12</f>
        <v>1</v>
      </c>
      <c r="E39" s="129" t="s">
        <v>180</v>
      </c>
    </row>
    <row r="40" spans="1:5">
      <c r="A40" s="113">
        <f t="shared" si="0"/>
        <v>34</v>
      </c>
      <c r="C40" t="s">
        <v>8</v>
      </c>
      <c r="D40" s="124">
        <f>'I - Composite Tax Rate'!E15</f>
        <v>0</v>
      </c>
      <c r="E40" s="57" t="s">
        <v>181</v>
      </c>
    </row>
    <row r="41" spans="1:5">
      <c r="A41" s="113">
        <f t="shared" si="0"/>
        <v>35</v>
      </c>
      <c r="C41" t="s">
        <v>9</v>
      </c>
      <c r="D41" s="124">
        <f>'I - Composite Tax Rate'!E14</f>
        <v>0.90788524465875209</v>
      </c>
    </row>
    <row r="42" spans="1:5">
      <c r="A42" s="113">
        <f t="shared" si="0"/>
        <v>36</v>
      </c>
      <c r="C42" t="s">
        <v>10</v>
      </c>
      <c r="D42" s="130">
        <f>'I - Composite Tax Rate'!E13</f>
        <v>0.90788524465875209</v>
      </c>
    </row>
    <row r="43" spans="1:5">
      <c r="A43" s="113">
        <f t="shared" si="0"/>
        <v>37</v>
      </c>
      <c r="D43" s="132"/>
    </row>
    <row r="44" spans="1:5">
      <c r="A44" s="113">
        <f t="shared" si="0"/>
        <v>38</v>
      </c>
      <c r="D44" s="113" t="s">
        <v>22</v>
      </c>
    </row>
    <row r="45" spans="1:5">
      <c r="A45" s="113">
        <f t="shared" si="0"/>
        <v>39</v>
      </c>
      <c r="C45" s="40" t="s">
        <v>24</v>
      </c>
      <c r="D45" s="40" t="s">
        <v>25</v>
      </c>
    </row>
    <row r="46" spans="1:5">
      <c r="A46" s="113">
        <f t="shared" si="0"/>
        <v>40</v>
      </c>
      <c r="C46" t="s">
        <v>7</v>
      </c>
      <c r="D46" s="119">
        <f>D22*D29*D39</f>
        <v>8.8400000000000006E-2</v>
      </c>
      <c r="E46" s="120" t="str">
        <f>"Line "&amp;A22&amp;" * Line "&amp;A29&amp;" * Line "&amp;A39&amp;""</f>
        <v>Line 16 * Line 23 * Line 33</v>
      </c>
    </row>
    <row r="47" spans="1:5">
      <c r="A47" s="113">
        <f t="shared" si="0"/>
        <v>41</v>
      </c>
      <c r="C47" t="s">
        <v>8</v>
      </c>
      <c r="D47" s="119">
        <f>D23*D30*D40</f>
        <v>0</v>
      </c>
      <c r="E47" s="120" t="str">
        <f>"Line "&amp;A23&amp;" * Line "&amp;A30&amp;" * Line "&amp;A40&amp;""</f>
        <v>Line 17 * Line 24 * Line 34</v>
      </c>
    </row>
    <row r="48" spans="1:5">
      <c r="A48" s="113">
        <f t="shared" si="0"/>
        <v>42</v>
      </c>
      <c r="C48" t="s">
        <v>9</v>
      </c>
      <c r="D48" s="119">
        <f>D24*D31*D41</f>
        <v>0</v>
      </c>
      <c r="E48" s="120" t="str">
        <f>"Line "&amp;A24&amp;" * Line "&amp;A31&amp;" * Line "&amp;A41&amp;""</f>
        <v>Line 18 * Line 25 * Line 35</v>
      </c>
    </row>
    <row r="49" spans="1:9">
      <c r="A49" s="113">
        <f t="shared" si="0"/>
        <v>43</v>
      </c>
      <c r="C49" t="s">
        <v>10</v>
      </c>
      <c r="D49" s="119">
        <f>D25*D32*D42</f>
        <v>0</v>
      </c>
      <c r="E49" s="120" t="str">
        <f>"Line "&amp;A25&amp;" * Line "&amp;A32&amp;" * Line "&amp;A42&amp;""</f>
        <v>Line 19 * Line 26 * Line 36</v>
      </c>
    </row>
    <row r="50" spans="1:9">
      <c r="A50" s="113">
        <f t="shared" si="0"/>
        <v>44</v>
      </c>
      <c r="C50" s="133" t="s">
        <v>167</v>
      </c>
    </row>
    <row r="51" spans="1:9">
      <c r="A51" s="113">
        <f t="shared" si="0"/>
        <v>45</v>
      </c>
      <c r="C51" s="133" t="s">
        <v>182</v>
      </c>
      <c r="D51" s="132">
        <f>SUM(D46:D49)</f>
        <v>8.8400000000000006E-2</v>
      </c>
      <c r="E51" s="120" t="str">
        <f>"Sum of Lines "&amp;A46&amp;" to "&amp;A49&amp;""</f>
        <v>Sum of Lines 40 to 43</v>
      </c>
    </row>
    <row r="52" spans="1:9">
      <c r="A52" s="113">
        <f t="shared" si="0"/>
        <v>46</v>
      </c>
      <c r="E52" s="120"/>
    </row>
    <row r="53" spans="1:9" ht="12.75" hidden="1" customHeight="1">
      <c r="A53" s="113">
        <f t="shared" si="0"/>
        <v>47</v>
      </c>
      <c r="B53" s="8" t="s">
        <v>183</v>
      </c>
      <c r="E53" s="122"/>
    </row>
    <row r="54" spans="1:9" ht="12.75" hidden="1" customHeight="1">
      <c r="A54" s="113">
        <f t="shared" si="0"/>
        <v>48</v>
      </c>
      <c r="E54" s="134"/>
      <c r="F54" s="40" t="s">
        <v>184</v>
      </c>
    </row>
    <row r="55" spans="1:9" ht="12.75" hidden="1" customHeight="1">
      <c r="A55" s="135">
        <f t="shared" si="0"/>
        <v>49</v>
      </c>
      <c r="B55" s="57"/>
      <c r="C55" s="57" t="s">
        <v>315</v>
      </c>
      <c r="D55" s="57"/>
      <c r="E55" s="57"/>
      <c r="F55" s="136">
        <v>143480346</v>
      </c>
      <c r="G55" s="67"/>
    </row>
    <row r="56" spans="1:9" ht="12.75" hidden="1" customHeight="1">
      <c r="A56" s="135">
        <f t="shared" si="0"/>
        <v>50</v>
      </c>
      <c r="B56" s="57"/>
      <c r="C56" s="137" t="s">
        <v>185</v>
      </c>
      <c r="D56" s="57"/>
      <c r="E56" s="57"/>
      <c r="F56" s="138">
        <v>0.377</v>
      </c>
      <c r="G56" s="67"/>
    </row>
    <row r="57" spans="1:9" ht="12.75" hidden="1" customHeight="1">
      <c r="A57" s="135">
        <f t="shared" si="0"/>
        <v>51</v>
      </c>
      <c r="B57" s="57"/>
      <c r="C57" s="137" t="str">
        <f>"Capitalized Overhead portion of Electric Payroll Tax Expense (Line "&amp;A55&amp;" * Line "&amp;A56&amp;")"</f>
        <v>Capitalized Overhead portion of Electric Payroll Tax Expense (Line 49 * Line 50)</v>
      </c>
      <c r="D57" s="57"/>
      <c r="E57" s="57"/>
      <c r="F57" s="139">
        <f>F55*F56</f>
        <v>54092090.442000002</v>
      </c>
      <c r="G57" s="137"/>
      <c r="H57" s="57"/>
      <c r="I57" s="137"/>
    </row>
    <row r="58" spans="1:9" hidden="1">
      <c r="A58" s="135">
        <f t="shared" si="0"/>
        <v>52</v>
      </c>
      <c r="B58" s="57"/>
      <c r="C58" s="137" t="str">
        <f>"Non-Capitalized Overhead portion of Electric Payroll Tax Expense (Line "&amp;A55&amp;" - Line "&amp;A57&amp;")"</f>
        <v>Non-Capitalized Overhead portion of Electric Payroll Tax Expense (Line 49 - Line 51)</v>
      </c>
      <c r="D58" s="57"/>
      <c r="E58" s="57"/>
      <c r="F58" s="136">
        <f>F55-F57</f>
        <v>89388255.557999998</v>
      </c>
      <c r="G58" s="67"/>
      <c r="H58" s="57"/>
    </row>
    <row r="59" spans="1:9" hidden="1"/>
    <row r="60" spans="1:9">
      <c r="B60" s="140" t="s">
        <v>186</v>
      </c>
    </row>
    <row r="61" spans="1:9">
      <c r="B61" s="141" t="s">
        <v>187</v>
      </c>
    </row>
    <row r="62" spans="1:9">
      <c r="B62" s="141" t="s">
        <v>188</v>
      </c>
    </row>
    <row r="63" spans="1:9">
      <c r="B63" s="67" t="s">
        <v>189</v>
      </c>
    </row>
    <row r="64" spans="1:9">
      <c r="B64" s="142" t="s">
        <v>190</v>
      </c>
    </row>
    <row r="65" spans="2:6">
      <c r="B65" s="142"/>
      <c r="C65" s="137" t="s">
        <v>191</v>
      </c>
      <c r="D65" s="57"/>
    </row>
    <row r="66" spans="2:6">
      <c r="B66" s="142"/>
      <c r="C66" s="137"/>
      <c r="D66" s="57"/>
    </row>
    <row r="67" spans="2:6">
      <c r="B67" s="142"/>
      <c r="C67" s="143" t="s">
        <v>192</v>
      </c>
      <c r="D67" s="143" t="s">
        <v>193</v>
      </c>
    </row>
    <row r="68" spans="2:6">
      <c r="B68" s="144"/>
      <c r="C68" s="145" t="s">
        <v>194</v>
      </c>
      <c r="D68" s="145" t="s">
        <v>195</v>
      </c>
      <c r="E68" s="146" t="s">
        <v>196</v>
      </c>
      <c r="F68" s="57"/>
    </row>
    <row r="69" spans="2:6">
      <c r="B69" s="147" t="s">
        <v>197</v>
      </c>
      <c r="C69" s="148">
        <v>0.35</v>
      </c>
      <c r="D69" s="114">
        <v>365</v>
      </c>
      <c r="E69" s="137" t="s">
        <v>198</v>
      </c>
      <c r="F69" s="57"/>
    </row>
    <row r="70" spans="2:6">
      <c r="B70" s="147" t="s">
        <v>199</v>
      </c>
      <c r="C70" s="149"/>
      <c r="D70" s="114"/>
      <c r="E70" s="137" t="s">
        <v>200</v>
      </c>
      <c r="F70" s="57"/>
    </row>
    <row r="71" spans="2:6">
      <c r="B71" s="147" t="s">
        <v>201</v>
      </c>
      <c r="C71" s="150" t="s">
        <v>202</v>
      </c>
      <c r="D71" s="151">
        <f>((C69*D69)+(C70*D70))/365</f>
        <v>0.35</v>
      </c>
      <c r="E71" s="152" t="s">
        <v>203</v>
      </c>
      <c r="F71" s="57"/>
    </row>
    <row r="72" spans="2:6">
      <c r="B72" s="142" t="s">
        <v>204</v>
      </c>
      <c r="C72" s="57"/>
      <c r="D72" s="114" t="s">
        <v>205</v>
      </c>
      <c r="E72" s="114"/>
      <c r="F72" s="57"/>
    </row>
    <row r="73" spans="2:6">
      <c r="B73" s="142" t="s">
        <v>206</v>
      </c>
      <c r="C73" s="57"/>
      <c r="D73" s="57"/>
      <c r="E73" s="57"/>
      <c r="F73" s="57"/>
    </row>
    <row r="74" spans="2:6">
      <c r="B74" s="153" t="s">
        <v>207</v>
      </c>
      <c r="C74" s="57"/>
      <c r="D74" s="114" t="s">
        <v>403</v>
      </c>
      <c r="E74" s="114"/>
      <c r="F74" s="57"/>
    </row>
    <row r="75" spans="2:6">
      <c r="B75" s="153" t="s">
        <v>208</v>
      </c>
      <c r="C75" s="57"/>
      <c r="D75" s="149" t="s">
        <v>374</v>
      </c>
      <c r="E75" s="114"/>
      <c r="F75" s="57"/>
    </row>
    <row r="76" spans="2:6">
      <c r="B76" s="153" t="s">
        <v>392</v>
      </c>
      <c r="C76" s="57"/>
      <c r="D76" s="149" t="s">
        <v>402</v>
      </c>
      <c r="E76" s="114"/>
      <c r="F76" s="57"/>
    </row>
    <row r="77" spans="2:6">
      <c r="B77" s="153" t="s">
        <v>393</v>
      </c>
      <c r="C77" s="57"/>
      <c r="D77" s="149" t="s">
        <v>404</v>
      </c>
      <c r="E77" s="114"/>
      <c r="F77" s="57"/>
    </row>
    <row r="78" spans="2:6" hidden="1">
      <c r="B78" s="137" t="s">
        <v>209</v>
      </c>
      <c r="C78" s="57"/>
      <c r="D78" s="57"/>
      <c r="E78" s="149" t="s">
        <v>210</v>
      </c>
    </row>
    <row r="79" spans="2:6" hidden="1">
      <c r="B79" s="118" t="s">
        <v>211</v>
      </c>
      <c r="C79" s="57"/>
      <c r="D79" s="57"/>
      <c r="E79" s="154" t="s">
        <v>212</v>
      </c>
    </row>
  </sheetData>
  <pageMargins left="0.75" right="0.75" top="1" bottom="1" header="0.5" footer="0.5"/>
  <pageSetup scale="75" orientation="portrait" cellComments="asDisplayed" r:id="rId1"/>
  <headerFooter alignWithMargins="0">
    <oddHeader>&amp;CSchedule 26
Tax Rates
&amp;RTO12 Annual Update
Attachment 4
WP Schedule 26
Page &amp;P of &amp;N</oddHeader>
    <oddFooter>&amp;R&amp;A</oddFooter>
  </headerFooter>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Normal="100" zoomScaleSheetLayoutView="100" workbookViewId="0">
      <selection sqref="A1:G1"/>
    </sheetView>
  </sheetViews>
  <sheetFormatPr defaultColWidth="8.85546875" defaultRowHeight="12"/>
  <cols>
    <col min="1" max="1" width="31.7109375" style="9" customWidth="1"/>
    <col min="2" max="2" width="14.140625" style="9" bestFit="1" customWidth="1"/>
    <col min="3" max="3" width="12.7109375" style="9" customWidth="1"/>
    <col min="4" max="5" width="13.28515625" style="9" customWidth="1"/>
    <col min="6" max="7" width="12.7109375" style="9" customWidth="1"/>
    <col min="8" max="8" width="4.7109375" style="9" customWidth="1"/>
    <col min="9" max="16384" width="8.85546875" style="9"/>
  </cols>
  <sheetData>
    <row r="1" spans="1:10" ht="12.75">
      <c r="A1" s="302" t="s">
        <v>17</v>
      </c>
      <c r="B1" s="302"/>
      <c r="C1" s="302"/>
      <c r="D1" s="302"/>
      <c r="E1" s="302"/>
      <c r="F1" s="302"/>
      <c r="G1" s="302"/>
    </row>
    <row r="2" spans="1:10" ht="12.75">
      <c r="A2" s="302" t="s">
        <v>18</v>
      </c>
      <c r="B2" s="302"/>
      <c r="C2" s="302"/>
      <c r="D2" s="302"/>
      <c r="E2" s="302"/>
      <c r="F2" s="302"/>
      <c r="G2" s="302"/>
    </row>
    <row r="3" spans="1:10" ht="12.75">
      <c r="A3" s="307" t="s">
        <v>375</v>
      </c>
      <c r="B3" s="308"/>
      <c r="C3" s="308"/>
      <c r="D3" s="308"/>
      <c r="E3" s="308"/>
      <c r="F3" s="308"/>
      <c r="G3" s="308"/>
      <c r="H3" s="308"/>
    </row>
    <row r="4" spans="1:10" ht="12.75">
      <c r="A4" s="8"/>
    </row>
    <row r="5" spans="1:10" ht="12.75">
      <c r="A5" s="8"/>
    </row>
    <row r="6" spans="1:10">
      <c r="A6" s="10" t="s">
        <v>19</v>
      </c>
    </row>
    <row r="7" spans="1:10">
      <c r="B7" s="59" t="s">
        <v>107</v>
      </c>
      <c r="C7" s="59" t="s">
        <v>108</v>
      </c>
      <c r="E7" s="59" t="s">
        <v>109</v>
      </c>
      <c r="F7" s="59" t="s">
        <v>110</v>
      </c>
      <c r="G7" s="59" t="s">
        <v>111</v>
      </c>
    </row>
    <row r="8" spans="1:10">
      <c r="B8" s="11"/>
      <c r="C8" s="11"/>
      <c r="E8" s="12"/>
      <c r="F8" s="12"/>
      <c r="G8" s="34">
        <v>2016</v>
      </c>
    </row>
    <row r="9" spans="1:10">
      <c r="B9" s="12" t="s">
        <v>20</v>
      </c>
      <c r="C9" s="12" t="s">
        <v>0</v>
      </c>
      <c r="E9" s="12" t="s">
        <v>21</v>
      </c>
      <c r="F9" s="12" t="s">
        <v>22</v>
      </c>
      <c r="G9" s="12" t="s">
        <v>23</v>
      </c>
    </row>
    <row r="10" spans="1:10">
      <c r="A10" s="13" t="s">
        <v>24</v>
      </c>
      <c r="B10" s="13" t="s">
        <v>25</v>
      </c>
      <c r="C10" s="13" t="s">
        <v>6</v>
      </c>
      <c r="E10" s="13" t="s">
        <v>26</v>
      </c>
      <c r="F10" s="13" t="s">
        <v>25</v>
      </c>
      <c r="G10" s="13" t="s">
        <v>27</v>
      </c>
    </row>
    <row r="11" spans="1:10">
      <c r="B11" s="14"/>
      <c r="C11" s="14"/>
    </row>
    <row r="12" spans="1:10">
      <c r="A12" s="9" t="s">
        <v>7</v>
      </c>
      <c r="B12" s="294">
        <v>8.8400000000000006E-2</v>
      </c>
      <c r="C12" s="16">
        <f>+Apportionment!G57</f>
        <v>1</v>
      </c>
      <c r="D12" s="9" t="s">
        <v>113</v>
      </c>
      <c r="E12" s="17">
        <f>D26</f>
        <v>1</v>
      </c>
      <c r="F12" s="18">
        <f>ROUND(B12*C12*E12,6)</f>
        <v>8.8400000000000006E-2</v>
      </c>
      <c r="G12" s="17">
        <f>F12</f>
        <v>8.8400000000000006E-2</v>
      </c>
    </row>
    <row r="13" spans="1:10">
      <c r="A13" s="9" t="s">
        <v>37</v>
      </c>
      <c r="B13" s="294">
        <v>9.4E-2</v>
      </c>
      <c r="C13" s="16">
        <f>+Apportionment!G60</f>
        <v>0</v>
      </c>
      <c r="D13" s="9" t="s">
        <v>114</v>
      </c>
      <c r="E13" s="17">
        <f>D38</f>
        <v>0.90788524465875209</v>
      </c>
      <c r="F13" s="18">
        <f>ROUND(B13*C13*E13,6)</f>
        <v>0</v>
      </c>
      <c r="G13" s="17">
        <f>F13</f>
        <v>0</v>
      </c>
    </row>
    <row r="14" spans="1:10">
      <c r="A14" s="9" t="s">
        <v>9</v>
      </c>
      <c r="B14" s="299">
        <v>5.5E-2</v>
      </c>
      <c r="C14" s="16">
        <f>+Apportionment!G59</f>
        <v>0</v>
      </c>
      <c r="D14" s="9" t="s">
        <v>115</v>
      </c>
      <c r="E14" s="24">
        <f>D30</f>
        <v>0.90788524465875209</v>
      </c>
      <c r="F14" s="300">
        <f>ROUND(B14*C14*E14,6)</f>
        <v>0</v>
      </c>
      <c r="G14" s="24">
        <f>F14</f>
        <v>0</v>
      </c>
    </row>
    <row r="15" spans="1:10">
      <c r="A15" s="9" t="s">
        <v>8</v>
      </c>
      <c r="B15" s="295">
        <v>6.6000000000000003E-2</v>
      </c>
      <c r="C15" s="19">
        <f>+Apportionment!G58</f>
        <v>0</v>
      </c>
      <c r="D15" s="9" t="s">
        <v>116</v>
      </c>
      <c r="E15" s="20">
        <f>D34</f>
        <v>0</v>
      </c>
      <c r="F15" s="21">
        <f>ROUND(B15*C15*E15,6)</f>
        <v>0</v>
      </c>
      <c r="G15" s="20">
        <f>F15</f>
        <v>0</v>
      </c>
      <c r="J15" s="22"/>
    </row>
    <row r="16" spans="1:10">
      <c r="A16" s="9" t="s">
        <v>28</v>
      </c>
      <c r="B16" s="23"/>
      <c r="C16" s="14"/>
      <c r="F16" s="17">
        <f>SUM(F12:F15)</f>
        <v>8.8400000000000006E-2</v>
      </c>
      <c r="G16" s="88">
        <f>F16</f>
        <v>8.8400000000000006E-2</v>
      </c>
    </row>
    <row r="17" spans="1:7">
      <c r="A17" s="9" t="s">
        <v>29</v>
      </c>
      <c r="B17" s="15"/>
      <c r="C17" s="14"/>
      <c r="F17" s="24"/>
      <c r="G17" s="20">
        <v>0.35</v>
      </c>
    </row>
    <row r="18" spans="1:7">
      <c r="A18" s="9" t="s">
        <v>140</v>
      </c>
      <c r="G18" s="20">
        <f>-ROUND(G16*G17,6)</f>
        <v>-3.0939999999999999E-2</v>
      </c>
    </row>
    <row r="20" spans="1:7" ht="12.75" thickBot="1">
      <c r="A20" s="9" t="s">
        <v>391</v>
      </c>
      <c r="G20" s="25">
        <f>G16+G17+G18</f>
        <v>0.40745999999999999</v>
      </c>
    </row>
    <row r="21" spans="1:7" ht="12.75" thickTop="1">
      <c r="G21" s="9" t="s">
        <v>30</v>
      </c>
    </row>
    <row r="22" spans="1:7" ht="12.75" thickBot="1">
      <c r="G22" s="87">
        <f>ROUND(G20,5)</f>
        <v>0.40745999999999999</v>
      </c>
    </row>
    <row r="23" spans="1:7" ht="12.75" thickTop="1"/>
    <row r="25" spans="1:7">
      <c r="B25" s="14"/>
    </row>
    <row r="26" spans="1:7">
      <c r="A26" s="9" t="s">
        <v>154</v>
      </c>
      <c r="B26" s="26">
        <f>+'II - IV  Apportionment Detail'!E43</f>
        <v>1285175177</v>
      </c>
      <c r="C26" s="303" t="s">
        <v>32</v>
      </c>
      <c r="D26" s="305">
        <f>B26/B27</f>
        <v>1</v>
      </c>
      <c r="E26" s="301" t="s">
        <v>117</v>
      </c>
    </row>
    <row r="27" spans="1:7">
      <c r="A27" s="9" t="s">
        <v>154</v>
      </c>
      <c r="B27" s="61">
        <f>+'II - IV  Apportionment Detail'!$E$43</f>
        <v>1285175177</v>
      </c>
      <c r="C27" s="304"/>
      <c r="D27" s="306"/>
      <c r="E27" s="301"/>
    </row>
    <row r="28" spans="1:7">
      <c r="B28" s="26"/>
    </row>
    <row r="29" spans="1:7">
      <c r="B29" s="26"/>
    </row>
    <row r="30" spans="1:7">
      <c r="A30" s="9" t="s">
        <v>33</v>
      </c>
      <c r="B30" s="89">
        <f>+'II - IV  Apportionment Detail'!E6</f>
        <v>1166791580</v>
      </c>
      <c r="C30" s="303" t="s">
        <v>32</v>
      </c>
      <c r="D30" s="305">
        <f>B30/B31</f>
        <v>0.90788524465875209</v>
      </c>
      <c r="E30" s="301" t="s">
        <v>118</v>
      </c>
    </row>
    <row r="31" spans="1:7" ht="11.45" customHeight="1">
      <c r="A31" s="9" t="s">
        <v>31</v>
      </c>
      <c r="B31" s="83">
        <f>+'II - IV  Apportionment Detail'!$E$43</f>
        <v>1285175177</v>
      </c>
      <c r="C31" s="304"/>
      <c r="D31" s="306"/>
      <c r="E31" s="301"/>
    </row>
    <row r="32" spans="1:7">
      <c r="B32" s="26"/>
    </row>
    <row r="33" spans="1:7">
      <c r="B33" s="26"/>
    </row>
    <row r="34" spans="1:7">
      <c r="A34" s="9" t="s">
        <v>34</v>
      </c>
      <c r="B34" s="89">
        <f>+'II - IV  Apportionment Detail'!E78</f>
        <v>0</v>
      </c>
      <c r="C34" s="303" t="s">
        <v>32</v>
      </c>
      <c r="D34" s="305">
        <f>B34/B35</f>
        <v>0</v>
      </c>
      <c r="E34" s="301" t="s">
        <v>119</v>
      </c>
    </row>
    <row r="35" spans="1:7" ht="11.45" customHeight="1">
      <c r="A35" s="9" t="s">
        <v>31</v>
      </c>
      <c r="B35" s="83">
        <f>+'II - IV  Apportionment Detail'!$E$43</f>
        <v>1285175177</v>
      </c>
      <c r="C35" s="304"/>
      <c r="D35" s="306"/>
      <c r="E35" s="301"/>
    </row>
    <row r="36" spans="1:7">
      <c r="B36" s="27"/>
    </row>
    <row r="37" spans="1:7">
      <c r="B37" s="27"/>
    </row>
    <row r="38" spans="1:7">
      <c r="A38" s="9" t="s">
        <v>38</v>
      </c>
      <c r="B38" s="89">
        <f>+'II - IV  Apportionment Detail'!E101</f>
        <v>1166791580</v>
      </c>
      <c r="C38" s="303" t="s">
        <v>32</v>
      </c>
      <c r="D38" s="305">
        <f>B38/B39</f>
        <v>0.90788524465875209</v>
      </c>
      <c r="E38" s="301" t="s">
        <v>120</v>
      </c>
    </row>
    <row r="39" spans="1:7">
      <c r="A39" s="9" t="s">
        <v>31</v>
      </c>
      <c r="B39" s="83">
        <f>+'II - IV  Apportionment Detail'!$E$43</f>
        <v>1285175177</v>
      </c>
      <c r="C39" s="304"/>
      <c r="D39" s="306"/>
      <c r="E39" s="301"/>
    </row>
    <row r="40" spans="1:7">
      <c r="B40" s="27"/>
    </row>
    <row r="41" spans="1:7">
      <c r="B41" s="27"/>
    </row>
    <row r="43" spans="1:7" hidden="1">
      <c r="A43" s="10" t="s">
        <v>35</v>
      </c>
    </row>
    <row r="44" spans="1:7" hidden="1"/>
    <row r="45" spans="1:7" ht="12.75" hidden="1">
      <c r="B45" s="28"/>
      <c r="C45" s="29"/>
      <c r="D45" s="28"/>
      <c r="E45" s="28"/>
      <c r="F45" s="30"/>
      <c r="G45" s="30"/>
    </row>
    <row r="46" spans="1:7" ht="12.75" hidden="1">
      <c r="B46" s="31">
        <v>2009</v>
      </c>
      <c r="C46" s="31">
        <f>B46+1</f>
        <v>2010</v>
      </c>
      <c r="D46" s="31">
        <f>C46+1</f>
        <v>2011</v>
      </c>
      <c r="E46" s="31">
        <f>D46+1</f>
        <v>2012</v>
      </c>
      <c r="F46" s="31">
        <f>E46+1</f>
        <v>2013</v>
      </c>
      <c r="G46" s="31">
        <f>F46+1</f>
        <v>2014</v>
      </c>
    </row>
    <row r="47" spans="1:7" hidden="1">
      <c r="A47" s="9" t="s">
        <v>36</v>
      </c>
      <c r="B47" s="32">
        <v>0.2</v>
      </c>
      <c r="C47" s="32">
        <v>0.2</v>
      </c>
      <c r="D47" s="32">
        <v>0.2</v>
      </c>
      <c r="E47" s="33">
        <v>0.2</v>
      </c>
      <c r="F47" s="33">
        <v>0.2</v>
      </c>
      <c r="G47" s="33">
        <v>0.2</v>
      </c>
    </row>
  </sheetData>
  <mergeCells count="15">
    <mergeCell ref="E38:E39"/>
    <mergeCell ref="E34:E35"/>
    <mergeCell ref="E30:E31"/>
    <mergeCell ref="E26:E27"/>
    <mergeCell ref="A1:G1"/>
    <mergeCell ref="A2:G2"/>
    <mergeCell ref="C34:C35"/>
    <mergeCell ref="D34:D35"/>
    <mergeCell ref="C38:C39"/>
    <mergeCell ref="D38:D39"/>
    <mergeCell ref="C26:C27"/>
    <mergeCell ref="D26:D27"/>
    <mergeCell ref="C30:C31"/>
    <mergeCell ref="D30:D31"/>
    <mergeCell ref="A3:H3"/>
  </mergeCells>
  <phoneticPr fontId="9" type="noConversion"/>
  <pageMargins left="0.5" right="0.5" top="0.88200000000000001" bottom="0.5" header="0.5" footer="0.25"/>
  <pageSetup scale="84" orientation="portrait" r:id="rId1"/>
  <headerFooter alignWithMargins="0">
    <oddHeader>&amp;RTO12 Annual Update
Attachment 4
WP Schedule 26
Page &amp;P of &amp;N</oddHead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zoomScaleNormal="100" workbookViewId="0">
      <selection sqref="A1:G1"/>
    </sheetView>
  </sheetViews>
  <sheetFormatPr defaultColWidth="9.140625" defaultRowHeight="12.75"/>
  <cols>
    <col min="1" max="1" width="24.5703125" style="2" customWidth="1"/>
    <col min="2" max="3" width="14.85546875" style="1" customWidth="1"/>
    <col min="4" max="4" width="1.7109375" style="1" customWidth="1"/>
    <col min="5" max="5" width="17.7109375" style="1" bestFit="1" customWidth="1"/>
    <col min="6" max="7" width="14.85546875" style="1" customWidth="1"/>
    <col min="8" max="8" width="14.85546875" style="2" customWidth="1"/>
    <col min="9" max="9" width="9.140625" style="2"/>
    <col min="10" max="10" width="10" style="2" bestFit="1" customWidth="1"/>
    <col min="11" max="11" width="19.28515625" style="2" bestFit="1" customWidth="1"/>
    <col min="12" max="16384" width="9.140625" style="2"/>
  </cols>
  <sheetData>
    <row r="1" spans="1:9">
      <c r="A1" s="302" t="s">
        <v>17</v>
      </c>
      <c r="B1" s="302"/>
      <c r="C1" s="302"/>
      <c r="D1" s="302"/>
      <c r="E1" s="302"/>
      <c r="F1" s="302"/>
      <c r="G1" s="302"/>
      <c r="H1" s="62"/>
      <c r="I1" s="62"/>
    </row>
    <row r="2" spans="1:9">
      <c r="A2" s="302" t="s">
        <v>385</v>
      </c>
      <c r="B2" s="302"/>
      <c r="C2" s="302"/>
      <c r="D2" s="302"/>
      <c r="E2" s="302"/>
      <c r="F2" s="302"/>
      <c r="G2" s="302"/>
      <c r="H2" s="62"/>
      <c r="I2" s="62"/>
    </row>
    <row r="6" spans="1:9">
      <c r="A6" s="310" t="s">
        <v>68</v>
      </c>
      <c r="B6" s="310"/>
      <c r="C6" s="310"/>
      <c r="D6" s="310"/>
      <c r="E6" s="310"/>
      <c r="F6" s="310"/>
      <c r="G6" s="310"/>
    </row>
    <row r="7" spans="1:9">
      <c r="B7" s="309" t="s">
        <v>7</v>
      </c>
      <c r="C7" s="309"/>
      <c r="D7" s="108"/>
      <c r="E7" s="309" t="s">
        <v>142</v>
      </c>
      <c r="F7" s="309"/>
      <c r="G7" s="309"/>
    </row>
    <row r="8" spans="1:9">
      <c r="C8" s="3" t="s">
        <v>1</v>
      </c>
      <c r="D8" s="109"/>
      <c r="F8" s="104"/>
      <c r="G8" s="106" t="s">
        <v>1</v>
      </c>
    </row>
    <row r="9" spans="1:9">
      <c r="B9" s="3" t="s">
        <v>2</v>
      </c>
      <c r="C9" s="3" t="s">
        <v>4</v>
      </c>
      <c r="D9" s="109"/>
      <c r="E9" s="3"/>
      <c r="F9" s="3" t="s">
        <v>2</v>
      </c>
      <c r="G9" s="105" t="s">
        <v>4</v>
      </c>
    </row>
    <row r="10" spans="1:9">
      <c r="B10" s="73" t="s">
        <v>386</v>
      </c>
      <c r="C10" s="4" t="s">
        <v>6</v>
      </c>
      <c r="D10" s="109"/>
      <c r="E10" s="230" t="s">
        <v>364</v>
      </c>
      <c r="F10" s="73" t="str">
        <f>B10</f>
        <v>2015 TR</v>
      </c>
      <c r="G10" s="107" t="s">
        <v>6</v>
      </c>
    </row>
    <row r="11" spans="1:9">
      <c r="C11" s="5"/>
      <c r="D11" s="110"/>
    </row>
    <row r="12" spans="1:9">
      <c r="A12" s="2" t="s">
        <v>7</v>
      </c>
      <c r="B12" s="1">
        <f>+'II - IV  Apportionment Detail'!E69</f>
        <v>1777942229.0500031</v>
      </c>
      <c r="C12" s="5">
        <f>B12/B$19</f>
        <v>1</v>
      </c>
      <c r="D12" s="110"/>
      <c r="E12" s="1">
        <f>SUM('A1 Summary 2015 Appt (9-7-16)'!G89:G90)</f>
        <v>11628551774.929996</v>
      </c>
      <c r="F12" s="1">
        <f>+B12+E12</f>
        <v>13406494003.98</v>
      </c>
      <c r="G12" s="5">
        <f>ROUND(B12/$B$19,6)</f>
        <v>1</v>
      </c>
    </row>
    <row r="13" spans="1:9">
      <c r="A13" s="2" t="s">
        <v>8</v>
      </c>
      <c r="B13" s="1">
        <f>+'II - IV  Apportionment Detail'!E94</f>
        <v>0</v>
      </c>
      <c r="C13" s="5">
        <f t="shared" ref="C13:C17" si="0">B13/B$19</f>
        <v>0</v>
      </c>
      <c r="D13" s="110"/>
      <c r="E13" s="1">
        <f>-B13</f>
        <v>0</v>
      </c>
      <c r="F13" s="1">
        <f t="shared" ref="F13:F17" si="1">+B13+E13</f>
        <v>0</v>
      </c>
      <c r="G13" s="5">
        <f t="shared" ref="G13:G17" si="2">ROUND(F13/$F$19,6)</f>
        <v>0</v>
      </c>
    </row>
    <row r="14" spans="1:9">
      <c r="A14" s="2" t="s">
        <v>9</v>
      </c>
      <c r="B14" s="1">
        <f>+'II - IV  Apportionment Detail'!E32</f>
        <v>0</v>
      </c>
      <c r="C14" s="5">
        <f t="shared" si="0"/>
        <v>0</v>
      </c>
      <c r="D14" s="110"/>
      <c r="E14" s="1">
        <f>-B14</f>
        <v>0</v>
      </c>
      <c r="F14" s="1">
        <f t="shared" si="1"/>
        <v>0</v>
      </c>
      <c r="G14" s="5">
        <f>ROUND(F14/$F$19,6)</f>
        <v>0</v>
      </c>
    </row>
    <row r="15" spans="1:9">
      <c r="A15" s="2" t="s">
        <v>373</v>
      </c>
      <c r="B15" s="1">
        <f>+'II - IV  Apportionment Detail'!E116</f>
        <v>0</v>
      </c>
      <c r="C15" s="5">
        <f t="shared" si="0"/>
        <v>0</v>
      </c>
      <c r="D15" s="110"/>
      <c r="E15" s="1">
        <v>0</v>
      </c>
      <c r="F15" s="1">
        <f t="shared" si="1"/>
        <v>0</v>
      </c>
      <c r="G15" s="5">
        <f t="shared" si="2"/>
        <v>0</v>
      </c>
    </row>
    <row r="16" spans="1:9">
      <c r="A16" s="2" t="s">
        <v>11</v>
      </c>
      <c r="B16" s="1">
        <v>0</v>
      </c>
      <c r="C16" s="5">
        <f t="shared" si="0"/>
        <v>0</v>
      </c>
      <c r="D16" s="110"/>
      <c r="E16" s="1">
        <v>0</v>
      </c>
      <c r="F16" s="1">
        <f t="shared" si="1"/>
        <v>0</v>
      </c>
      <c r="G16" s="5">
        <f t="shared" si="2"/>
        <v>0</v>
      </c>
    </row>
    <row r="17" spans="1:11">
      <c r="A17" s="67" t="s">
        <v>316</v>
      </c>
      <c r="B17" s="1">
        <v>0</v>
      </c>
      <c r="C17" s="5">
        <f t="shared" si="0"/>
        <v>0</v>
      </c>
      <c r="D17" s="110"/>
      <c r="E17" s="1">
        <v>0</v>
      </c>
      <c r="F17" s="1">
        <f t="shared" si="1"/>
        <v>0</v>
      </c>
      <c r="G17" s="5">
        <f t="shared" si="2"/>
        <v>0</v>
      </c>
    </row>
    <row r="18" spans="1:11">
      <c r="C18" s="5"/>
      <c r="D18" s="110"/>
    </row>
    <row r="19" spans="1:11" ht="13.5" thickBot="1">
      <c r="A19" s="67" t="s">
        <v>141</v>
      </c>
      <c r="B19" s="78">
        <f>SUM(B11:B18)</f>
        <v>1777942229.0500031</v>
      </c>
      <c r="C19" s="7">
        <f>SUM(C11:C18)</f>
        <v>1</v>
      </c>
      <c r="D19" s="110"/>
      <c r="E19" s="6">
        <f>SUM(E11:E18)</f>
        <v>11628551774.929996</v>
      </c>
      <c r="F19" s="6">
        <f>SUM(F11:F18)</f>
        <v>13406494003.98</v>
      </c>
      <c r="G19" s="7">
        <f>SUM(G11:G18)</f>
        <v>1</v>
      </c>
    </row>
    <row r="20" spans="1:11" ht="13.5" thickTop="1">
      <c r="A20" s="67"/>
      <c r="D20" s="111"/>
      <c r="F20" s="239" t="s">
        <v>318</v>
      </c>
      <c r="G20" s="2"/>
    </row>
    <row r="21" spans="1:11">
      <c r="A21" s="67" t="s">
        <v>388</v>
      </c>
      <c r="D21" s="111"/>
      <c r="G21" s="269">
        <v>0.95</v>
      </c>
    </row>
    <row r="22" spans="1:11">
      <c r="D22" s="111"/>
    </row>
    <row r="23" spans="1:11">
      <c r="A23" s="310" t="s">
        <v>63</v>
      </c>
      <c r="B23" s="310"/>
      <c r="C23" s="310"/>
      <c r="D23" s="310"/>
      <c r="E23" s="310"/>
      <c r="F23" s="310"/>
      <c r="G23" s="310"/>
    </row>
    <row r="24" spans="1:11">
      <c r="B24" s="309" t="s">
        <v>7</v>
      </c>
      <c r="C24" s="309"/>
      <c r="D24" s="108"/>
      <c r="E24" s="309" t="s">
        <v>142</v>
      </c>
      <c r="F24" s="309"/>
      <c r="G24" s="309"/>
    </row>
    <row r="25" spans="1:11">
      <c r="B25" s="3" t="s">
        <v>14</v>
      </c>
      <c r="C25" s="3" t="s">
        <v>14</v>
      </c>
      <c r="D25" s="109"/>
      <c r="E25" s="3"/>
      <c r="F25" s="3" t="s">
        <v>3</v>
      </c>
      <c r="G25" s="3" t="s">
        <v>14</v>
      </c>
    </row>
    <row r="26" spans="1:11">
      <c r="B26" s="4" t="str">
        <f>B$10</f>
        <v>2015 TR</v>
      </c>
      <c r="C26" s="4" t="s">
        <v>6</v>
      </c>
      <c r="D26" s="109"/>
      <c r="E26" s="73" t="s">
        <v>310</v>
      </c>
      <c r="F26" s="4" t="s">
        <v>14</v>
      </c>
      <c r="G26" s="4" t="s">
        <v>6</v>
      </c>
    </row>
    <row r="27" spans="1:11">
      <c r="C27" s="5"/>
      <c r="D27" s="110"/>
      <c r="G27" s="2"/>
    </row>
    <row r="28" spans="1:11">
      <c r="A28" s="67" t="s">
        <v>7</v>
      </c>
      <c r="B28" s="80">
        <v>0</v>
      </c>
      <c r="C28" s="5">
        <v>0</v>
      </c>
      <c r="D28" s="110"/>
      <c r="E28" s="1">
        <f>'A1 Summary 2015 Appt (9-7-16)'!K73</f>
        <v>1787753847.5699999</v>
      </c>
      <c r="F28" s="1">
        <f>SUM(B28:E28)</f>
        <v>1787753847.5699999</v>
      </c>
      <c r="G28" s="5">
        <f>ROUND(F28/$F$35,6)</f>
        <v>0.998336</v>
      </c>
    </row>
    <row r="29" spans="1:11">
      <c r="A29" s="2" t="s">
        <v>8</v>
      </c>
      <c r="B29" s="80">
        <v>0</v>
      </c>
      <c r="C29" s="5">
        <v>0</v>
      </c>
      <c r="D29" s="110"/>
      <c r="E29" s="1">
        <v>0</v>
      </c>
      <c r="F29" s="1">
        <f t="shared" ref="F29:F33" si="3">SUM(B29:E29)</f>
        <v>0</v>
      </c>
      <c r="G29" s="5">
        <f t="shared" ref="G29:G33" si="4">ROUND(F29/$F$35,6)</f>
        <v>0</v>
      </c>
      <c r="I29" s="1"/>
    </row>
    <row r="30" spans="1:11">
      <c r="A30" s="2" t="s">
        <v>9</v>
      </c>
      <c r="B30" s="80">
        <v>0</v>
      </c>
      <c r="C30" s="5">
        <v>0</v>
      </c>
      <c r="D30" s="110"/>
      <c r="E30" s="1">
        <v>0</v>
      </c>
      <c r="F30" s="1">
        <f t="shared" si="3"/>
        <v>0</v>
      </c>
      <c r="G30" s="5">
        <f t="shared" si="4"/>
        <v>0</v>
      </c>
    </row>
    <row r="31" spans="1:11">
      <c r="A31" s="2" t="s">
        <v>373</v>
      </c>
      <c r="B31" s="80">
        <v>0</v>
      </c>
      <c r="C31" s="5">
        <v>0</v>
      </c>
      <c r="D31" s="110"/>
      <c r="E31" s="1">
        <v>0</v>
      </c>
      <c r="F31" s="1">
        <f t="shared" si="3"/>
        <v>0</v>
      </c>
      <c r="G31" s="5">
        <f t="shared" si="4"/>
        <v>0</v>
      </c>
      <c r="K31" s="79"/>
    </row>
    <row r="32" spans="1:11">
      <c r="A32" s="2" t="s">
        <v>11</v>
      </c>
      <c r="B32" s="80">
        <v>0</v>
      </c>
      <c r="C32" s="5">
        <v>0</v>
      </c>
      <c r="D32" s="110"/>
      <c r="E32" s="1">
        <f>'A1 Summary 2015 Appt (9-7-16)'!S73</f>
        <v>2666308</v>
      </c>
      <c r="F32" s="1">
        <f t="shared" si="3"/>
        <v>2666308</v>
      </c>
      <c r="G32" s="5">
        <f t="shared" si="4"/>
        <v>1.4890000000000001E-3</v>
      </c>
      <c r="K32" s="79"/>
    </row>
    <row r="33" spans="1:11">
      <c r="A33" s="2" t="s">
        <v>12</v>
      </c>
      <c r="B33" s="80">
        <v>0</v>
      </c>
      <c r="C33" s="5">
        <v>0</v>
      </c>
      <c r="D33" s="110"/>
      <c r="E33" s="80">
        <f>'A1 Summary 2015 Appt (9-7-16)'!AA73</f>
        <v>313753</v>
      </c>
      <c r="F33" s="1">
        <f t="shared" si="3"/>
        <v>313753</v>
      </c>
      <c r="G33" s="5">
        <f t="shared" si="4"/>
        <v>1.75E-4</v>
      </c>
      <c r="K33" s="79"/>
    </row>
    <row r="34" spans="1:11">
      <c r="C34" s="5"/>
      <c r="D34" s="110"/>
      <c r="G34" s="2"/>
      <c r="K34" s="79"/>
    </row>
    <row r="35" spans="1:11" ht="13.5" thickBot="1">
      <c r="A35" s="2" t="s">
        <v>13</v>
      </c>
      <c r="B35" s="78">
        <f>SUM(B27:B34)</f>
        <v>0</v>
      </c>
      <c r="C35" s="7">
        <f>SUM(C27:C34)</f>
        <v>0</v>
      </c>
      <c r="D35" s="110"/>
      <c r="E35" s="6">
        <f>SUM(E27:E34)</f>
        <v>1790733908.5699999</v>
      </c>
      <c r="F35" s="6">
        <f>SUM(F27:F34)</f>
        <v>1790733908.5699999</v>
      </c>
      <c r="G35" s="7">
        <f>SUM(G27:G34)</f>
        <v>1</v>
      </c>
      <c r="K35" s="79"/>
    </row>
    <row r="36" spans="1:11" ht="13.5" thickTop="1">
      <c r="D36" s="111"/>
      <c r="F36" s="239" t="s">
        <v>318</v>
      </c>
      <c r="G36" s="2"/>
      <c r="K36" s="79"/>
    </row>
    <row r="37" spans="1:11">
      <c r="A37" s="67" t="s">
        <v>366</v>
      </c>
      <c r="D37" s="111"/>
      <c r="G37" s="269">
        <v>2.5000000000000001E-2</v>
      </c>
      <c r="K37" s="79"/>
    </row>
    <row r="38" spans="1:11">
      <c r="D38" s="111"/>
      <c r="G38" s="2"/>
      <c r="K38" s="79"/>
    </row>
    <row r="39" spans="1:11">
      <c r="A39" s="310" t="s">
        <v>62</v>
      </c>
      <c r="B39" s="310"/>
      <c r="C39" s="310"/>
      <c r="D39" s="310"/>
      <c r="E39" s="310"/>
      <c r="F39" s="310"/>
      <c r="G39" s="310"/>
      <c r="K39" s="79"/>
    </row>
    <row r="40" spans="1:11">
      <c r="B40" s="309" t="s">
        <v>7</v>
      </c>
      <c r="C40" s="309"/>
      <c r="D40" s="108"/>
      <c r="E40" s="309" t="s">
        <v>142</v>
      </c>
      <c r="F40" s="309"/>
      <c r="G40" s="309"/>
    </row>
    <row r="41" spans="1:11">
      <c r="B41" s="3" t="s">
        <v>15</v>
      </c>
      <c r="C41" s="3" t="s">
        <v>15</v>
      </c>
      <c r="D41" s="109"/>
      <c r="E41" s="3"/>
      <c r="F41" s="3" t="s">
        <v>3</v>
      </c>
      <c r="G41" s="105" t="s">
        <v>15</v>
      </c>
    </row>
    <row r="42" spans="1:11">
      <c r="B42" s="4" t="str">
        <f>B$10</f>
        <v>2015 TR</v>
      </c>
      <c r="C42" s="4" t="s">
        <v>6</v>
      </c>
      <c r="D42" s="109"/>
      <c r="E42" s="73" t="s">
        <v>317</v>
      </c>
      <c r="F42" s="4" t="s">
        <v>15</v>
      </c>
      <c r="G42" s="107" t="s">
        <v>6</v>
      </c>
    </row>
    <row r="43" spans="1:11">
      <c r="C43" s="5"/>
      <c r="D43" s="110"/>
      <c r="G43" s="2"/>
    </row>
    <row r="44" spans="1:11">
      <c r="A44" s="67" t="s">
        <v>7</v>
      </c>
      <c r="B44" s="80">
        <v>0</v>
      </c>
      <c r="C44" s="5">
        <v>0</v>
      </c>
      <c r="D44" s="110"/>
      <c r="E44" s="266">
        <f>'A1 Summary 2015 Appt (9-7-16)'!K42</f>
        <v>40759692131</v>
      </c>
      <c r="F44" s="1">
        <f>SUM(B44:E44)</f>
        <v>40759692131</v>
      </c>
      <c r="G44" s="5">
        <f>ROUND(F44/$F$51,6)</f>
        <v>0.94465600000000005</v>
      </c>
    </row>
    <row r="45" spans="1:11">
      <c r="A45" s="2" t="s">
        <v>8</v>
      </c>
      <c r="B45" s="80">
        <v>0</v>
      </c>
      <c r="C45" s="5">
        <v>0</v>
      </c>
      <c r="D45" s="110"/>
      <c r="E45" s="1">
        <v>0</v>
      </c>
      <c r="F45" s="1">
        <f t="shared" ref="F45:F49" si="5">SUM(B45:E45)</f>
        <v>0</v>
      </c>
      <c r="G45" s="5">
        <f t="shared" ref="G45:G49" si="6">ROUND(F45/$F$51,6)</f>
        <v>0</v>
      </c>
    </row>
    <row r="46" spans="1:11">
      <c r="A46" s="2" t="s">
        <v>394</v>
      </c>
      <c r="B46" s="80">
        <v>0</v>
      </c>
      <c r="C46" s="5">
        <v>0</v>
      </c>
      <c r="D46" s="110"/>
      <c r="E46" s="298">
        <f>'A1 Summary 2015 Appt (9-7-16)'!O42*0</f>
        <v>0</v>
      </c>
      <c r="F46" s="1">
        <f t="shared" si="5"/>
        <v>0</v>
      </c>
      <c r="G46" s="5">
        <f t="shared" si="6"/>
        <v>0</v>
      </c>
    </row>
    <row r="47" spans="1:11">
      <c r="A47" s="2" t="s">
        <v>373</v>
      </c>
      <c r="B47" s="80">
        <v>0</v>
      </c>
      <c r="C47" s="5">
        <v>0</v>
      </c>
      <c r="D47" s="110"/>
      <c r="E47" s="1">
        <f>'A1 Summary 2015 Appt (9-7-16)'!AA42*0</f>
        <v>0</v>
      </c>
      <c r="F47" s="1">
        <f t="shared" si="5"/>
        <v>0</v>
      </c>
      <c r="G47" s="5">
        <f t="shared" si="6"/>
        <v>0</v>
      </c>
    </row>
    <row r="48" spans="1:11">
      <c r="A48" s="2" t="s">
        <v>11</v>
      </c>
      <c r="B48" s="80">
        <v>0</v>
      </c>
      <c r="C48" s="5">
        <v>0</v>
      </c>
      <c r="D48" s="110"/>
      <c r="E48" s="1">
        <f>'A1 Summary 2015 Appt (9-7-16)'!S42</f>
        <v>194820069</v>
      </c>
      <c r="F48" s="1">
        <f t="shared" si="5"/>
        <v>194820069</v>
      </c>
      <c r="G48" s="5">
        <f t="shared" si="6"/>
        <v>4.5149999999999999E-3</v>
      </c>
    </row>
    <row r="49" spans="1:8">
      <c r="A49" s="2" t="s">
        <v>12</v>
      </c>
      <c r="B49" s="80">
        <v>0</v>
      </c>
      <c r="C49" s="5">
        <v>0</v>
      </c>
      <c r="D49" s="110"/>
      <c r="E49" s="266">
        <f>+'A1 Summary 2015 Appt (9-7-16)'!O42+'A1 Summary 2015 Appt (9-7-16)'!AA42</f>
        <v>2193149736.2399998</v>
      </c>
      <c r="F49" s="1">
        <f t="shared" si="5"/>
        <v>2193149736.2399998</v>
      </c>
      <c r="G49" s="5">
        <f t="shared" si="6"/>
        <v>5.0828999999999999E-2</v>
      </c>
    </row>
    <row r="50" spans="1:8">
      <c r="C50" s="5"/>
      <c r="D50" s="110"/>
      <c r="G50" s="2"/>
    </row>
    <row r="51" spans="1:8" ht="13.5" thickBot="1">
      <c r="A51" s="2" t="s">
        <v>13</v>
      </c>
      <c r="B51" s="78">
        <f>SUM(B43:B50)</f>
        <v>0</v>
      </c>
      <c r="C51" s="7">
        <f>SUM(C43:C50)</f>
        <v>0</v>
      </c>
      <c r="D51" s="110"/>
      <c r="E51" s="6">
        <f>SUM(E43:E50)</f>
        <v>43147661936.239998</v>
      </c>
      <c r="F51" s="6">
        <f>SUM(F43:F50)</f>
        <v>43147661936.239998</v>
      </c>
      <c r="G51" s="7">
        <f>SUM(G43:G50)</f>
        <v>1</v>
      </c>
    </row>
    <row r="52" spans="1:8" ht="13.5" thickTop="1">
      <c r="D52" s="111"/>
      <c r="F52" s="239" t="s">
        <v>318</v>
      </c>
    </row>
    <row r="53" spans="1:8">
      <c r="A53" s="67" t="s">
        <v>366</v>
      </c>
      <c r="G53" s="269">
        <v>2.5000000000000001E-2</v>
      </c>
    </row>
    <row r="54" spans="1:8">
      <c r="F54" s="1">
        <f>F51-'II - IV  Apportionment Detail'!F23</f>
        <v>-1</v>
      </c>
    </row>
    <row r="56" spans="1:8" ht="15">
      <c r="A56" s="112" t="s">
        <v>16</v>
      </c>
      <c r="B56" s="70"/>
      <c r="C56" s="70"/>
      <c r="D56" s="70"/>
      <c r="E56" s="70"/>
      <c r="F56" s="70"/>
      <c r="G56" s="70"/>
    </row>
    <row r="57" spans="1:8">
      <c r="A57" s="70" t="s">
        <v>7</v>
      </c>
      <c r="B57" s="70"/>
      <c r="D57" s="70"/>
      <c r="E57" s="2"/>
      <c r="F57" s="70"/>
      <c r="G57" s="86">
        <f>G12</f>
        <v>1</v>
      </c>
      <c r="H57" s="67"/>
    </row>
    <row r="58" spans="1:8">
      <c r="A58" s="70" t="s">
        <v>8</v>
      </c>
      <c r="B58" s="70"/>
      <c r="C58" s="70"/>
      <c r="D58" s="70"/>
      <c r="E58" s="2"/>
      <c r="F58" s="70"/>
      <c r="G58" s="86">
        <f>ROUND((C45+C29+C13)/3,6)</f>
        <v>0</v>
      </c>
      <c r="H58" s="67"/>
    </row>
    <row r="59" spans="1:8">
      <c r="A59" s="70" t="s">
        <v>9</v>
      </c>
      <c r="B59" s="70"/>
      <c r="C59" s="70"/>
      <c r="D59" s="70"/>
      <c r="E59" s="2"/>
      <c r="F59" s="70"/>
      <c r="G59" s="86">
        <f>(G14*G21)+(G30*G37)+(G46*G53)</f>
        <v>0</v>
      </c>
      <c r="H59" s="67" t="s">
        <v>397</v>
      </c>
    </row>
    <row r="60" spans="1:8">
      <c r="A60" s="70" t="s">
        <v>125</v>
      </c>
      <c r="B60" s="70"/>
      <c r="C60" s="70"/>
      <c r="D60" s="70"/>
      <c r="E60" s="2"/>
      <c r="F60" s="70"/>
      <c r="G60" s="86">
        <f>G15</f>
        <v>0</v>
      </c>
      <c r="H60" s="67" t="s">
        <v>401</v>
      </c>
    </row>
    <row r="61" spans="1:8">
      <c r="A61" s="70"/>
      <c r="B61" s="70"/>
      <c r="C61" s="70"/>
      <c r="D61" s="70"/>
      <c r="E61" s="2"/>
      <c r="F61" s="70"/>
      <c r="G61" s="86"/>
      <c r="H61" s="67"/>
    </row>
    <row r="62" spans="1:8">
      <c r="A62" s="70"/>
      <c r="B62" s="70"/>
      <c r="C62" s="70"/>
      <c r="D62" s="70"/>
      <c r="E62" s="2"/>
      <c r="F62" s="70"/>
      <c r="G62" s="86"/>
      <c r="H62" s="67"/>
    </row>
    <row r="63" spans="1:8">
      <c r="A63" s="67"/>
      <c r="B63" s="70"/>
      <c r="C63" s="70"/>
      <c r="D63" s="70"/>
      <c r="E63" s="70"/>
      <c r="F63" s="70"/>
      <c r="G63" s="70"/>
    </row>
    <row r="64" spans="1:8">
      <c r="A64" s="67" t="s">
        <v>387</v>
      </c>
    </row>
    <row r="65" spans="1:11">
      <c r="A65" s="67" t="s">
        <v>309</v>
      </c>
      <c r="G65" s="5"/>
    </row>
    <row r="66" spans="1:11">
      <c r="A66" s="67" t="s">
        <v>153</v>
      </c>
    </row>
    <row r="67" spans="1:11">
      <c r="A67" s="67" t="s">
        <v>389</v>
      </c>
    </row>
    <row r="68" spans="1:11">
      <c r="A68" s="67" t="s">
        <v>372</v>
      </c>
    </row>
    <row r="70" spans="1:11">
      <c r="A70" s="67" t="s">
        <v>390</v>
      </c>
    </row>
    <row r="72" spans="1:11" hidden="1">
      <c r="A72" s="84" t="s">
        <v>143</v>
      </c>
      <c r="B72" s="85" t="s">
        <v>150</v>
      </c>
      <c r="C72" s="85"/>
      <c r="D72" s="85"/>
      <c r="E72" s="85"/>
      <c r="F72" s="85"/>
      <c r="G72" s="85"/>
      <c r="H72" s="84"/>
      <c r="I72" s="84"/>
      <c r="J72" s="84"/>
      <c r="K72" s="84"/>
    </row>
    <row r="73" spans="1:11" hidden="1">
      <c r="A73" s="84"/>
      <c r="B73" s="85" t="s">
        <v>145</v>
      </c>
      <c r="C73" s="85"/>
      <c r="D73" s="85"/>
      <c r="E73" s="85"/>
      <c r="F73" s="85"/>
      <c r="G73" s="85"/>
      <c r="H73" s="84"/>
      <c r="I73" s="84"/>
      <c r="J73" s="84"/>
      <c r="K73" s="84"/>
    </row>
    <row r="74" spans="1:11" hidden="1">
      <c r="A74" s="84"/>
      <c r="B74" s="85" t="s">
        <v>146</v>
      </c>
      <c r="C74" s="85"/>
      <c r="D74" s="85"/>
      <c r="E74" s="85"/>
      <c r="F74" s="85"/>
      <c r="G74" s="85"/>
      <c r="H74" s="84"/>
      <c r="I74" s="84"/>
      <c r="J74" s="84"/>
      <c r="K74" s="84"/>
    </row>
    <row r="75" spans="1:11" hidden="1">
      <c r="A75" s="84"/>
      <c r="B75" s="85" t="s">
        <v>147</v>
      </c>
      <c r="C75" s="85"/>
      <c r="D75" s="85"/>
      <c r="E75" s="85"/>
      <c r="F75" s="85"/>
      <c r="G75" s="85"/>
      <c r="H75" s="84"/>
      <c r="I75" s="84"/>
      <c r="J75" s="84"/>
      <c r="K75" s="84"/>
    </row>
    <row r="76" spans="1:11" hidden="1">
      <c r="A76" s="81"/>
      <c r="B76" s="85" t="s">
        <v>311</v>
      </c>
      <c r="C76" s="82"/>
      <c r="D76" s="82"/>
      <c r="E76" s="82"/>
      <c r="F76" s="82"/>
      <c r="G76" s="82"/>
      <c r="H76" s="81"/>
      <c r="I76" s="81"/>
      <c r="J76" s="81"/>
      <c r="K76" s="81"/>
    </row>
    <row r="77" spans="1:11" hidden="1">
      <c r="A77" s="81"/>
      <c r="B77" s="85" t="s">
        <v>151</v>
      </c>
      <c r="C77" s="82"/>
      <c r="D77" s="82"/>
      <c r="E77" s="82"/>
      <c r="F77" s="82"/>
      <c r="G77" s="82"/>
      <c r="H77" s="81"/>
      <c r="I77" s="81"/>
      <c r="J77" s="81"/>
      <c r="K77" s="81"/>
    </row>
    <row r="78" spans="1:11" hidden="1">
      <c r="B78" s="85" t="s">
        <v>144</v>
      </c>
    </row>
    <row r="79" spans="1:11" hidden="1">
      <c r="B79" s="85" t="s">
        <v>148</v>
      </c>
    </row>
    <row r="80" spans="1:11" hidden="1">
      <c r="B80" s="85" t="s">
        <v>149</v>
      </c>
    </row>
    <row r="81" spans="1:2" hidden="1">
      <c r="B81" s="85" t="s">
        <v>152</v>
      </c>
    </row>
    <row r="82" spans="1:2" hidden="1"/>
    <row r="83" spans="1:2">
      <c r="A83" s="2" t="s">
        <v>395</v>
      </c>
    </row>
    <row r="84" spans="1:2">
      <c r="A84" s="2" t="s">
        <v>396</v>
      </c>
    </row>
  </sheetData>
  <mergeCells count="11">
    <mergeCell ref="A1:G1"/>
    <mergeCell ref="A2:G2"/>
    <mergeCell ref="E7:G7"/>
    <mergeCell ref="B7:C7"/>
    <mergeCell ref="B24:C24"/>
    <mergeCell ref="E24:G24"/>
    <mergeCell ref="B40:C40"/>
    <mergeCell ref="E40:G40"/>
    <mergeCell ref="A39:G39"/>
    <mergeCell ref="A23:G23"/>
    <mergeCell ref="A6:G6"/>
  </mergeCells>
  <phoneticPr fontId="9" type="noConversion"/>
  <pageMargins left="0.75" right="0.75" top="0.94325000000000003" bottom="0.5" header="0.5" footer="0.25"/>
  <pageSetup scale="75" orientation="portrait" r:id="rId1"/>
  <headerFooter alignWithMargins="0">
    <oddHeader>&amp;RTO12 Annual Update
Attachment 4
WP Schedule 26
Page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zoomScaleNormal="100" zoomScaleSheetLayoutView="100" workbookViewId="0">
      <selection sqref="A1:G1"/>
    </sheetView>
  </sheetViews>
  <sheetFormatPr defaultRowHeight="12.75"/>
  <cols>
    <col min="1" max="2" width="4.28515625" style="36" customWidth="1"/>
    <col min="3" max="3" width="57.85546875" customWidth="1"/>
    <col min="4" max="4" width="14.5703125" bestFit="1" customWidth="1"/>
    <col min="5" max="6" width="16.7109375" style="42" customWidth="1"/>
    <col min="7" max="7" width="16.85546875" customWidth="1"/>
  </cols>
  <sheetData>
    <row r="1" spans="1:7">
      <c r="A1" s="311" t="s">
        <v>106</v>
      </c>
      <c r="B1" s="312"/>
      <c r="C1" s="312"/>
      <c r="D1" s="312"/>
      <c r="E1" s="312"/>
      <c r="F1" s="312"/>
      <c r="G1" s="312"/>
    </row>
    <row r="2" spans="1:7">
      <c r="A2" s="311" t="s">
        <v>384</v>
      </c>
      <c r="B2" s="312"/>
      <c r="C2" s="312"/>
      <c r="D2" s="312"/>
      <c r="E2" s="312"/>
      <c r="F2" s="312"/>
      <c r="G2" s="312"/>
    </row>
    <row r="3" spans="1:7">
      <c r="C3" s="36"/>
      <c r="D3" s="63"/>
      <c r="E3" s="36"/>
      <c r="F3" s="36"/>
      <c r="G3" s="36"/>
    </row>
    <row r="4" spans="1:7">
      <c r="C4" s="296"/>
      <c r="D4" s="63"/>
      <c r="E4" s="71"/>
      <c r="F4" s="36"/>
      <c r="G4" s="36"/>
    </row>
    <row r="5" spans="1:7">
      <c r="A5" s="60"/>
      <c r="B5" s="60"/>
      <c r="C5" s="60"/>
      <c r="D5" s="63"/>
      <c r="E5" s="60"/>
      <c r="F5" s="69"/>
      <c r="G5" s="60"/>
    </row>
    <row r="6" spans="1:7">
      <c r="C6" s="8" t="s">
        <v>126</v>
      </c>
      <c r="D6" s="70"/>
      <c r="E6" s="297">
        <v>1166791580</v>
      </c>
    </row>
    <row r="8" spans="1:7">
      <c r="A8" s="37"/>
      <c r="B8" s="38" t="s">
        <v>40</v>
      </c>
      <c r="D8" s="67"/>
      <c r="E8" s="43" t="s">
        <v>43</v>
      </c>
      <c r="F8" s="43" t="s">
        <v>44</v>
      </c>
      <c r="G8" s="40" t="s">
        <v>45</v>
      </c>
    </row>
    <row r="9" spans="1:7">
      <c r="A9" s="37"/>
      <c r="B9" s="38"/>
      <c r="C9" t="s">
        <v>134</v>
      </c>
      <c r="E9" s="44" t="s">
        <v>46</v>
      </c>
      <c r="F9" s="44" t="s">
        <v>47</v>
      </c>
      <c r="G9" s="35" t="s">
        <v>48</v>
      </c>
    </row>
    <row r="10" spans="1:7">
      <c r="A10" s="37"/>
      <c r="C10" t="s">
        <v>135</v>
      </c>
      <c r="D10" s="8" t="s">
        <v>365</v>
      </c>
      <c r="E10" s="44" t="s">
        <v>9</v>
      </c>
      <c r="F10" s="44" t="s">
        <v>13</v>
      </c>
      <c r="G10" s="35" t="s">
        <v>9</v>
      </c>
    </row>
    <row r="11" spans="1:7">
      <c r="C11" t="s">
        <v>136</v>
      </c>
      <c r="D11" s="267"/>
      <c r="E11" s="45"/>
      <c r="F11" s="45"/>
      <c r="G11" s="41" t="s">
        <v>49</v>
      </c>
    </row>
    <row r="12" spans="1:7">
      <c r="B12" s="50" t="s">
        <v>39</v>
      </c>
      <c r="C12" s="8" t="s">
        <v>62</v>
      </c>
      <c r="D12" s="268">
        <v>2.5000000000000001E-2</v>
      </c>
      <c r="E12"/>
      <c r="F12"/>
    </row>
    <row r="13" spans="1:7">
      <c r="B13" s="68" t="s">
        <v>41</v>
      </c>
      <c r="C13" s="64"/>
      <c r="D13" s="9"/>
      <c r="E13"/>
      <c r="F13"/>
    </row>
    <row r="14" spans="1:7">
      <c r="B14" s="68" t="s">
        <v>42</v>
      </c>
      <c r="C14" s="64"/>
      <c r="D14" s="9"/>
      <c r="E14"/>
      <c r="F14"/>
    </row>
    <row r="15" spans="1:7">
      <c r="B15" s="3" t="s">
        <v>50</v>
      </c>
      <c r="C15" s="64" t="s">
        <v>59</v>
      </c>
      <c r="D15" s="9"/>
      <c r="G15" s="47"/>
    </row>
    <row r="16" spans="1:7">
      <c r="C16" s="64" t="s">
        <v>51</v>
      </c>
      <c r="D16" s="9"/>
      <c r="G16" s="47"/>
    </row>
    <row r="17" spans="2:7">
      <c r="C17" s="64" t="s">
        <v>52</v>
      </c>
      <c r="D17" s="9"/>
      <c r="E17" s="42">
        <f>'A1 Summary 2015 Appt (9-7-16)'!O39</f>
        <v>2187143899</v>
      </c>
      <c r="F17" s="42">
        <f>'A1 Summary 2015 Appt (9-7-16)'!G39</f>
        <v>42131145445</v>
      </c>
      <c r="G17" s="48"/>
    </row>
    <row r="18" spans="2:7">
      <c r="C18" s="64" t="s">
        <v>53</v>
      </c>
      <c r="D18" s="9"/>
      <c r="G18" s="48"/>
    </row>
    <row r="19" spans="2:7">
      <c r="C19" s="64" t="s">
        <v>54</v>
      </c>
      <c r="D19" s="9"/>
      <c r="G19" s="48"/>
    </row>
    <row r="20" spans="2:7">
      <c r="C20" s="64" t="s">
        <v>55</v>
      </c>
      <c r="D20" s="9"/>
      <c r="E20" s="46"/>
      <c r="F20" s="46"/>
      <c r="G20" s="48"/>
    </row>
    <row r="21" spans="2:7">
      <c r="C21" s="64" t="s">
        <v>56</v>
      </c>
      <c r="D21" s="9"/>
      <c r="E21" s="42">
        <f>SUM(E15:E20)</f>
        <v>2187143899</v>
      </c>
      <c r="F21" s="42">
        <f t="shared" ref="F21" si="0">SUM(F15:F20)</f>
        <v>42131145445</v>
      </c>
      <c r="G21" s="48"/>
    </row>
    <row r="22" spans="2:7">
      <c r="B22" s="3" t="s">
        <v>57</v>
      </c>
      <c r="C22" s="64" t="s">
        <v>58</v>
      </c>
      <c r="D22" s="9"/>
      <c r="E22" s="46">
        <f>'A1 Summary 2015 Appt (9-7-16)'!O40</f>
        <v>5446576</v>
      </c>
      <c r="F22" s="46">
        <f>'A1 Summary 2015 Appt (9-7-16)'!G40</f>
        <v>1016516492.24</v>
      </c>
      <c r="G22" s="49"/>
    </row>
    <row r="23" spans="2:7">
      <c r="B23" s="36" t="s">
        <v>60</v>
      </c>
      <c r="C23" s="65" t="s">
        <v>61</v>
      </c>
      <c r="D23" s="66"/>
      <c r="E23" s="51">
        <f>SUM(E21:E22)</f>
        <v>2192590475</v>
      </c>
      <c r="F23" s="51">
        <f>SUM(F21:F22)</f>
        <v>43147661937.239998</v>
      </c>
      <c r="G23" s="74">
        <f>(E23/F23)*D12</f>
        <v>1.2703993545404677E-3</v>
      </c>
    </row>
    <row r="24" spans="2:7">
      <c r="C24" s="64"/>
      <c r="D24" s="9"/>
      <c r="G24" s="98">
        <f>E23/F23</f>
        <v>5.0815974181618706E-2</v>
      </c>
    </row>
    <row r="25" spans="2:7">
      <c r="B25" s="50" t="s">
        <v>66</v>
      </c>
      <c r="C25" s="65" t="s">
        <v>63</v>
      </c>
      <c r="D25" s="66"/>
      <c r="G25" s="98"/>
    </row>
    <row r="26" spans="2:7">
      <c r="C26" s="64" t="s">
        <v>64</v>
      </c>
      <c r="D26" s="9"/>
      <c r="E26" s="52"/>
      <c r="F26" s="52"/>
      <c r="G26" s="102"/>
    </row>
    <row r="27" spans="2:7">
      <c r="C27" s="64" t="s">
        <v>65</v>
      </c>
      <c r="D27" s="268">
        <v>2.5000000000000001E-2</v>
      </c>
      <c r="E27" s="51">
        <f>'A1 Summary 2015 Appt (9-7-16)'!O73</f>
        <v>0</v>
      </c>
      <c r="F27" s="51">
        <f>'A1 Summary 2015 Appt (9-7-16)'!G73</f>
        <v>1790733908.5699999</v>
      </c>
      <c r="G27" s="74">
        <f>(E27/F27)*D27</f>
        <v>0</v>
      </c>
    </row>
    <row r="28" spans="2:7">
      <c r="C28" s="64"/>
      <c r="D28" s="9"/>
      <c r="G28" s="98"/>
    </row>
    <row r="29" spans="2:7">
      <c r="B29" s="37" t="s">
        <v>67</v>
      </c>
      <c r="C29" s="65" t="s">
        <v>68</v>
      </c>
      <c r="D29" s="66"/>
      <c r="G29" s="98"/>
    </row>
    <row r="30" spans="2:7">
      <c r="B30" s="3" t="s">
        <v>50</v>
      </c>
      <c r="C30" s="64" t="s">
        <v>69</v>
      </c>
      <c r="D30" s="9"/>
      <c r="E30" s="42">
        <f>'A1 Summary 2015 Appt (9-7-16)'!O87</f>
        <v>0</v>
      </c>
      <c r="F30" s="42">
        <f>'A1 Summary 2015 Appt (9-7-16)'!G79+'A1 Summary 2015 Appt (9-7-16)'!G90</f>
        <v>12859311576.98</v>
      </c>
      <c r="G30" s="102"/>
    </row>
    <row r="31" spans="2:7">
      <c r="B31" s="3" t="s">
        <v>57</v>
      </c>
      <c r="C31" s="64" t="s">
        <v>70</v>
      </c>
      <c r="D31" s="9"/>
      <c r="E31" s="46">
        <v>0</v>
      </c>
      <c r="F31" s="46">
        <f>SUM('A1 Summary 2015 Appt (9-7-16)'!G80:G85)+'A1 Summary 2015 Appt (9-7-16)'!G89</f>
        <v>547182427</v>
      </c>
      <c r="G31" s="102"/>
    </row>
    <row r="32" spans="2:7">
      <c r="B32" s="3" t="s">
        <v>60</v>
      </c>
      <c r="C32" s="64" t="s">
        <v>71</v>
      </c>
      <c r="D32" s="9"/>
      <c r="E32" s="42">
        <v>0</v>
      </c>
      <c r="F32" s="42">
        <f>SUM(F30:F31)</f>
        <v>13406494003.98</v>
      </c>
      <c r="G32" s="102"/>
    </row>
    <row r="33" spans="2:7">
      <c r="B33" s="3" t="s">
        <v>72</v>
      </c>
      <c r="C33" s="64" t="s">
        <v>121</v>
      </c>
      <c r="D33" s="9"/>
      <c r="E33" s="54" t="s">
        <v>76</v>
      </c>
      <c r="F33" s="52"/>
      <c r="G33" s="102"/>
    </row>
    <row r="34" spans="2:7">
      <c r="B34" s="3" t="s">
        <v>73</v>
      </c>
      <c r="C34" s="64" t="s">
        <v>74</v>
      </c>
      <c r="D34" s="9"/>
      <c r="E34" s="55"/>
      <c r="F34" s="55"/>
      <c r="G34" s="103"/>
    </row>
    <row r="35" spans="2:7">
      <c r="B35" s="3"/>
      <c r="C35" s="64" t="s">
        <v>75</v>
      </c>
      <c r="D35" s="268">
        <v>0.95</v>
      </c>
      <c r="E35" s="51">
        <f>E32*2</f>
        <v>0</v>
      </c>
      <c r="F35" s="51">
        <f>F32</f>
        <v>13406494003.98</v>
      </c>
      <c r="G35" s="74">
        <f>(E35/F35)*D35</f>
        <v>0</v>
      </c>
    </row>
    <row r="36" spans="2:7">
      <c r="B36" s="3"/>
      <c r="C36" s="64"/>
      <c r="D36" s="9"/>
      <c r="E36" s="53"/>
      <c r="F36" s="53"/>
      <c r="G36" s="101"/>
    </row>
    <row r="37" spans="2:7">
      <c r="B37" s="37" t="s">
        <v>77</v>
      </c>
      <c r="C37" s="65" t="s">
        <v>78</v>
      </c>
      <c r="D37" s="66"/>
      <c r="G37" s="72">
        <f>ROUND(G35+G27+G23,6)</f>
        <v>1.2700000000000001E-3</v>
      </c>
    </row>
    <row r="38" spans="2:7">
      <c r="B38" s="37" t="s">
        <v>79</v>
      </c>
      <c r="C38" s="65" t="s">
        <v>370</v>
      </c>
      <c r="D38" s="66"/>
      <c r="E38" s="75"/>
      <c r="G38" s="102"/>
    </row>
    <row r="39" spans="2:7">
      <c r="B39" s="3"/>
      <c r="C39" s="64" t="s">
        <v>369</v>
      </c>
      <c r="D39" s="9"/>
      <c r="G39" s="102"/>
    </row>
    <row r="40" spans="2:7">
      <c r="B40" s="3"/>
      <c r="C40" s="64"/>
      <c r="D40" s="9"/>
      <c r="G40" s="100">
        <f>G37</f>
        <v>1.2700000000000001E-3</v>
      </c>
    </row>
    <row r="43" spans="2:7">
      <c r="C43" s="8" t="s">
        <v>398</v>
      </c>
      <c r="D43" s="8"/>
      <c r="E43" s="297">
        <v>1285175177</v>
      </c>
    </row>
    <row r="45" spans="2:7">
      <c r="B45" s="38" t="s">
        <v>91</v>
      </c>
      <c r="E45" s="43" t="s">
        <v>43</v>
      </c>
      <c r="F45" s="43" t="s">
        <v>44</v>
      </c>
      <c r="G45" s="40" t="s">
        <v>45</v>
      </c>
    </row>
    <row r="46" spans="2:7">
      <c r="B46" s="38"/>
      <c r="C46" s="67" t="s">
        <v>137</v>
      </c>
      <c r="E46" s="44" t="s">
        <v>46</v>
      </c>
      <c r="F46" s="44" t="s">
        <v>47</v>
      </c>
      <c r="G46" s="35" t="s">
        <v>48</v>
      </c>
    </row>
    <row r="47" spans="2:7">
      <c r="C47" s="67" t="s">
        <v>127</v>
      </c>
      <c r="E47" s="44" t="s">
        <v>7</v>
      </c>
      <c r="F47" s="44" t="s">
        <v>13</v>
      </c>
      <c r="G47" s="35" t="s">
        <v>7</v>
      </c>
    </row>
    <row r="48" spans="2:7">
      <c r="E48" s="45"/>
      <c r="F48" s="45"/>
      <c r="G48" s="41" t="s">
        <v>49</v>
      </c>
    </row>
    <row r="49" spans="1:7">
      <c r="A49" s="63"/>
      <c r="B49" s="37" t="s">
        <v>39</v>
      </c>
      <c r="C49" s="8" t="s">
        <v>15</v>
      </c>
    </row>
    <row r="50" spans="1:7">
      <c r="A50" s="63"/>
      <c r="B50" s="63"/>
      <c r="C50" s="67" t="s">
        <v>80</v>
      </c>
      <c r="E50" s="42">
        <v>0</v>
      </c>
      <c r="F50" s="42">
        <v>0</v>
      </c>
    </row>
    <row r="51" spans="1:7">
      <c r="A51" s="63"/>
      <c r="B51" s="63"/>
      <c r="C51" s="67" t="s">
        <v>81</v>
      </c>
      <c r="E51" s="42">
        <v>0</v>
      </c>
      <c r="F51" s="42">
        <v>0</v>
      </c>
    </row>
    <row r="52" spans="1:7">
      <c r="A52" s="63"/>
      <c r="B52" s="63"/>
      <c r="C52" s="67" t="s">
        <v>128</v>
      </c>
      <c r="E52" s="42">
        <v>0</v>
      </c>
      <c r="F52" s="42">
        <v>0</v>
      </c>
    </row>
    <row r="53" spans="1:7">
      <c r="A53" s="63"/>
      <c r="B53" s="63"/>
      <c r="C53" s="67" t="s">
        <v>82</v>
      </c>
      <c r="E53" s="42">
        <v>0</v>
      </c>
      <c r="F53" s="42">
        <v>0</v>
      </c>
    </row>
    <row r="54" spans="1:7">
      <c r="A54" s="63"/>
      <c r="B54" s="63"/>
      <c r="C54" s="67" t="s">
        <v>53</v>
      </c>
      <c r="E54" s="42">
        <v>0</v>
      </c>
      <c r="F54" s="42">
        <v>0</v>
      </c>
    </row>
    <row r="55" spans="1:7">
      <c r="A55" s="63"/>
      <c r="B55" s="63"/>
      <c r="C55" s="67" t="s">
        <v>129</v>
      </c>
      <c r="E55" s="42">
        <v>0</v>
      </c>
      <c r="F55" s="42">
        <v>0</v>
      </c>
    </row>
    <row r="56" spans="1:7">
      <c r="A56" s="63"/>
      <c r="B56" s="63"/>
      <c r="C56" s="67" t="s">
        <v>130</v>
      </c>
      <c r="E56" s="42">
        <v>0</v>
      </c>
      <c r="F56" s="42">
        <v>0</v>
      </c>
    </row>
    <row r="57" spans="1:7">
      <c r="A57" s="63"/>
      <c r="B57" s="63"/>
      <c r="C57" s="8" t="s">
        <v>131</v>
      </c>
      <c r="E57" s="90">
        <f>SUM(E50:E56)</f>
        <v>0</v>
      </c>
      <c r="F57" s="90">
        <f>SUM(F50:F56)</f>
        <v>0</v>
      </c>
      <c r="G57" s="72">
        <f>IF(ISERROR(ROUND(E57/F57,6)),0,ROUND(E57/F57,6))</f>
        <v>0</v>
      </c>
    </row>
    <row r="58" spans="1:7">
      <c r="A58" s="63"/>
      <c r="B58" s="63"/>
      <c r="G58" s="98"/>
    </row>
    <row r="59" spans="1:7">
      <c r="A59" s="63"/>
      <c r="B59" s="63">
        <v>2</v>
      </c>
      <c r="C59" s="8" t="s">
        <v>84</v>
      </c>
      <c r="G59" s="98"/>
    </row>
    <row r="60" spans="1:7">
      <c r="A60" s="63"/>
      <c r="B60" s="63"/>
      <c r="C60" s="8" t="s">
        <v>132</v>
      </c>
      <c r="E60" s="46">
        <v>0</v>
      </c>
      <c r="F60" s="46">
        <v>0</v>
      </c>
      <c r="G60" s="72">
        <f>IF(ISERROR(ROUND(E60/F60,6)),0,ROUND(E60/F60,6))</f>
        <v>0</v>
      </c>
    </row>
    <row r="61" spans="1:7">
      <c r="A61" s="63"/>
      <c r="B61" s="63"/>
      <c r="G61" s="98"/>
    </row>
    <row r="62" spans="1:7">
      <c r="B62" s="37" t="s">
        <v>67</v>
      </c>
      <c r="C62" s="8" t="s">
        <v>5</v>
      </c>
      <c r="D62" s="8"/>
      <c r="G62" s="98"/>
    </row>
    <row r="63" spans="1:7">
      <c r="B63" s="3" t="s">
        <v>50</v>
      </c>
      <c r="C63" s="67" t="s">
        <v>122</v>
      </c>
      <c r="D63" s="2"/>
      <c r="G63" s="98"/>
    </row>
    <row r="64" spans="1:7">
      <c r="B64" s="3"/>
      <c r="C64" s="2" t="s">
        <v>85</v>
      </c>
      <c r="D64" s="2"/>
      <c r="E64" s="42">
        <f>'A1 Summary 2015 Appt (9-7-16)'!K87</f>
        <v>1777942229.0500031</v>
      </c>
      <c r="F64" s="42">
        <f>E64</f>
        <v>1777942229.0500031</v>
      </c>
      <c r="G64" s="98"/>
    </row>
    <row r="65" spans="1:7">
      <c r="B65" s="3" t="s">
        <v>57</v>
      </c>
      <c r="C65" s="2" t="s">
        <v>86</v>
      </c>
      <c r="D65" s="2"/>
      <c r="E65" s="56"/>
      <c r="F65" s="56"/>
      <c r="G65" s="98"/>
    </row>
    <row r="66" spans="1:7">
      <c r="B66" s="3"/>
      <c r="C66" s="2" t="s">
        <v>87</v>
      </c>
      <c r="D66" s="2"/>
      <c r="E66" s="56">
        <v>0</v>
      </c>
      <c r="F66" s="56">
        <v>0</v>
      </c>
      <c r="G66" s="98"/>
    </row>
    <row r="67" spans="1:7">
      <c r="B67" s="3"/>
      <c r="C67" s="2" t="s">
        <v>88</v>
      </c>
      <c r="D67" s="2"/>
      <c r="E67" s="56">
        <v>0</v>
      </c>
      <c r="F67" s="56">
        <v>0</v>
      </c>
      <c r="G67" s="98"/>
    </row>
    <row r="68" spans="1:7">
      <c r="B68" s="3" t="s">
        <v>60</v>
      </c>
      <c r="C68" s="2" t="s">
        <v>89</v>
      </c>
      <c r="D68" s="2"/>
      <c r="E68" s="46">
        <v>0</v>
      </c>
      <c r="F68" s="46">
        <v>0</v>
      </c>
      <c r="G68" s="98"/>
    </row>
    <row r="69" spans="1:7">
      <c r="B69" s="3"/>
      <c r="C69" s="8" t="s">
        <v>367</v>
      </c>
      <c r="D69" s="8"/>
      <c r="E69" s="90">
        <f>SUM(E63:E68)</f>
        <v>1777942229.0500031</v>
      </c>
      <c r="F69" s="90">
        <f>SUM(F63:F68)</f>
        <v>1777942229.0500031</v>
      </c>
      <c r="G69" s="91">
        <f>IF(ISERROR(ROUND(E69/F69,6)),0,ROUND(E69/F69,6))</f>
        <v>1</v>
      </c>
    </row>
    <row r="70" spans="1:7" hidden="1">
      <c r="B70" s="3"/>
      <c r="C70" s="2" t="s">
        <v>90</v>
      </c>
      <c r="D70" s="2"/>
      <c r="E70" s="53"/>
      <c r="F70" s="53"/>
      <c r="G70" s="101">
        <f>IF(ISERROR(ROUND(E69/F69,6)),0,ROUND(E69/F69,6)*2)</f>
        <v>2</v>
      </c>
    </row>
    <row r="71" spans="1:7" hidden="1">
      <c r="B71" s="37" t="s">
        <v>66</v>
      </c>
      <c r="C71" s="8" t="s">
        <v>123</v>
      </c>
      <c r="D71" s="8"/>
      <c r="G71" s="72">
        <f>E69/F69</f>
        <v>1</v>
      </c>
    </row>
    <row r="72" spans="1:7">
      <c r="A72" s="63"/>
      <c r="B72" s="37"/>
      <c r="C72" s="8"/>
      <c r="D72" s="8"/>
      <c r="G72" s="72"/>
    </row>
    <row r="73" spans="1:7">
      <c r="B73" s="37" t="s">
        <v>77</v>
      </c>
      <c r="C73" s="8" t="s">
        <v>133</v>
      </c>
      <c r="D73" s="8"/>
      <c r="G73" s="72">
        <f>+G57+G60+G69</f>
        <v>1</v>
      </c>
    </row>
    <row r="74" spans="1:7">
      <c r="A74" s="63"/>
      <c r="B74" s="37"/>
      <c r="C74" s="67"/>
      <c r="D74" s="8"/>
      <c r="G74" s="98"/>
    </row>
    <row r="75" spans="1:7">
      <c r="B75" s="37" t="s">
        <v>79</v>
      </c>
      <c r="C75" s="67" t="s">
        <v>368</v>
      </c>
      <c r="D75" s="2"/>
      <c r="G75" s="100">
        <f>ROUND(G73,6)</f>
        <v>1</v>
      </c>
    </row>
    <row r="76" spans="1:7">
      <c r="B76" s="3"/>
      <c r="C76" s="2"/>
      <c r="D76" s="2"/>
      <c r="G76" s="58"/>
    </row>
    <row r="78" spans="1:7">
      <c r="C78" s="8" t="s">
        <v>112</v>
      </c>
      <c r="D78" s="8"/>
      <c r="E78" s="229">
        <v>0</v>
      </c>
    </row>
    <row r="80" spans="1:7">
      <c r="B80" s="38" t="s">
        <v>99</v>
      </c>
      <c r="E80" s="43" t="s">
        <v>43</v>
      </c>
      <c r="F80" s="43" t="s">
        <v>44</v>
      </c>
      <c r="G80" s="40" t="s">
        <v>45</v>
      </c>
    </row>
    <row r="81" spans="2:7">
      <c r="B81" s="38"/>
      <c r="C81" t="s">
        <v>139</v>
      </c>
      <c r="E81" s="44" t="s">
        <v>46</v>
      </c>
      <c r="F81" s="44" t="s">
        <v>47</v>
      </c>
      <c r="G81" s="35" t="s">
        <v>48</v>
      </c>
    </row>
    <row r="82" spans="2:7">
      <c r="C82" t="s">
        <v>138</v>
      </c>
      <c r="E82" s="44" t="s">
        <v>8</v>
      </c>
      <c r="F82" s="44" t="s">
        <v>13</v>
      </c>
      <c r="G82" s="35" t="s">
        <v>8</v>
      </c>
    </row>
    <row r="83" spans="2:7">
      <c r="E83" s="45"/>
      <c r="F83" s="45"/>
      <c r="G83" s="41" t="s">
        <v>49</v>
      </c>
    </row>
    <row r="84" spans="2:7">
      <c r="B84" s="50" t="s">
        <v>39</v>
      </c>
      <c r="C84" s="8" t="s">
        <v>62</v>
      </c>
      <c r="D84" s="8"/>
      <c r="E84"/>
      <c r="F84"/>
    </row>
    <row r="85" spans="2:7">
      <c r="B85" s="39"/>
      <c r="C85" s="2" t="s">
        <v>92</v>
      </c>
      <c r="D85" s="2"/>
      <c r="E85"/>
      <c r="F85"/>
      <c r="G85" s="47"/>
    </row>
    <row r="86" spans="2:7">
      <c r="B86" s="3"/>
      <c r="C86" s="2" t="s">
        <v>93</v>
      </c>
      <c r="D86" s="2"/>
      <c r="E86" s="42">
        <v>0</v>
      </c>
      <c r="F86" s="42">
        <f>'A1 Summary 2015 Appt (9-7-16)'!G42</f>
        <v>43147661938.239998</v>
      </c>
      <c r="G86" s="47"/>
    </row>
    <row r="87" spans="2:7">
      <c r="C87" s="2" t="s">
        <v>94</v>
      </c>
      <c r="D87" s="2"/>
      <c r="E87" s="46">
        <v>0</v>
      </c>
      <c r="F87" s="46">
        <v>0</v>
      </c>
      <c r="G87" s="49"/>
    </row>
    <row r="88" spans="2:7">
      <c r="C88" s="2" t="s">
        <v>83</v>
      </c>
      <c r="D88" s="2"/>
      <c r="E88" s="51">
        <f>SUM(E85:E87)</f>
        <v>0</v>
      </c>
      <c r="F88" s="51">
        <f>SUM(F85:F87)</f>
        <v>43147661938.239998</v>
      </c>
      <c r="G88" s="74">
        <f>IF(ISERROR(ROUND(E88/F88,6)),0,ROUND(E88/F88,6))</f>
        <v>0</v>
      </c>
    </row>
    <row r="89" spans="2:7">
      <c r="G89" s="98"/>
    </row>
    <row r="90" spans="2:7">
      <c r="B90" s="50" t="s">
        <v>66</v>
      </c>
      <c r="C90" s="8" t="s">
        <v>84</v>
      </c>
      <c r="D90" s="8"/>
      <c r="G90" s="98"/>
    </row>
    <row r="91" spans="2:7">
      <c r="C91" s="2" t="s">
        <v>95</v>
      </c>
      <c r="D91" s="2"/>
      <c r="E91" s="51">
        <v>0</v>
      </c>
      <c r="F91" s="51">
        <f>F112</f>
        <v>1790733908.5699999</v>
      </c>
      <c r="G91" s="74">
        <f>IF(ISERROR(ROUND(E91/F91,6)),0,ROUND(E91/F91,6))</f>
        <v>0</v>
      </c>
    </row>
    <row r="92" spans="2:7">
      <c r="G92" s="98"/>
    </row>
    <row r="93" spans="2:7">
      <c r="B93" s="37" t="s">
        <v>67</v>
      </c>
      <c r="C93" s="8" t="s">
        <v>68</v>
      </c>
      <c r="D93" s="8"/>
      <c r="G93" s="98"/>
    </row>
    <row r="94" spans="2:7">
      <c r="B94" s="3"/>
      <c r="C94" s="2" t="s">
        <v>96</v>
      </c>
      <c r="D94" s="2"/>
      <c r="E94" s="265">
        <v>0</v>
      </c>
      <c r="F94" s="238">
        <f>F116</f>
        <v>13406494003.98</v>
      </c>
      <c r="G94" s="91">
        <f>IF(ISERROR(ROUND(E94/F94,6)),0,ROUND(E94/F94,6))</f>
        <v>0</v>
      </c>
    </row>
    <row r="95" spans="2:7">
      <c r="B95" s="3"/>
      <c r="C95" s="2"/>
      <c r="D95" s="2"/>
      <c r="E95" s="51"/>
      <c r="F95" s="51"/>
      <c r="G95" s="99"/>
    </row>
    <row r="96" spans="2:7">
      <c r="B96" s="37" t="s">
        <v>77</v>
      </c>
      <c r="C96" s="8" t="s">
        <v>97</v>
      </c>
      <c r="D96" s="8"/>
      <c r="G96" s="72">
        <f>G88+G91+G94</f>
        <v>0</v>
      </c>
    </row>
    <row r="97" spans="2:7">
      <c r="B97" s="37"/>
      <c r="C97" s="8"/>
      <c r="D97" s="8"/>
      <c r="G97" s="72"/>
    </row>
    <row r="98" spans="2:7">
      <c r="B98" s="37" t="s">
        <v>79</v>
      </c>
      <c r="C98" s="8" t="s">
        <v>98</v>
      </c>
      <c r="D98" s="8"/>
      <c r="G98" s="100">
        <f>ROUND(G96/3,6)</f>
        <v>0</v>
      </c>
    </row>
    <row r="101" spans="2:7">
      <c r="C101" s="8" t="s">
        <v>399</v>
      </c>
      <c r="D101" s="8"/>
      <c r="E101" s="297">
        <v>1166791580</v>
      </c>
    </row>
    <row r="103" spans="2:7">
      <c r="B103" s="38" t="s">
        <v>100</v>
      </c>
      <c r="E103" s="43" t="s">
        <v>43</v>
      </c>
      <c r="F103" s="43" t="s">
        <v>44</v>
      </c>
      <c r="G103" s="40" t="s">
        <v>45</v>
      </c>
    </row>
    <row r="104" spans="2:7">
      <c r="B104" s="38"/>
      <c r="C104" t="s">
        <v>137</v>
      </c>
      <c r="E104" s="44" t="s">
        <v>46</v>
      </c>
      <c r="F104" s="44" t="s">
        <v>47</v>
      </c>
      <c r="G104" s="35" t="s">
        <v>48</v>
      </c>
    </row>
    <row r="105" spans="2:7">
      <c r="C105" t="s">
        <v>138</v>
      </c>
      <c r="E105" s="44" t="s">
        <v>101</v>
      </c>
      <c r="F105" s="44" t="s">
        <v>13</v>
      </c>
      <c r="G105" s="35" t="s">
        <v>101</v>
      </c>
    </row>
    <row r="106" spans="2:7">
      <c r="E106" s="45"/>
      <c r="F106" s="45"/>
      <c r="G106" s="41" t="s">
        <v>49</v>
      </c>
    </row>
    <row r="107" spans="2:7">
      <c r="B107" s="50" t="s">
        <v>39</v>
      </c>
      <c r="C107" s="8" t="s">
        <v>62</v>
      </c>
      <c r="D107" s="8"/>
      <c r="E107"/>
      <c r="F107"/>
    </row>
    <row r="108" spans="2:7">
      <c r="B108" s="39"/>
      <c r="C108" s="76" t="s">
        <v>102</v>
      </c>
      <c r="D108" s="76"/>
      <c r="E108"/>
      <c r="F108"/>
      <c r="G108" s="57"/>
    </row>
    <row r="109" spans="2:7">
      <c r="C109" s="76" t="s">
        <v>103</v>
      </c>
      <c r="D109" s="76"/>
      <c r="E109" s="51">
        <f>'A1 Summary 2015 Appt (9-7-16)'!AA93*0</f>
        <v>0</v>
      </c>
      <c r="F109" s="51">
        <f>'A1 Summary 2015 Appt (9-7-16)'!G42</f>
        <v>43147661938.239998</v>
      </c>
      <c r="G109" s="92">
        <f>IF(ISERROR(ROUND(E109/F109,6)),0,ROUND(E109/F109,6))</f>
        <v>0</v>
      </c>
    </row>
    <row r="110" spans="2:7">
      <c r="G110" s="93"/>
    </row>
    <row r="111" spans="2:7">
      <c r="B111" s="50" t="s">
        <v>66</v>
      </c>
      <c r="C111" s="8" t="s">
        <v>84</v>
      </c>
      <c r="D111" s="8"/>
      <c r="G111" s="93"/>
    </row>
    <row r="112" spans="2:7">
      <c r="C112" s="2" t="s">
        <v>104</v>
      </c>
      <c r="D112" s="2"/>
      <c r="E112" s="51">
        <f>'A1 Summary 2015 Appt (9-7-16)'!AA73*0</f>
        <v>0</v>
      </c>
      <c r="F112" s="51">
        <f>'A1 Summary 2015 Appt (9-7-16)'!G73</f>
        <v>1790733908.5699999</v>
      </c>
      <c r="G112" s="94">
        <f>IF(ISERROR(ROUND(E112/F112,6)),0,ROUND(E112/F112,6))</f>
        <v>0</v>
      </c>
    </row>
    <row r="113" spans="2:7">
      <c r="G113" s="93"/>
    </row>
    <row r="114" spans="2:7">
      <c r="B114" s="37" t="s">
        <v>67</v>
      </c>
      <c r="C114" s="8" t="s">
        <v>68</v>
      </c>
      <c r="D114" s="8"/>
      <c r="G114" s="93"/>
    </row>
    <row r="115" spans="2:7">
      <c r="B115" s="37"/>
      <c r="C115" s="2" t="s">
        <v>105</v>
      </c>
      <c r="D115" s="2"/>
      <c r="E115" s="77"/>
      <c r="F115" s="51"/>
      <c r="G115" s="93"/>
    </row>
    <row r="116" spans="2:7">
      <c r="B116" s="3"/>
      <c r="C116" s="67" t="s">
        <v>124</v>
      </c>
      <c r="D116" s="2"/>
      <c r="E116" s="51">
        <f>'A1 Summary 2015 Appt (9-7-16)'!AA87</f>
        <v>0</v>
      </c>
      <c r="F116" s="51">
        <f>'A1 Summary 2015 Appt (9-7-16)'!G91</f>
        <v>13406494003.98</v>
      </c>
      <c r="G116" s="95">
        <f>IF(ISERROR(ROUND(E116/F116,6)),0,ROUND(E116/F116,6))</f>
        <v>0</v>
      </c>
    </row>
    <row r="117" spans="2:7">
      <c r="B117" s="3"/>
      <c r="C117" s="2"/>
      <c r="D117" s="2"/>
      <c r="E117" s="51"/>
      <c r="F117" s="51"/>
      <c r="G117" s="94"/>
    </row>
    <row r="118" spans="2:7">
      <c r="B118" s="37" t="s">
        <v>77</v>
      </c>
      <c r="C118" s="8" t="s">
        <v>97</v>
      </c>
      <c r="D118" s="8"/>
      <c r="G118" s="96">
        <f>G109+G112+G116+G116</f>
        <v>0</v>
      </c>
    </row>
    <row r="119" spans="2:7">
      <c r="B119" s="37"/>
      <c r="C119" s="8"/>
      <c r="D119" s="8"/>
      <c r="G119" s="96"/>
    </row>
    <row r="120" spans="2:7">
      <c r="B120" s="37" t="s">
        <v>79</v>
      </c>
      <c r="C120" s="8" t="s">
        <v>371</v>
      </c>
      <c r="D120" s="8"/>
      <c r="G120" s="97">
        <f>ROUND(G118/4,6)</f>
        <v>0</v>
      </c>
    </row>
    <row r="122" spans="2:7">
      <c r="B122" s="38" t="s">
        <v>400</v>
      </c>
    </row>
  </sheetData>
  <mergeCells count="2">
    <mergeCell ref="A1:G1"/>
    <mergeCell ref="A2:G2"/>
  </mergeCells>
  <pageMargins left="0.7" right="0.7" top="1.1716666666666666" bottom="0.75" header="0.3" footer="0.3"/>
  <pageSetup scale="94" orientation="landscape" r:id="rId1"/>
  <headerFooter>
    <oddHeader>&amp;RTO12 Annual Update
Attachment 4
WP Schedule 26
Page &amp;P of &amp;N</oddHeader>
    <oddFooter>&amp;C&amp;A</oddFooter>
  </headerFooter>
  <rowBreaks count="3" manualBreakCount="3">
    <brk id="40" max="16383" man="1"/>
    <brk id="75" max="16383" man="1"/>
    <brk id="9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AF156"/>
  <sheetViews>
    <sheetView defaultGridColor="0" colorId="22" zoomScale="85" zoomScaleNormal="85" workbookViewId="0">
      <pane xSplit="5" ySplit="8" topLeftCell="F42" activePane="bottomRight" state="frozen"/>
      <selection pane="topRight" activeCell="F1" sqref="F1"/>
      <selection pane="bottomLeft" activeCell="A11" sqref="A11"/>
      <selection pane="bottomRight" activeCell="G42" sqref="G42"/>
    </sheetView>
  </sheetViews>
  <sheetFormatPr defaultColWidth="9.140625" defaultRowHeight="12.75"/>
  <cols>
    <col min="1" max="2" width="10.7109375" style="160" customWidth="1"/>
    <col min="3" max="3" width="48.140625" style="160" customWidth="1"/>
    <col min="4" max="4" width="3.7109375" style="160" customWidth="1"/>
    <col min="5" max="5" width="6" style="160" customWidth="1"/>
    <col min="6" max="6" width="5.85546875" style="160" customWidth="1"/>
    <col min="7" max="7" width="20" style="164" customWidth="1"/>
    <col min="8" max="8" width="2.7109375" style="160" customWidth="1"/>
    <col min="9" max="9" width="17.28515625" style="160" customWidth="1"/>
    <col min="10" max="10" width="4.5703125" style="160" customWidth="1"/>
    <col min="11" max="11" width="21" style="164" customWidth="1"/>
    <col min="12" max="12" width="2.7109375" style="160" customWidth="1"/>
    <col min="13" max="13" width="15.7109375" style="160" customWidth="1"/>
    <col min="14" max="14" width="4.5703125" style="160" customWidth="1"/>
    <col min="15" max="15" width="18.42578125" style="164" customWidth="1"/>
    <col min="16" max="16" width="2.7109375" style="160" customWidth="1"/>
    <col min="17" max="17" width="14.5703125" style="160" customWidth="1"/>
    <col min="18" max="18" width="3.7109375" style="160" customWidth="1"/>
    <col min="19" max="19" width="17.85546875" style="164" customWidth="1"/>
    <col min="20" max="20" width="2.7109375" style="160" customWidth="1"/>
    <col min="21" max="21" width="12.85546875" style="160" customWidth="1"/>
    <col min="22" max="22" width="3.7109375" style="160" customWidth="1"/>
    <col min="23" max="23" width="15.7109375" style="164" customWidth="1"/>
    <col min="24" max="24" width="2.7109375" style="160" customWidth="1"/>
    <col min="25" max="25" width="12.85546875" style="160" customWidth="1"/>
    <col min="26" max="26" width="3.7109375" style="160" customWidth="1"/>
    <col min="27" max="27" width="15.7109375" style="164" customWidth="1"/>
    <col min="28" max="28" width="2.7109375" style="160" customWidth="1"/>
    <col min="29" max="29" width="11.85546875" style="160" customWidth="1"/>
    <col min="30" max="30" width="1.7109375" style="160" customWidth="1"/>
    <col min="31" max="31" width="14.42578125" style="160" bestFit="1" customWidth="1"/>
    <col min="32" max="32" width="34.7109375" style="160" customWidth="1"/>
    <col min="33" max="16384" width="9.140625" style="160"/>
  </cols>
  <sheetData>
    <row r="1" spans="1:32" ht="15">
      <c r="A1" s="155" t="s">
        <v>214</v>
      </c>
      <c r="B1" s="155"/>
      <c r="C1" s="156"/>
      <c r="D1" s="157"/>
      <c r="E1" s="157"/>
      <c r="F1" s="157"/>
      <c r="G1" s="158"/>
      <c r="H1" s="157"/>
      <c r="I1" s="157"/>
      <c r="J1" s="157"/>
      <c r="K1" s="159"/>
      <c r="L1" s="156"/>
      <c r="M1" s="156"/>
      <c r="N1" s="156"/>
      <c r="O1" s="159"/>
      <c r="P1" s="156"/>
      <c r="Q1" s="156"/>
      <c r="R1" s="156"/>
      <c r="S1" s="159"/>
      <c r="W1" s="159"/>
      <c r="X1" s="156"/>
      <c r="Y1" s="156"/>
      <c r="Z1" s="156"/>
      <c r="AA1" s="159"/>
      <c r="AB1" s="156" t="s">
        <v>215</v>
      </c>
      <c r="AC1" s="156"/>
      <c r="AD1" s="156"/>
      <c r="AE1" s="161"/>
    </row>
    <row r="2" spans="1:32" ht="15">
      <c r="A2" s="155" t="s">
        <v>216</v>
      </c>
      <c r="B2" s="155"/>
      <c r="C2" s="156"/>
      <c r="D2" s="157"/>
      <c r="E2" s="157"/>
      <c r="F2" s="157"/>
      <c r="G2" s="293" t="s">
        <v>383</v>
      </c>
      <c r="H2" s="157"/>
      <c r="I2" s="157"/>
      <c r="J2" s="157"/>
      <c r="K2" s="159"/>
      <c r="L2" s="156"/>
      <c r="M2" s="156"/>
      <c r="N2" s="156"/>
      <c r="O2" s="159"/>
      <c r="P2" s="156"/>
      <c r="Q2" s="156"/>
      <c r="R2" s="156"/>
      <c r="S2" s="159"/>
      <c r="T2" s="156"/>
      <c r="U2" s="156"/>
      <c r="V2" s="161"/>
      <c r="W2" s="159"/>
      <c r="X2" s="156"/>
      <c r="Y2" s="156"/>
      <c r="Z2" s="156"/>
      <c r="AA2" s="159"/>
      <c r="AB2" s="156"/>
      <c r="AC2" s="156"/>
      <c r="AD2" s="156"/>
      <c r="AE2" s="162"/>
      <c r="AF2" s="161"/>
    </row>
    <row r="3" spans="1:32" ht="15">
      <c r="A3" s="163" t="s">
        <v>376</v>
      </c>
      <c r="B3" s="163"/>
    </row>
    <row r="4" spans="1:32" ht="15" customHeight="1" thickBot="1">
      <c r="A4" s="315" t="s">
        <v>319</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165"/>
      <c r="AE4" s="165"/>
    </row>
    <row r="5" spans="1:32" ht="15" customHeight="1">
      <c r="A5" s="163"/>
      <c r="B5" s="163"/>
      <c r="S5" s="316" t="s">
        <v>217</v>
      </c>
      <c r="T5" s="316"/>
      <c r="U5" s="316"/>
      <c r="W5" s="316"/>
      <c r="X5" s="316"/>
      <c r="Y5" s="316"/>
    </row>
    <row r="6" spans="1:32" ht="14.25">
      <c r="A6" s="166"/>
      <c r="B6" s="166"/>
      <c r="C6" s="156"/>
      <c r="D6" s="156"/>
      <c r="E6" s="156"/>
      <c r="F6" s="159"/>
      <c r="G6" s="317" t="s">
        <v>218</v>
      </c>
      <c r="H6" s="317"/>
      <c r="I6" s="317"/>
      <c r="J6" s="159"/>
      <c r="K6" s="318" t="s">
        <v>219</v>
      </c>
      <c r="L6" s="318"/>
      <c r="M6" s="318"/>
      <c r="N6" s="159"/>
      <c r="O6" s="318" t="s">
        <v>221</v>
      </c>
      <c r="P6" s="318"/>
      <c r="Q6" s="318"/>
      <c r="R6" s="159"/>
      <c r="S6" s="318" t="s">
        <v>222</v>
      </c>
      <c r="T6" s="318"/>
      <c r="U6" s="318"/>
      <c r="V6" s="240"/>
      <c r="W6" s="318" t="s">
        <v>220</v>
      </c>
      <c r="X6" s="318"/>
      <c r="Y6" s="318"/>
      <c r="Z6" s="159"/>
      <c r="AA6" s="318" t="s">
        <v>320</v>
      </c>
      <c r="AB6" s="318"/>
      <c r="AC6" s="318"/>
    </row>
    <row r="7" spans="1:32">
      <c r="F7" s="164"/>
      <c r="G7" s="272"/>
      <c r="J7" s="164"/>
      <c r="K7" s="272"/>
      <c r="N7" s="164"/>
      <c r="O7" s="272"/>
      <c r="R7" s="164"/>
      <c r="S7" s="272"/>
      <c r="W7" s="272"/>
      <c r="Z7" s="164"/>
      <c r="AA7" s="272"/>
    </row>
    <row r="8" spans="1:32">
      <c r="A8" s="167" t="s">
        <v>223</v>
      </c>
      <c r="B8" s="167" t="s">
        <v>224</v>
      </c>
      <c r="C8" s="271" t="s">
        <v>225</v>
      </c>
      <c r="D8" s="271"/>
      <c r="E8" s="168"/>
      <c r="F8" s="159"/>
      <c r="G8" s="169" t="s">
        <v>377</v>
      </c>
      <c r="H8" s="156"/>
      <c r="I8" s="169" t="s">
        <v>321</v>
      </c>
      <c r="J8" s="159"/>
      <c r="K8" s="170" t="str">
        <f>G8</f>
        <v>2015</v>
      </c>
      <c r="L8" s="156"/>
      <c r="M8" s="170" t="str">
        <f>I8</f>
        <v>2014</v>
      </c>
      <c r="N8" s="159"/>
      <c r="O8" s="170" t="str">
        <f>W8</f>
        <v>2015</v>
      </c>
      <c r="P8" s="156"/>
      <c r="Q8" s="170" t="str">
        <f>Y8</f>
        <v>2014</v>
      </c>
      <c r="R8" s="159"/>
      <c r="S8" s="170" t="str">
        <f>O8</f>
        <v>2015</v>
      </c>
      <c r="T8" s="156"/>
      <c r="U8" s="170" t="str">
        <f>Q8</f>
        <v>2014</v>
      </c>
      <c r="V8" s="241"/>
      <c r="W8" s="170" t="str">
        <f>K8</f>
        <v>2015</v>
      </c>
      <c r="X8" s="156"/>
      <c r="Y8" s="170" t="str">
        <f>M8</f>
        <v>2014</v>
      </c>
      <c r="Z8" s="159"/>
      <c r="AA8" s="170" t="str">
        <f>S8</f>
        <v>2015</v>
      </c>
      <c r="AB8" s="156"/>
      <c r="AC8" s="170" t="str">
        <f>U8</f>
        <v>2014</v>
      </c>
    </row>
    <row r="9" spans="1:32">
      <c r="A9" s="156"/>
      <c r="B9" s="156"/>
      <c r="C9" s="171" t="s">
        <v>228</v>
      </c>
      <c r="D9" s="171"/>
      <c r="F9" s="164"/>
      <c r="G9" s="272" t="s">
        <v>322</v>
      </c>
      <c r="J9" s="164"/>
      <c r="K9" s="272" t="s">
        <v>322</v>
      </c>
      <c r="N9" s="164"/>
      <c r="O9" s="272" t="s">
        <v>322</v>
      </c>
      <c r="R9" s="164"/>
      <c r="S9" s="272" t="s">
        <v>322</v>
      </c>
      <c r="W9" s="272" t="s">
        <v>322</v>
      </c>
      <c r="Z9" s="164"/>
      <c r="AA9" s="272" t="s">
        <v>322</v>
      </c>
    </row>
    <row r="10" spans="1:32" ht="3" customHeight="1">
      <c r="F10" s="164"/>
      <c r="G10" s="160"/>
      <c r="J10" s="164"/>
      <c r="K10" s="160"/>
      <c r="N10" s="164"/>
      <c r="O10" s="172"/>
      <c r="R10" s="164"/>
      <c r="S10" s="160"/>
      <c r="W10" s="160"/>
      <c r="Z10" s="164"/>
      <c r="AA10" s="160"/>
    </row>
    <row r="11" spans="1:32">
      <c r="A11" s="173" t="s">
        <v>229</v>
      </c>
      <c r="B11" s="173"/>
      <c r="C11" s="160" t="s">
        <v>230</v>
      </c>
      <c r="E11" s="160" t="s">
        <v>231</v>
      </c>
      <c r="F11" s="164"/>
      <c r="G11" s="160">
        <f>+K11+O11+S11+W11+AA11</f>
        <v>37167277786.330009</v>
      </c>
      <c r="I11" s="160">
        <f>+M11+Q11+U11+Y11+AC11</f>
        <v>40395694062</v>
      </c>
      <c r="J11" s="272"/>
      <c r="K11" s="273">
        <v>35118091269</v>
      </c>
      <c r="L11" s="174"/>
      <c r="M11" s="273">
        <v>38377551259</v>
      </c>
      <c r="N11" s="175"/>
      <c r="O11" s="273">
        <v>1917119329.4400003</v>
      </c>
      <c r="P11" s="174"/>
      <c r="Q11" s="274">
        <v>1902686822</v>
      </c>
      <c r="R11" s="175"/>
      <c r="S11" s="273">
        <v>131859237.23000002</v>
      </c>
      <c r="T11" s="174"/>
      <c r="U11" s="275">
        <v>115356857</v>
      </c>
      <c r="V11" s="275"/>
      <c r="W11" s="273">
        <v>0</v>
      </c>
      <c r="X11" s="174"/>
      <c r="Y11" s="274">
        <v>0</v>
      </c>
      <c r="Z11" s="175"/>
      <c r="AA11" s="273">
        <v>207950.66</v>
      </c>
      <c r="AB11" s="174"/>
      <c r="AC11" s="274">
        <v>99124</v>
      </c>
    </row>
    <row r="12" spans="1:32">
      <c r="A12" s="173" t="s">
        <v>232</v>
      </c>
      <c r="B12" s="173"/>
      <c r="C12" s="160" t="s">
        <v>233</v>
      </c>
      <c r="E12" s="160" t="s">
        <v>231</v>
      </c>
      <c r="F12" s="164"/>
      <c r="G12" s="160">
        <f t="shared" ref="G12:I33" si="0">+K12+O12+S12+W12+AA12</f>
        <v>0</v>
      </c>
      <c r="I12" s="160">
        <f t="shared" si="0"/>
        <v>0</v>
      </c>
      <c r="J12" s="164"/>
      <c r="K12" s="273">
        <v>0</v>
      </c>
      <c r="L12" s="174"/>
      <c r="M12" s="276"/>
      <c r="N12" s="175"/>
      <c r="O12" s="273">
        <v>0</v>
      </c>
      <c r="P12" s="174"/>
      <c r="Q12" s="176"/>
      <c r="R12" s="175"/>
      <c r="S12" s="273">
        <v>0</v>
      </c>
      <c r="T12" s="174"/>
      <c r="U12" s="176"/>
      <c r="V12" s="176"/>
      <c r="W12" s="273">
        <v>0</v>
      </c>
      <c r="X12" s="174"/>
      <c r="Y12" s="176"/>
      <c r="Z12" s="175"/>
      <c r="AA12" s="273">
        <v>0</v>
      </c>
      <c r="AB12" s="174"/>
      <c r="AC12" s="176"/>
    </row>
    <row r="13" spans="1:32">
      <c r="A13" s="277" t="s">
        <v>378</v>
      </c>
      <c r="B13" s="173"/>
      <c r="C13" s="160" t="s">
        <v>234</v>
      </c>
      <c r="E13" s="160" t="s">
        <v>231</v>
      </c>
      <c r="F13" s="164"/>
      <c r="G13" s="160">
        <f t="shared" si="0"/>
        <v>16261747</v>
      </c>
      <c r="I13" s="160">
        <f t="shared" si="0"/>
        <v>16261747</v>
      </c>
      <c r="J13" s="164"/>
      <c r="K13" s="273">
        <v>16261747</v>
      </c>
      <c r="L13" s="174"/>
      <c r="M13" s="278">
        <v>16261747</v>
      </c>
      <c r="N13" s="175"/>
      <c r="O13" s="273">
        <v>0</v>
      </c>
      <c r="P13" s="174"/>
      <c r="Q13" s="176"/>
      <c r="R13" s="175"/>
      <c r="S13" s="273">
        <v>0</v>
      </c>
      <c r="T13" s="174"/>
      <c r="U13" s="176"/>
      <c r="V13" s="176"/>
      <c r="W13" s="273">
        <v>0</v>
      </c>
      <c r="X13" s="174"/>
      <c r="Y13" s="176"/>
      <c r="Z13" s="175"/>
      <c r="AA13" s="273">
        <v>0</v>
      </c>
      <c r="AB13" s="174"/>
      <c r="AC13" s="176"/>
    </row>
    <row r="14" spans="1:32">
      <c r="A14" s="173" t="s">
        <v>235</v>
      </c>
      <c r="B14" s="173"/>
      <c r="C14" s="160" t="s">
        <v>236</v>
      </c>
      <c r="E14" s="160" t="s">
        <v>231</v>
      </c>
      <c r="F14" s="164"/>
      <c r="G14" s="160">
        <f t="shared" si="0"/>
        <v>4401424254.199995</v>
      </c>
      <c r="I14" s="160">
        <f t="shared" si="0"/>
        <v>3580772761</v>
      </c>
      <c r="J14" s="164"/>
      <c r="K14" s="273">
        <v>4199207260.6799946</v>
      </c>
      <c r="L14" s="174"/>
      <c r="M14" s="278">
        <v>3532991204</v>
      </c>
      <c r="N14" s="175"/>
      <c r="O14" s="273">
        <v>75084268.13000004</v>
      </c>
      <c r="P14" s="174"/>
      <c r="Q14" s="279">
        <v>32363710</v>
      </c>
      <c r="R14" s="175"/>
      <c r="S14" s="273">
        <v>127111855.55</v>
      </c>
      <c r="T14" s="174"/>
      <c r="U14" s="279">
        <v>15312189</v>
      </c>
      <c r="V14" s="279"/>
      <c r="W14" s="273">
        <v>0</v>
      </c>
      <c r="X14" s="174"/>
      <c r="Y14" s="279"/>
      <c r="Z14" s="175"/>
      <c r="AA14" s="273">
        <v>20869.84</v>
      </c>
      <c r="AB14" s="174"/>
      <c r="AC14" s="176">
        <v>105658</v>
      </c>
    </row>
    <row r="15" spans="1:32">
      <c r="A15" s="173" t="s">
        <v>237</v>
      </c>
      <c r="B15" s="173"/>
      <c r="C15" s="160" t="s">
        <v>238</v>
      </c>
      <c r="E15" s="160" t="s">
        <v>231</v>
      </c>
      <c r="F15" s="164"/>
      <c r="G15" s="160">
        <f t="shared" si="0"/>
        <v>33593761</v>
      </c>
      <c r="I15" s="160">
        <f t="shared" si="0"/>
        <v>32358914</v>
      </c>
      <c r="J15" s="164"/>
      <c r="K15" s="273">
        <v>33593761</v>
      </c>
      <c r="L15" s="174"/>
      <c r="M15" s="278">
        <v>32358914</v>
      </c>
      <c r="N15" s="175"/>
      <c r="O15" s="273">
        <v>0</v>
      </c>
      <c r="P15" s="174"/>
      <c r="Q15" s="176"/>
      <c r="R15" s="175"/>
      <c r="S15" s="273">
        <v>0</v>
      </c>
      <c r="T15" s="174"/>
      <c r="U15" s="176"/>
      <c r="V15" s="176"/>
      <c r="W15" s="273">
        <v>0</v>
      </c>
      <c r="X15" s="174"/>
      <c r="Y15" s="176"/>
      <c r="Z15" s="175"/>
      <c r="AA15" s="273">
        <v>0</v>
      </c>
      <c r="AB15" s="174"/>
      <c r="AC15" s="176"/>
    </row>
    <row r="16" spans="1:32">
      <c r="A16" s="173" t="s">
        <v>239</v>
      </c>
      <c r="B16" s="173"/>
      <c r="C16" s="160" t="s">
        <v>240</v>
      </c>
      <c r="E16" s="160" t="s">
        <v>231</v>
      </c>
      <c r="F16" s="164"/>
      <c r="G16" s="160">
        <f t="shared" si="0"/>
        <v>153798751</v>
      </c>
      <c r="I16" s="160">
        <f t="shared" si="0"/>
        <v>143753025</v>
      </c>
      <c r="J16" s="164"/>
      <c r="K16" s="273">
        <v>153614456</v>
      </c>
      <c r="L16" s="174"/>
      <c r="M16" s="280">
        <v>143568730</v>
      </c>
      <c r="N16" s="175"/>
      <c r="O16" s="273">
        <v>184295</v>
      </c>
      <c r="P16" s="174"/>
      <c r="Q16" s="280">
        <v>184295</v>
      </c>
      <c r="R16" s="175"/>
      <c r="S16" s="273">
        <v>0</v>
      </c>
      <c r="T16" s="174"/>
      <c r="U16" s="176"/>
      <c r="V16" s="176"/>
      <c r="W16" s="273">
        <v>0</v>
      </c>
      <c r="X16" s="174"/>
      <c r="Y16" s="176"/>
      <c r="Z16" s="175"/>
      <c r="AA16" s="273">
        <v>0</v>
      </c>
      <c r="AB16" s="174"/>
      <c r="AC16" s="176"/>
    </row>
    <row r="17" spans="1:29">
      <c r="A17" s="173" t="s">
        <v>241</v>
      </c>
      <c r="B17" s="173"/>
      <c r="C17" s="160" t="s">
        <v>242</v>
      </c>
      <c r="E17" s="160" t="s">
        <v>231</v>
      </c>
      <c r="F17" s="164"/>
      <c r="G17" s="174">
        <f t="shared" si="0"/>
        <v>-20628063</v>
      </c>
      <c r="I17" s="174">
        <f t="shared" si="0"/>
        <v>-30152477</v>
      </c>
      <c r="J17" s="175"/>
      <c r="K17" s="273">
        <v>-47234322</v>
      </c>
      <c r="L17" s="174"/>
      <c r="M17" s="278">
        <v>-64973777</v>
      </c>
      <c r="N17" s="175"/>
      <c r="O17" s="273">
        <v>26606259</v>
      </c>
      <c r="P17" s="174"/>
      <c r="Q17" s="278">
        <v>34821300</v>
      </c>
      <c r="R17" s="175"/>
      <c r="S17" s="273">
        <v>0</v>
      </c>
      <c r="T17" s="174"/>
      <c r="U17" s="176"/>
      <c r="V17" s="176"/>
      <c r="W17" s="273">
        <v>0</v>
      </c>
      <c r="X17" s="174"/>
      <c r="Y17" s="278"/>
      <c r="Z17" s="175"/>
      <c r="AA17" s="273">
        <v>0</v>
      </c>
      <c r="AB17" s="174"/>
      <c r="AC17" s="176"/>
    </row>
    <row r="18" spans="1:29">
      <c r="A18" s="173" t="s">
        <v>243</v>
      </c>
      <c r="B18" s="173"/>
      <c r="C18" s="160" t="s">
        <v>244</v>
      </c>
      <c r="E18" s="160" t="s">
        <v>231</v>
      </c>
      <c r="F18" s="164"/>
      <c r="G18" s="174">
        <f t="shared" si="0"/>
        <v>-1513963624.9800005</v>
      </c>
      <c r="I18" s="174">
        <f t="shared" si="0"/>
        <v>-1725704811</v>
      </c>
      <c r="J18" s="175"/>
      <c r="K18" s="273">
        <v>-1501871068.3000004</v>
      </c>
      <c r="L18" s="174"/>
      <c r="M18" s="281">
        <v>-1717662021</v>
      </c>
      <c r="N18" s="175"/>
      <c r="O18" s="273">
        <v>-12092556.68</v>
      </c>
      <c r="P18" s="174"/>
      <c r="Q18" s="176">
        <v>-8042790</v>
      </c>
      <c r="R18" s="175"/>
      <c r="S18" s="273">
        <v>0</v>
      </c>
      <c r="T18" s="174"/>
      <c r="U18" s="176"/>
      <c r="V18" s="176"/>
      <c r="W18" s="273">
        <v>0</v>
      </c>
      <c r="X18" s="174"/>
      <c r="Y18" s="176">
        <v>0</v>
      </c>
      <c r="Z18" s="175"/>
      <c r="AA18" s="273">
        <v>0</v>
      </c>
      <c r="AB18" s="174"/>
      <c r="AC18" s="176"/>
    </row>
    <row r="19" spans="1:29">
      <c r="A19" s="173" t="s">
        <v>245</v>
      </c>
      <c r="B19" s="173"/>
      <c r="C19" s="160" t="s">
        <v>246</v>
      </c>
      <c r="E19" s="160" t="s">
        <v>231</v>
      </c>
      <c r="F19" s="164"/>
      <c r="G19" s="174">
        <f t="shared" si="0"/>
        <v>0</v>
      </c>
      <c r="I19" s="174">
        <f t="shared" si="0"/>
        <v>0</v>
      </c>
      <c r="J19" s="175"/>
      <c r="K19" s="273" t="s">
        <v>405</v>
      </c>
      <c r="L19" s="174"/>
      <c r="M19" s="278"/>
      <c r="N19" s="175"/>
      <c r="O19" s="273" t="s">
        <v>405</v>
      </c>
      <c r="P19" s="174"/>
      <c r="Q19" s="176"/>
      <c r="R19" s="175"/>
      <c r="S19" s="273" t="s">
        <v>405</v>
      </c>
      <c r="T19" s="174"/>
      <c r="U19" s="176"/>
      <c r="V19" s="176"/>
      <c r="W19" s="273" t="s">
        <v>405</v>
      </c>
      <c r="X19" s="174"/>
      <c r="Y19" s="177"/>
      <c r="Z19" s="175"/>
      <c r="AA19" s="273" t="s">
        <v>405</v>
      </c>
      <c r="AB19" s="174"/>
      <c r="AC19" s="176"/>
    </row>
    <row r="20" spans="1:29">
      <c r="A20" s="173" t="s">
        <v>247</v>
      </c>
      <c r="B20" s="282">
        <v>1216010</v>
      </c>
      <c r="C20" s="160" t="s">
        <v>248</v>
      </c>
      <c r="E20" s="160" t="s">
        <v>231</v>
      </c>
      <c r="F20" s="164"/>
      <c r="G20" s="174">
        <f t="shared" si="0"/>
        <v>0</v>
      </c>
      <c r="I20" s="174">
        <f t="shared" si="0"/>
        <v>0</v>
      </c>
      <c r="J20" s="175"/>
      <c r="K20" s="273" t="s">
        <v>405</v>
      </c>
      <c r="L20" s="174"/>
      <c r="M20" s="278"/>
      <c r="N20" s="175"/>
      <c r="O20" s="273" t="s">
        <v>405</v>
      </c>
      <c r="P20" s="174"/>
      <c r="Q20" s="176"/>
      <c r="R20" s="175"/>
      <c r="S20" s="273" t="s">
        <v>405</v>
      </c>
      <c r="T20" s="174"/>
      <c r="U20" s="176"/>
      <c r="V20" s="176"/>
      <c r="W20" s="273" t="s">
        <v>405</v>
      </c>
      <c r="X20" s="174"/>
      <c r="Y20" s="177"/>
      <c r="Z20" s="175"/>
      <c r="AA20" s="273" t="s">
        <v>405</v>
      </c>
      <c r="AB20" s="174"/>
      <c r="AC20" s="176"/>
    </row>
    <row r="21" spans="1:29">
      <c r="A21" s="173"/>
      <c r="B21" s="282">
        <v>1216011</v>
      </c>
      <c r="C21" s="160" t="s">
        <v>249</v>
      </c>
      <c r="E21" s="160" t="s">
        <v>231</v>
      </c>
      <c r="F21" s="164"/>
      <c r="G21" s="174">
        <f t="shared" si="0"/>
        <v>324256750</v>
      </c>
      <c r="I21" s="174">
        <f t="shared" si="0"/>
        <v>445015909</v>
      </c>
      <c r="J21" s="175"/>
      <c r="K21" s="273">
        <v>0</v>
      </c>
      <c r="L21" s="174"/>
      <c r="M21" s="278"/>
      <c r="N21" s="175"/>
      <c r="O21" s="273">
        <v>324256750</v>
      </c>
      <c r="P21" s="174"/>
      <c r="Q21" s="176">
        <v>445015909</v>
      </c>
      <c r="R21" s="175"/>
      <c r="S21" s="273">
        <v>0</v>
      </c>
      <c r="T21" s="174"/>
      <c r="U21" s="176"/>
      <c r="V21" s="176"/>
      <c r="W21" s="273">
        <v>0</v>
      </c>
      <c r="X21" s="174"/>
      <c r="Y21" s="177"/>
      <c r="Z21" s="175"/>
      <c r="AA21" s="273">
        <v>0</v>
      </c>
      <c r="AB21" s="174"/>
      <c r="AC21" s="278"/>
    </row>
    <row r="22" spans="1:29">
      <c r="A22" s="173"/>
      <c r="B22" s="282">
        <v>1216012</v>
      </c>
      <c r="C22" s="160" t="s">
        <v>250</v>
      </c>
      <c r="E22" s="160" t="s">
        <v>231</v>
      </c>
      <c r="F22" s="164"/>
      <c r="G22" s="174">
        <f t="shared" si="0"/>
        <v>-266262089</v>
      </c>
      <c r="I22" s="174">
        <f t="shared" si="0"/>
        <v>-391284137</v>
      </c>
      <c r="J22" s="175"/>
      <c r="K22" s="273">
        <v>0</v>
      </c>
      <c r="L22" s="174"/>
      <c r="M22" s="278"/>
      <c r="N22" s="175"/>
      <c r="O22" s="273">
        <v>-266262089</v>
      </c>
      <c r="P22" s="174"/>
      <c r="Q22" s="176">
        <v>-391284137</v>
      </c>
      <c r="R22" s="175"/>
      <c r="S22" s="273">
        <v>0</v>
      </c>
      <c r="T22" s="174"/>
      <c r="U22" s="176"/>
      <c r="V22" s="176"/>
      <c r="W22" s="273">
        <v>0</v>
      </c>
      <c r="X22" s="174"/>
      <c r="Y22" s="177"/>
      <c r="Z22" s="175"/>
      <c r="AA22" s="273">
        <v>0</v>
      </c>
      <c r="AB22" s="174"/>
      <c r="AC22" s="278"/>
    </row>
    <row r="23" spans="1:29">
      <c r="A23" s="173" t="s">
        <v>251</v>
      </c>
      <c r="B23" s="282">
        <v>1216015</v>
      </c>
      <c r="C23" s="160" t="s">
        <v>252</v>
      </c>
      <c r="E23" s="160" t="s">
        <v>231</v>
      </c>
      <c r="F23" s="164"/>
      <c r="G23" s="174">
        <f t="shared" si="0"/>
        <v>0</v>
      </c>
      <c r="I23" s="174">
        <f t="shared" si="0"/>
        <v>0</v>
      </c>
      <c r="J23" s="175"/>
      <c r="K23" s="273">
        <v>0</v>
      </c>
      <c r="L23" s="174"/>
      <c r="M23" s="278"/>
      <c r="N23" s="175"/>
      <c r="O23" s="273">
        <v>0</v>
      </c>
      <c r="P23" s="174"/>
      <c r="Q23" s="176"/>
      <c r="R23" s="175"/>
      <c r="S23" s="273">
        <v>0</v>
      </c>
      <c r="T23" s="174"/>
      <c r="U23" s="176"/>
      <c r="V23" s="176"/>
      <c r="W23" s="273">
        <v>0</v>
      </c>
      <c r="X23" s="174"/>
      <c r="Y23" s="177"/>
      <c r="Z23" s="175"/>
      <c r="AA23" s="273">
        <v>0</v>
      </c>
      <c r="AB23" s="174"/>
      <c r="AC23" s="176"/>
    </row>
    <row r="24" spans="1:29">
      <c r="A24" s="173"/>
      <c r="B24" s="282">
        <v>1216019</v>
      </c>
      <c r="C24" s="160" t="s">
        <v>253</v>
      </c>
      <c r="F24" s="164"/>
      <c r="G24" s="174">
        <f t="shared" si="0"/>
        <v>0</v>
      </c>
      <c r="I24" s="174">
        <f t="shared" si="0"/>
        <v>15702</v>
      </c>
      <c r="J24" s="175"/>
      <c r="K24" s="273">
        <v>0</v>
      </c>
      <c r="L24" s="174"/>
      <c r="M24" s="281">
        <v>15702</v>
      </c>
      <c r="N24" s="175"/>
      <c r="O24" s="273">
        <v>0</v>
      </c>
      <c r="P24" s="174"/>
      <c r="Q24" s="176"/>
      <c r="R24" s="175"/>
      <c r="S24" s="273">
        <v>0</v>
      </c>
      <c r="T24" s="174"/>
      <c r="U24" s="176"/>
      <c r="V24" s="176"/>
      <c r="W24" s="273">
        <v>0</v>
      </c>
      <c r="X24" s="174"/>
      <c r="Y24" s="177"/>
      <c r="Z24" s="175"/>
      <c r="AA24" s="273">
        <v>0</v>
      </c>
      <c r="AB24" s="174"/>
      <c r="AC24" s="179"/>
    </row>
    <row r="25" spans="1:29">
      <c r="A25" s="173" t="s">
        <v>254</v>
      </c>
      <c r="B25" s="282">
        <v>1216020</v>
      </c>
      <c r="C25" s="160" t="s">
        <v>255</v>
      </c>
      <c r="E25" s="160" t="s">
        <v>231</v>
      </c>
      <c r="F25" s="164"/>
      <c r="G25" s="174">
        <f t="shared" si="0"/>
        <v>0</v>
      </c>
      <c r="I25" s="174">
        <f t="shared" si="0"/>
        <v>0</v>
      </c>
      <c r="J25" s="175"/>
      <c r="K25" s="273">
        <v>0</v>
      </c>
      <c r="L25" s="174"/>
      <c r="M25" s="176"/>
      <c r="N25" s="175"/>
      <c r="O25" s="273">
        <v>0</v>
      </c>
      <c r="P25" s="174"/>
      <c r="Q25" s="176"/>
      <c r="R25" s="175"/>
      <c r="S25" s="273">
        <v>0</v>
      </c>
      <c r="T25" s="174"/>
      <c r="U25" s="176"/>
      <c r="V25" s="176"/>
      <c r="W25" s="273">
        <v>0</v>
      </c>
      <c r="X25" s="174"/>
      <c r="Y25" s="177"/>
      <c r="Z25" s="175"/>
      <c r="AA25" s="273">
        <v>0</v>
      </c>
      <c r="AB25" s="174"/>
      <c r="AC25" s="179"/>
    </row>
    <row r="26" spans="1:29">
      <c r="A26" s="173" t="s">
        <v>256</v>
      </c>
      <c r="B26" s="282">
        <v>1216025</v>
      </c>
      <c r="C26" s="160" t="s">
        <v>257</v>
      </c>
      <c r="E26" s="160" t="s">
        <v>231</v>
      </c>
      <c r="F26" s="164"/>
      <c r="G26" s="174">
        <f t="shared" si="0"/>
        <v>0</v>
      </c>
      <c r="I26" s="174">
        <f t="shared" si="0"/>
        <v>0</v>
      </c>
      <c r="J26" s="175"/>
      <c r="K26" s="273">
        <v>0</v>
      </c>
      <c r="L26" s="174"/>
      <c r="M26" s="174"/>
      <c r="N26" s="175"/>
      <c r="O26" s="273">
        <v>0</v>
      </c>
      <c r="P26" s="174"/>
      <c r="Q26" s="176"/>
      <c r="R26" s="175"/>
      <c r="S26" s="273">
        <v>0</v>
      </c>
      <c r="T26" s="174"/>
      <c r="U26" s="176"/>
      <c r="V26" s="176"/>
      <c r="W26" s="273">
        <v>0</v>
      </c>
      <c r="X26" s="174"/>
      <c r="Y26" s="177"/>
      <c r="Z26" s="175"/>
      <c r="AA26" s="273">
        <v>0</v>
      </c>
      <c r="AB26" s="174"/>
      <c r="AC26" s="179"/>
    </row>
    <row r="27" spans="1:29">
      <c r="A27" s="173" t="s">
        <v>258</v>
      </c>
      <c r="B27" s="178">
        <v>1217010</v>
      </c>
      <c r="C27" s="160" t="s">
        <v>259</v>
      </c>
      <c r="E27" s="160" t="s">
        <v>231</v>
      </c>
      <c r="F27" s="164"/>
      <c r="G27" s="174">
        <f t="shared" si="0"/>
        <v>0</v>
      </c>
      <c r="I27" s="174">
        <f t="shared" si="0"/>
        <v>0</v>
      </c>
      <c r="J27" s="175"/>
      <c r="K27" s="273">
        <v>0</v>
      </c>
      <c r="L27" s="174"/>
      <c r="M27" s="174"/>
      <c r="N27" s="175"/>
      <c r="O27" s="273">
        <v>0</v>
      </c>
      <c r="P27" s="174"/>
      <c r="Q27" s="176"/>
      <c r="R27" s="175"/>
      <c r="S27" s="273">
        <v>0</v>
      </c>
      <c r="T27" s="174"/>
      <c r="U27" s="176"/>
      <c r="V27" s="176"/>
      <c r="W27" s="273">
        <v>0</v>
      </c>
      <c r="X27" s="174"/>
      <c r="Y27" s="177"/>
      <c r="Z27" s="175"/>
      <c r="AA27" s="273">
        <v>0</v>
      </c>
      <c r="AB27" s="174"/>
      <c r="AC27" s="179"/>
    </row>
    <row r="28" spans="1:29">
      <c r="A28" s="173" t="s">
        <v>260</v>
      </c>
      <c r="B28" s="282">
        <v>1217015</v>
      </c>
      <c r="C28" s="160" t="s">
        <v>261</v>
      </c>
      <c r="E28" s="160" t="s">
        <v>231</v>
      </c>
      <c r="F28" s="164"/>
      <c r="G28" s="174">
        <f t="shared" si="0"/>
        <v>0</v>
      </c>
      <c r="I28" s="174">
        <f t="shared" si="0"/>
        <v>0</v>
      </c>
      <c r="J28" s="175"/>
      <c r="K28" s="273">
        <v>0</v>
      </c>
      <c r="L28" s="174"/>
      <c r="M28" s="174"/>
      <c r="N28" s="175"/>
      <c r="O28" s="273">
        <v>0</v>
      </c>
      <c r="P28" s="174"/>
      <c r="Q28" s="176"/>
      <c r="R28" s="175"/>
      <c r="S28" s="273">
        <v>0</v>
      </c>
      <c r="T28" s="174"/>
      <c r="U28" s="176"/>
      <c r="V28" s="176"/>
      <c r="W28" s="273">
        <v>0</v>
      </c>
      <c r="X28" s="174"/>
      <c r="Y28" s="177"/>
      <c r="Z28" s="175"/>
      <c r="AA28" s="273">
        <v>0</v>
      </c>
      <c r="AB28" s="174"/>
      <c r="AC28" s="179"/>
    </row>
    <row r="29" spans="1:29">
      <c r="A29" s="173" t="s">
        <v>262</v>
      </c>
      <c r="B29" s="282">
        <v>1217020</v>
      </c>
      <c r="C29" s="160" t="s">
        <v>263</v>
      </c>
      <c r="E29" s="160" t="s">
        <v>231</v>
      </c>
      <c r="F29" s="164"/>
      <c r="G29" s="174">
        <f t="shared" si="0"/>
        <v>0</v>
      </c>
      <c r="I29" s="174">
        <f t="shared" si="0"/>
        <v>0</v>
      </c>
      <c r="J29" s="175"/>
      <c r="K29" s="273">
        <v>0</v>
      </c>
      <c r="L29" s="174"/>
      <c r="M29" s="174"/>
      <c r="N29" s="175"/>
      <c r="O29" s="273">
        <v>0</v>
      </c>
      <c r="P29" s="174"/>
      <c r="Q29" s="176"/>
      <c r="R29" s="175"/>
      <c r="S29" s="273">
        <v>0</v>
      </c>
      <c r="T29" s="174"/>
      <c r="U29" s="176"/>
      <c r="V29" s="176"/>
      <c r="W29" s="273">
        <v>0</v>
      </c>
      <c r="X29" s="174"/>
      <c r="Y29" s="177"/>
      <c r="Z29" s="175"/>
      <c r="AA29" s="273">
        <v>0</v>
      </c>
      <c r="AB29" s="174"/>
      <c r="AC29" s="179"/>
    </row>
    <row r="30" spans="1:29">
      <c r="A30" s="173" t="s">
        <v>264</v>
      </c>
      <c r="B30" s="178"/>
      <c r="C30" s="160" t="s">
        <v>265</v>
      </c>
      <c r="E30" s="160" t="s">
        <v>231</v>
      </c>
      <c r="F30" s="164"/>
      <c r="G30" s="174">
        <f t="shared" si="0"/>
        <v>0</v>
      </c>
      <c r="I30" s="174">
        <f t="shared" si="0"/>
        <v>0</v>
      </c>
      <c r="J30" s="175"/>
      <c r="K30" s="273">
        <v>0</v>
      </c>
      <c r="L30" s="174"/>
      <c r="M30" s="174"/>
      <c r="N30" s="175"/>
      <c r="O30" s="273">
        <v>0</v>
      </c>
      <c r="P30" s="174"/>
      <c r="Q30" s="176"/>
      <c r="R30" s="175"/>
      <c r="S30" s="273">
        <v>0</v>
      </c>
      <c r="T30" s="174"/>
      <c r="U30" s="176"/>
      <c r="V30" s="176"/>
      <c r="W30" s="273">
        <v>0</v>
      </c>
      <c r="X30" s="174"/>
      <c r="Y30" s="177"/>
      <c r="Z30" s="175"/>
      <c r="AA30" s="273">
        <v>0</v>
      </c>
      <c r="AB30" s="174"/>
      <c r="AC30" s="179"/>
    </row>
    <row r="31" spans="1:29">
      <c r="A31" s="173" t="s">
        <v>266</v>
      </c>
      <c r="B31" s="282">
        <v>1217030</v>
      </c>
      <c r="C31" s="160" t="s">
        <v>267</v>
      </c>
      <c r="E31" s="160" t="s">
        <v>231</v>
      </c>
      <c r="F31" s="164"/>
      <c r="G31" s="174">
        <f t="shared" si="0"/>
        <v>0</v>
      </c>
      <c r="I31" s="174">
        <f t="shared" si="0"/>
        <v>0</v>
      </c>
      <c r="J31" s="175"/>
      <c r="K31" s="273">
        <v>0</v>
      </c>
      <c r="L31" s="174"/>
      <c r="M31" s="174"/>
      <c r="N31" s="175"/>
      <c r="O31" s="273">
        <v>0</v>
      </c>
      <c r="P31" s="174"/>
      <c r="Q31" s="176"/>
      <c r="R31" s="175"/>
      <c r="S31" s="273">
        <v>0</v>
      </c>
      <c r="T31" s="174"/>
      <c r="U31" s="176"/>
      <c r="V31" s="176"/>
      <c r="W31" s="273">
        <v>0</v>
      </c>
      <c r="X31" s="174"/>
      <c r="Y31" s="177"/>
      <c r="Z31" s="175"/>
      <c r="AA31" s="273">
        <v>0</v>
      </c>
      <c r="AB31" s="174"/>
      <c r="AC31" s="174"/>
    </row>
    <row r="32" spans="1:29">
      <c r="A32" s="173" t="s">
        <v>268</v>
      </c>
      <c r="B32" s="282">
        <v>1216031</v>
      </c>
      <c r="C32" s="174" t="s">
        <v>269</v>
      </c>
      <c r="E32" s="160" t="s">
        <v>231</v>
      </c>
      <c r="F32" s="283" t="s">
        <v>323</v>
      </c>
      <c r="G32" s="174">
        <f t="shared" si="0"/>
        <v>445978637.47000003</v>
      </c>
      <c r="I32" s="174">
        <f t="shared" si="0"/>
        <v>472018424</v>
      </c>
      <c r="J32" s="283" t="s">
        <v>323</v>
      </c>
      <c r="K32" s="176">
        <v>312079396.25999999</v>
      </c>
      <c r="L32" s="174"/>
      <c r="M32" s="176">
        <v>312271232</v>
      </c>
      <c r="N32" s="283" t="s">
        <v>323</v>
      </c>
      <c r="O32" s="176">
        <v>133899241.21000001</v>
      </c>
      <c r="P32" s="174"/>
      <c r="Q32" s="176">
        <v>159747192</v>
      </c>
      <c r="R32" s="175"/>
      <c r="S32" s="273" t="s">
        <v>405</v>
      </c>
      <c r="T32" s="174"/>
      <c r="U32" s="176"/>
      <c r="V32" s="176"/>
      <c r="W32" s="177"/>
      <c r="X32" s="174"/>
      <c r="Y32" s="177"/>
      <c r="Z32" s="175"/>
      <c r="AA32" s="174"/>
      <c r="AB32" s="174"/>
      <c r="AC32" s="174"/>
    </row>
    <row r="33" spans="1:29">
      <c r="A33" s="173"/>
      <c r="B33" s="178"/>
      <c r="C33" s="174" t="s">
        <v>270</v>
      </c>
      <c r="E33" s="160" t="s">
        <v>271</v>
      </c>
      <c r="F33" s="283" t="s">
        <v>324</v>
      </c>
      <c r="G33" s="174">
        <f t="shared" si="0"/>
        <v>276655352</v>
      </c>
      <c r="I33" s="174">
        <f t="shared" si="0"/>
        <v>305148509</v>
      </c>
      <c r="J33" s="283" t="s">
        <v>324</v>
      </c>
      <c r="K33" s="176">
        <v>276655352</v>
      </c>
      <c r="L33" s="174"/>
      <c r="M33" s="176">
        <v>305148509</v>
      </c>
      <c r="N33" s="175"/>
      <c r="O33" s="176"/>
      <c r="P33" s="174"/>
      <c r="Q33" s="177"/>
      <c r="R33" s="175"/>
      <c r="S33" s="174"/>
      <c r="T33" s="174"/>
      <c r="U33" s="177"/>
      <c r="V33" s="177"/>
      <c r="W33" s="174"/>
      <c r="X33" s="174"/>
      <c r="Y33" s="174"/>
      <c r="Z33" s="175"/>
      <c r="AA33" s="174"/>
      <c r="AB33" s="174"/>
      <c r="AC33" s="177"/>
    </row>
    <row r="34" spans="1:29" ht="3.95" customHeight="1">
      <c r="A34" s="156"/>
      <c r="B34" s="156"/>
      <c r="C34" s="156"/>
      <c r="D34" s="156"/>
      <c r="E34" s="156"/>
      <c r="F34" s="159"/>
      <c r="G34" s="168"/>
      <c r="H34" s="156"/>
      <c r="I34" s="180"/>
      <c r="J34" s="159"/>
      <c r="K34" s="168"/>
      <c r="L34" s="156"/>
      <c r="M34" s="242"/>
      <c r="N34" s="159"/>
      <c r="O34" s="168"/>
      <c r="P34" s="156"/>
      <c r="Q34" s="180"/>
      <c r="R34" s="159"/>
      <c r="S34" s="168"/>
      <c r="T34" s="156"/>
      <c r="U34" s="180"/>
      <c r="V34" s="180"/>
      <c r="W34" s="168"/>
      <c r="X34" s="156"/>
      <c r="Y34" s="180"/>
      <c r="Z34" s="159"/>
      <c r="AA34" s="168"/>
      <c r="AB34" s="156"/>
      <c r="AC34" s="180"/>
    </row>
    <row r="35" spans="1:29" ht="13.5" thickBot="1">
      <c r="C35" s="209" t="s">
        <v>325</v>
      </c>
      <c r="D35" s="181"/>
      <c r="F35" s="164"/>
      <c r="G35" s="160">
        <f>SUM(G11:G34)</f>
        <v>41018393262.020004</v>
      </c>
      <c r="H35" s="182"/>
      <c r="I35" s="183">
        <f>SUM(I11:I34)</f>
        <v>43243897628</v>
      </c>
      <c r="J35" s="184"/>
      <c r="K35" s="174">
        <f>SUM(K11:K34)</f>
        <v>38560397851.639992</v>
      </c>
      <c r="M35" s="183">
        <f>SUM(M11:M34)</f>
        <v>40937531499</v>
      </c>
      <c r="N35" s="164"/>
      <c r="O35" s="160">
        <f>SUM(O11:O34)</f>
        <v>2198795497.1000004</v>
      </c>
      <c r="Q35" s="183">
        <f>SUM(Q11:Q34)</f>
        <v>2175492301</v>
      </c>
      <c r="R35" s="164"/>
      <c r="S35" s="160">
        <f>SUM(S11:S34)</f>
        <v>258971092.78000003</v>
      </c>
      <c r="U35" s="183">
        <f>SUM(U11:U34)</f>
        <v>130669046</v>
      </c>
      <c r="V35" s="193"/>
      <c r="W35" s="160">
        <f>SUM(W11:W34)</f>
        <v>0</v>
      </c>
      <c r="Y35" s="183">
        <f>SUM(Y11:Y34)</f>
        <v>0</v>
      </c>
      <c r="Z35" s="164"/>
      <c r="AA35" s="160">
        <f>SUM(AA11:AA34)</f>
        <v>228820.5</v>
      </c>
      <c r="AC35" s="183">
        <f>SUM(AC11:AC34)</f>
        <v>204782</v>
      </c>
    </row>
    <row r="36" spans="1:29" ht="13.5" thickTop="1">
      <c r="C36" s="156" t="s">
        <v>326</v>
      </c>
      <c r="D36" s="181"/>
      <c r="F36" s="164"/>
      <c r="G36" s="160">
        <f>I35</f>
        <v>43243897628</v>
      </c>
      <c r="J36" s="164"/>
      <c r="K36" s="174">
        <f>M35</f>
        <v>40937531499</v>
      </c>
      <c r="N36" s="164"/>
      <c r="O36" s="160">
        <f>Q35</f>
        <v>2175492301</v>
      </c>
      <c r="R36" s="164"/>
      <c r="S36" s="160">
        <f>U35</f>
        <v>130669046</v>
      </c>
      <c r="W36" s="160">
        <f>Y35</f>
        <v>0</v>
      </c>
      <c r="Z36" s="164"/>
      <c r="AA36" s="160">
        <f>AC35</f>
        <v>204782</v>
      </c>
    </row>
    <row r="37" spans="1:29">
      <c r="A37" s="156"/>
      <c r="B37" s="156"/>
      <c r="C37" s="156" t="s">
        <v>327</v>
      </c>
      <c r="D37" s="181"/>
      <c r="E37" s="156"/>
      <c r="F37" s="159"/>
      <c r="G37" s="243">
        <f>SUM(G35:G36)</f>
        <v>84262290890.020004</v>
      </c>
      <c r="H37" s="156"/>
      <c r="I37" s="156"/>
      <c r="J37" s="159"/>
      <c r="K37" s="244">
        <f>SUM(K35:K36)</f>
        <v>79497929350.639984</v>
      </c>
      <c r="L37" s="156"/>
      <c r="M37" s="156"/>
      <c r="N37" s="159"/>
      <c r="O37" s="243">
        <f>SUM(O35:O36)</f>
        <v>4374287798.1000004</v>
      </c>
      <c r="P37" s="156"/>
      <c r="Q37" s="156"/>
      <c r="R37" s="159"/>
      <c r="S37" s="243">
        <f>SUM(S35:S36)</f>
        <v>389640138.78000003</v>
      </c>
      <c r="T37" s="156"/>
      <c r="U37" s="156"/>
      <c r="V37" s="156"/>
      <c r="W37" s="243">
        <f>SUM(W35:W36)</f>
        <v>0</v>
      </c>
      <c r="X37" s="156"/>
      <c r="Y37" s="156"/>
      <c r="Z37" s="159"/>
      <c r="AA37" s="243">
        <f>SUM(AA35:AA36)</f>
        <v>433602.5</v>
      </c>
      <c r="AB37" s="156"/>
      <c r="AC37" s="156"/>
    </row>
    <row r="38" spans="1:29">
      <c r="A38" s="156"/>
      <c r="B38" s="156"/>
      <c r="C38" s="156" t="s">
        <v>328</v>
      </c>
      <c r="D38" s="181"/>
      <c r="E38" s="156"/>
      <c r="F38" s="159"/>
      <c r="G38" s="180">
        <v>2</v>
      </c>
      <c r="H38" s="156"/>
      <c r="I38" s="156"/>
      <c r="J38" s="159"/>
      <c r="K38" s="180">
        <v>2</v>
      </c>
      <c r="L38" s="156"/>
      <c r="M38" s="156"/>
      <c r="N38" s="159"/>
      <c r="O38" s="180">
        <v>2</v>
      </c>
      <c r="P38" s="156"/>
      <c r="Q38" s="156"/>
      <c r="R38" s="159"/>
      <c r="S38" s="180">
        <v>2</v>
      </c>
      <c r="T38" s="156"/>
      <c r="U38" s="156"/>
      <c r="V38" s="156"/>
      <c r="W38" s="180">
        <v>2</v>
      </c>
      <c r="X38" s="156"/>
      <c r="Y38" s="156"/>
      <c r="Z38" s="159"/>
      <c r="AA38" s="180">
        <v>2</v>
      </c>
      <c r="AB38" s="156"/>
      <c r="AC38" s="156"/>
    </row>
    <row r="39" spans="1:29">
      <c r="A39" s="156"/>
      <c r="B39" s="156"/>
      <c r="C39" s="156" t="s">
        <v>329</v>
      </c>
      <c r="D39" s="181"/>
      <c r="E39" s="156"/>
      <c r="F39" s="159"/>
      <c r="G39" s="243">
        <f>ROUND(G37/G38,0)</f>
        <v>42131145445</v>
      </c>
      <c r="H39" s="156"/>
      <c r="I39" s="156"/>
      <c r="J39" s="159"/>
      <c r="K39" s="243">
        <f>ROUND(K37/K38,0)</f>
        <v>39748964675</v>
      </c>
      <c r="L39" s="156"/>
      <c r="M39" s="156"/>
      <c r="N39" s="159"/>
      <c r="O39" s="243">
        <f>ROUND(O37/O38,0)</f>
        <v>2187143899</v>
      </c>
      <c r="P39" s="156"/>
      <c r="Q39" s="156"/>
      <c r="R39" s="159"/>
      <c r="S39" s="243">
        <f>ROUND(S37/S38,0)</f>
        <v>194820069</v>
      </c>
      <c r="T39" s="156"/>
      <c r="U39" s="156"/>
      <c r="V39" s="156"/>
      <c r="W39" s="243">
        <f>ROUND(W37/W38,0)</f>
        <v>0</v>
      </c>
      <c r="X39" s="156"/>
      <c r="Y39" s="156"/>
      <c r="Z39" s="159"/>
      <c r="AA39" s="243">
        <f>ROUND(AA37/AA38,0)</f>
        <v>216801</v>
      </c>
      <c r="AB39" s="156"/>
      <c r="AC39" s="156"/>
    </row>
    <row r="40" spans="1:29">
      <c r="A40" s="156"/>
      <c r="B40" s="156"/>
      <c r="C40" s="185" t="s">
        <v>300</v>
      </c>
      <c r="D40" s="181"/>
      <c r="E40" s="156"/>
      <c r="F40" s="245" t="s">
        <v>330</v>
      </c>
      <c r="G40" s="180">
        <f>+G65</f>
        <v>1016516492.24</v>
      </c>
      <c r="H40" s="156"/>
      <c r="J40" s="245" t="s">
        <v>331</v>
      </c>
      <c r="K40" s="180">
        <f>+K65</f>
        <v>1010727456</v>
      </c>
      <c r="L40" s="156"/>
      <c r="N40" s="245" t="s">
        <v>303</v>
      </c>
      <c r="O40" s="180">
        <f>+O65</f>
        <v>5446576</v>
      </c>
      <c r="P40" s="188" t="s">
        <v>273</v>
      </c>
      <c r="Q40" s="156"/>
      <c r="R40" s="245" t="s">
        <v>304</v>
      </c>
      <c r="S40" s="180">
        <f>+S65</f>
        <v>0</v>
      </c>
      <c r="T40" s="157"/>
      <c r="V40" s="245" t="s">
        <v>332</v>
      </c>
      <c r="W40" s="180">
        <f>+W65</f>
        <v>0</v>
      </c>
      <c r="X40" s="187" t="s">
        <v>272</v>
      </c>
      <c r="Y40" s="157"/>
      <c r="Z40" s="245" t="s">
        <v>333</v>
      </c>
      <c r="AA40" s="180">
        <f>+AA65</f>
        <v>342460.24</v>
      </c>
      <c r="AB40" s="189"/>
      <c r="AC40" s="156"/>
    </row>
    <row r="41" spans="1:29">
      <c r="A41" s="156"/>
      <c r="B41" s="156"/>
      <c r="C41" s="185" t="s">
        <v>278</v>
      </c>
      <c r="D41" s="181"/>
      <c r="E41" s="156"/>
      <c r="F41" s="159"/>
      <c r="G41" s="180">
        <v>1</v>
      </c>
      <c r="H41" s="156"/>
      <c r="J41" s="284"/>
      <c r="K41" s="180">
        <v>0</v>
      </c>
      <c r="L41" s="156"/>
      <c r="N41" s="186"/>
      <c r="O41" s="180">
        <v>0</v>
      </c>
      <c r="P41" s="188"/>
      <c r="Q41" s="156"/>
      <c r="R41" s="158"/>
      <c r="S41" s="180">
        <v>0</v>
      </c>
      <c r="T41" s="157"/>
      <c r="V41" s="186"/>
      <c r="W41" s="180">
        <v>0</v>
      </c>
      <c r="X41" s="187"/>
      <c r="Y41" s="157"/>
      <c r="Z41" s="186"/>
      <c r="AA41" s="180">
        <v>0</v>
      </c>
      <c r="AB41" s="189"/>
      <c r="AC41" s="156"/>
    </row>
    <row r="42" spans="1:29" ht="15.75" thickBot="1">
      <c r="A42" s="156"/>
      <c r="B42" s="156"/>
      <c r="C42" s="155" t="s">
        <v>334</v>
      </c>
      <c r="D42" s="181"/>
      <c r="E42" s="162"/>
      <c r="F42" s="159"/>
      <c r="G42" s="246">
        <f>SUM(G39:G41)</f>
        <v>43147661938.239998</v>
      </c>
      <c r="H42" s="155"/>
      <c r="I42" s="155"/>
      <c r="J42" s="159"/>
      <c r="K42" s="246">
        <f>SUM(K39:K40)</f>
        <v>40759692131</v>
      </c>
      <c r="L42" s="155"/>
      <c r="M42" s="155"/>
      <c r="N42" s="159"/>
      <c r="O42" s="246">
        <f>SUM(O39:O40)</f>
        <v>2192590475</v>
      </c>
      <c r="P42" s="155"/>
      <c r="Q42" s="155"/>
      <c r="R42" s="159"/>
      <c r="S42" s="246">
        <f>SUM(S39:S40)</f>
        <v>194820069</v>
      </c>
      <c r="T42" s="155"/>
      <c r="U42" s="155"/>
      <c r="V42" s="155"/>
      <c r="W42" s="246">
        <f>SUM(W39:W40)</f>
        <v>0</v>
      </c>
      <c r="X42" s="155"/>
      <c r="Y42" s="155"/>
      <c r="Z42" s="159"/>
      <c r="AA42" s="246">
        <f>SUM(AA39:AA40)</f>
        <v>559261.24</v>
      </c>
      <c r="AB42" s="155"/>
      <c r="AC42" s="155"/>
    </row>
    <row r="43" spans="1:29" ht="13.5" thickTop="1">
      <c r="D43" s="190"/>
      <c r="F43" s="164"/>
      <c r="G43" s="160"/>
      <c r="J43" s="164"/>
      <c r="K43" s="160"/>
      <c r="N43" s="164"/>
      <c r="O43" s="160"/>
      <c r="R43" s="164"/>
      <c r="S43" s="160"/>
      <c r="W43" s="160"/>
      <c r="Z43" s="164"/>
      <c r="AA43" s="191"/>
    </row>
    <row r="44" spans="1:29">
      <c r="D44" s="190"/>
      <c r="F44" s="164"/>
      <c r="G44" s="160"/>
      <c r="J44" s="164"/>
      <c r="K44" s="160"/>
      <c r="N44" s="164"/>
      <c r="O44" s="160"/>
      <c r="R44" s="164"/>
      <c r="S44" s="160"/>
      <c r="W44" s="160"/>
      <c r="Z44" s="164"/>
      <c r="AA44" s="191"/>
    </row>
    <row r="45" spans="1:29">
      <c r="C45" s="247" t="s">
        <v>335</v>
      </c>
      <c r="D45" s="190"/>
      <c r="F45" s="164"/>
      <c r="G45" s="160"/>
      <c r="J45" s="164"/>
      <c r="K45" s="160"/>
      <c r="N45" s="164"/>
      <c r="O45" s="160"/>
      <c r="R45" s="164"/>
      <c r="S45" s="160"/>
      <c r="W45" s="160"/>
      <c r="Z45" s="164"/>
      <c r="AA45" s="191"/>
    </row>
    <row r="46" spans="1:29">
      <c r="C46" s="248" t="s">
        <v>336</v>
      </c>
      <c r="F46" s="285" t="s">
        <v>322</v>
      </c>
      <c r="G46" s="174">
        <f t="shared" ref="G46:G54" si="1">+K46+O46+S46+W46+AA46</f>
        <v>40465876421.649986</v>
      </c>
      <c r="J46" s="285" t="s">
        <v>322</v>
      </c>
      <c r="K46" s="160">
        <v>37971663103.37999</v>
      </c>
      <c r="N46" s="285" t="s">
        <v>322</v>
      </c>
      <c r="O46" s="160">
        <v>2203800127.8900008</v>
      </c>
      <c r="R46" s="285" t="s">
        <v>322</v>
      </c>
      <c r="S46" s="160">
        <v>290184369.88</v>
      </c>
      <c r="V46" s="285" t="s">
        <v>322</v>
      </c>
      <c r="W46" s="160">
        <v>0</v>
      </c>
      <c r="Z46" s="285" t="s">
        <v>322</v>
      </c>
      <c r="AA46" s="160">
        <v>228820.5</v>
      </c>
    </row>
    <row r="47" spans="1:29">
      <c r="C47" s="248" t="s">
        <v>274</v>
      </c>
      <c r="F47" s="285" t="s">
        <v>322</v>
      </c>
      <c r="G47" s="174">
        <f t="shared" si="1"/>
        <v>-31213277.099999994</v>
      </c>
      <c r="J47" s="285" t="s">
        <v>322</v>
      </c>
      <c r="K47" s="174">
        <v>0</v>
      </c>
      <c r="N47" s="285" t="s">
        <v>322</v>
      </c>
      <c r="O47" s="174">
        <v>0</v>
      </c>
      <c r="R47" s="285" t="s">
        <v>322</v>
      </c>
      <c r="S47" s="174">
        <v>-31213277.099999994</v>
      </c>
      <c r="V47" s="285" t="s">
        <v>322</v>
      </c>
      <c r="W47" s="174">
        <v>0</v>
      </c>
      <c r="Z47" s="285" t="s">
        <v>322</v>
      </c>
      <c r="AA47" s="174">
        <v>0</v>
      </c>
    </row>
    <row r="48" spans="1:29">
      <c r="C48" s="248" t="s">
        <v>275</v>
      </c>
      <c r="F48" s="285" t="s">
        <v>322</v>
      </c>
      <c r="G48" s="174">
        <f t="shared" si="1"/>
        <v>-459754978</v>
      </c>
      <c r="J48" s="285" t="s">
        <v>322</v>
      </c>
      <c r="K48" s="174">
        <v>0</v>
      </c>
      <c r="N48" s="285" t="s">
        <v>322</v>
      </c>
      <c r="O48" s="174">
        <v>-459754978</v>
      </c>
      <c r="R48" s="285" t="s">
        <v>322</v>
      </c>
      <c r="S48" s="174">
        <v>0</v>
      </c>
      <c r="V48" s="285" t="s">
        <v>322</v>
      </c>
      <c r="W48" s="174">
        <v>0</v>
      </c>
      <c r="Z48" s="285" t="s">
        <v>322</v>
      </c>
      <c r="AA48" s="174">
        <v>0</v>
      </c>
    </row>
    <row r="49" spans="1:27">
      <c r="C49" s="248" t="s">
        <v>337</v>
      </c>
      <c r="F49" s="285" t="s">
        <v>322</v>
      </c>
      <c r="G49" s="174">
        <f t="shared" si="1"/>
        <v>320851106</v>
      </c>
      <c r="J49" s="285" t="s">
        <v>322</v>
      </c>
      <c r="K49" s="174">
        <v>0</v>
      </c>
      <c r="N49" s="285" t="s">
        <v>322</v>
      </c>
      <c r="O49" s="174">
        <v>320851106</v>
      </c>
      <c r="R49" s="285" t="s">
        <v>322</v>
      </c>
      <c r="S49" s="174">
        <v>0</v>
      </c>
      <c r="V49" s="285" t="s">
        <v>322</v>
      </c>
      <c r="W49" s="174">
        <v>0</v>
      </c>
      <c r="Z49" s="285" t="s">
        <v>322</v>
      </c>
      <c r="AA49" s="174">
        <v>0</v>
      </c>
    </row>
    <row r="50" spans="1:27">
      <c r="C50" s="248" t="s">
        <v>276</v>
      </c>
      <c r="F50" s="285" t="s">
        <v>323</v>
      </c>
      <c r="G50" s="174">
        <f t="shared" si="1"/>
        <v>445978637.47000003</v>
      </c>
      <c r="J50" s="285" t="s">
        <v>323</v>
      </c>
      <c r="K50" s="174">
        <v>312079396.25999999</v>
      </c>
      <c r="N50" s="285" t="s">
        <v>323</v>
      </c>
      <c r="O50" s="174">
        <v>133899241.21000001</v>
      </c>
      <c r="R50" s="285" t="s">
        <v>323</v>
      </c>
      <c r="S50" s="174" t="str">
        <f>S32</f>
        <v/>
      </c>
      <c r="V50" s="285" t="s">
        <v>323</v>
      </c>
      <c r="W50" s="174">
        <f>W32</f>
        <v>0</v>
      </c>
      <c r="Z50" s="285" t="s">
        <v>323</v>
      </c>
      <c r="AA50" s="174">
        <f>AA32</f>
        <v>0</v>
      </c>
    </row>
    <row r="51" spans="1:27">
      <c r="C51" s="248" t="s">
        <v>277</v>
      </c>
      <c r="F51" s="285" t="s">
        <v>324</v>
      </c>
      <c r="G51" s="174">
        <f t="shared" si="1"/>
        <v>276655352</v>
      </c>
      <c r="J51" s="285" t="s">
        <v>324</v>
      </c>
      <c r="K51" s="174">
        <f>K33</f>
        <v>276655352</v>
      </c>
      <c r="N51" s="285" t="s">
        <v>324</v>
      </c>
      <c r="O51" s="174">
        <f>O33</f>
        <v>0</v>
      </c>
      <c r="R51" s="285" t="s">
        <v>324</v>
      </c>
      <c r="S51" s="174">
        <f>S33</f>
        <v>0</v>
      </c>
      <c r="V51" s="285" t="s">
        <v>324</v>
      </c>
      <c r="W51" s="174">
        <f>W33</f>
        <v>0</v>
      </c>
      <c r="Z51" s="285" t="s">
        <v>324</v>
      </c>
      <c r="AA51" s="174">
        <f>AA33</f>
        <v>0</v>
      </c>
    </row>
    <row r="52" spans="1:27">
      <c r="C52" s="248" t="s">
        <v>278</v>
      </c>
      <c r="F52" s="283"/>
      <c r="G52" s="174">
        <f t="shared" si="1"/>
        <v>0</v>
      </c>
      <c r="J52" s="283"/>
      <c r="K52" s="174">
        <v>0</v>
      </c>
      <c r="N52" s="283"/>
      <c r="O52" s="174">
        <v>0</v>
      </c>
      <c r="R52" s="283"/>
      <c r="S52" s="174">
        <v>0</v>
      </c>
      <c r="V52" s="283"/>
      <c r="W52" s="174">
        <v>0</v>
      </c>
      <c r="Z52" s="283"/>
      <c r="AA52" s="174">
        <v>0</v>
      </c>
    </row>
    <row r="53" spans="1:27">
      <c r="C53" s="248" t="s">
        <v>325</v>
      </c>
      <c r="E53" s="182"/>
      <c r="F53" s="190"/>
      <c r="G53" s="286">
        <f>SUM(G46:G52)</f>
        <v>41018393262.019989</v>
      </c>
      <c r="J53" s="190"/>
      <c r="K53" s="286">
        <f>SUM(K46:K52)</f>
        <v>38560397851.639992</v>
      </c>
      <c r="N53" s="190"/>
      <c r="O53" s="286">
        <f>SUM(O46:O52)</f>
        <v>2198795497.1000009</v>
      </c>
      <c r="R53" s="190"/>
      <c r="S53" s="286">
        <f>SUM(S46:S52)</f>
        <v>258971092.78</v>
      </c>
      <c r="V53" s="190"/>
      <c r="W53" s="286">
        <f>SUM(W46:W52)</f>
        <v>0</v>
      </c>
      <c r="Z53" s="190"/>
      <c r="AA53" s="286">
        <f>SUM(AA46:AA52)</f>
        <v>228820.5</v>
      </c>
    </row>
    <row r="54" spans="1:27">
      <c r="C54" s="248" t="s">
        <v>338</v>
      </c>
      <c r="G54" s="174">
        <f t="shared" si="1"/>
        <v>41018393262.019989</v>
      </c>
      <c r="K54" s="160">
        <f>K35</f>
        <v>38560397851.639992</v>
      </c>
      <c r="O54" s="160">
        <f>O35</f>
        <v>2198795497.1000004</v>
      </c>
      <c r="S54" s="160">
        <f>S35</f>
        <v>258971092.78000003</v>
      </c>
      <c r="W54" s="160">
        <f>W35</f>
        <v>0</v>
      </c>
      <c r="AA54" s="160">
        <f>AA35</f>
        <v>228820.5</v>
      </c>
    </row>
    <row r="55" spans="1:27" ht="13.5" thickBot="1">
      <c r="C55" s="248" t="s">
        <v>339</v>
      </c>
      <c r="E55" s="193"/>
      <c r="F55" s="193"/>
      <c r="G55" s="195">
        <f>G53-G54</f>
        <v>0</v>
      </c>
      <c r="H55" s="193"/>
      <c r="I55" s="193"/>
      <c r="J55" s="193"/>
      <c r="K55" s="287">
        <f>K53-K54</f>
        <v>0</v>
      </c>
      <c r="L55" s="193"/>
      <c r="M55" s="193"/>
      <c r="N55" s="193"/>
      <c r="O55" s="195">
        <f>O53-O54</f>
        <v>0</v>
      </c>
      <c r="R55" s="193"/>
      <c r="S55" s="195">
        <f>S53-S54</f>
        <v>0</v>
      </c>
      <c r="V55" s="193"/>
      <c r="W55" s="195">
        <f>W53-W54</f>
        <v>0</v>
      </c>
      <c r="Z55" s="193"/>
      <c r="AA55" s="195">
        <f>AA53-AA54</f>
        <v>0</v>
      </c>
    </row>
    <row r="56" spans="1:27" ht="13.5" thickTop="1">
      <c r="C56" s="192"/>
      <c r="D56" s="193"/>
      <c r="E56" s="193"/>
      <c r="F56" s="226"/>
      <c r="G56" s="193"/>
      <c r="H56" s="193"/>
      <c r="I56" s="193"/>
      <c r="J56" s="226"/>
      <c r="K56" s="193"/>
      <c r="L56" s="193"/>
      <c r="M56" s="193"/>
      <c r="N56" s="164"/>
      <c r="O56" s="160"/>
      <c r="R56" s="164"/>
      <c r="S56" s="160"/>
      <c r="W56" s="160"/>
      <c r="Z56" s="164"/>
      <c r="AA56" s="160"/>
    </row>
    <row r="57" spans="1:27">
      <c r="C57" s="192"/>
      <c r="D57" s="193"/>
      <c r="E57" s="193"/>
      <c r="F57" s="226"/>
      <c r="G57" s="193"/>
      <c r="H57" s="193"/>
      <c r="I57" s="193"/>
      <c r="J57" s="226"/>
      <c r="K57" s="193"/>
      <c r="L57" s="193"/>
      <c r="M57" s="193"/>
      <c r="N57" s="164"/>
      <c r="O57" s="160"/>
      <c r="R57" s="164"/>
      <c r="S57" s="160"/>
      <c r="W57" s="160"/>
      <c r="Z57" s="164"/>
      <c r="AA57" s="160"/>
    </row>
    <row r="58" spans="1:27">
      <c r="A58" s="288" t="s">
        <v>340</v>
      </c>
      <c r="C58" s="192"/>
      <c r="D58" s="193"/>
      <c r="E58" s="193"/>
      <c r="F58" s="226"/>
      <c r="G58" s="193"/>
      <c r="H58" s="193"/>
      <c r="I58" s="193"/>
      <c r="J58" s="226"/>
      <c r="K58" s="193"/>
      <c r="L58" s="193"/>
      <c r="M58" s="193"/>
      <c r="N58" s="164"/>
      <c r="O58" s="160"/>
      <c r="R58" s="164"/>
      <c r="S58" s="160"/>
      <c r="W58" s="160"/>
      <c r="Z58" s="164"/>
      <c r="AA58" s="160"/>
    </row>
    <row r="59" spans="1:27">
      <c r="A59" s="160" t="s">
        <v>341</v>
      </c>
      <c r="C59" s="192"/>
      <c r="D59" s="193"/>
      <c r="E59" s="193"/>
      <c r="F59" s="181" t="s">
        <v>342</v>
      </c>
      <c r="G59" s="174">
        <f>+K59+O59+S59+W59+AA59</f>
        <v>14982.635499999999</v>
      </c>
      <c r="H59" s="193"/>
      <c r="I59" s="193"/>
      <c r="J59" s="226"/>
      <c r="K59" s="193"/>
      <c r="L59" s="193"/>
      <c r="M59" s="193"/>
      <c r="N59" s="164"/>
      <c r="O59" s="160"/>
      <c r="R59" s="164"/>
      <c r="S59" s="160"/>
      <c r="W59" s="160"/>
      <c r="Z59" s="181" t="s">
        <v>342</v>
      </c>
      <c r="AA59" s="160">
        <v>14982.635499999999</v>
      </c>
    </row>
    <row r="60" spans="1:27">
      <c r="A60" s="156" t="s">
        <v>343</v>
      </c>
      <c r="C60" s="192"/>
      <c r="D60" s="193"/>
      <c r="E60" s="193"/>
      <c r="F60" s="181" t="s">
        <v>379</v>
      </c>
      <c r="G60" s="174">
        <f>+K60+O60+S60+W60+AA60</f>
        <v>680822</v>
      </c>
      <c r="H60" s="193"/>
      <c r="I60" s="193"/>
      <c r="J60" s="226"/>
      <c r="K60" s="193"/>
      <c r="L60" s="193"/>
      <c r="M60" s="193"/>
      <c r="N60" s="181" t="s">
        <v>379</v>
      </c>
      <c r="O60" s="160">
        <v>680822</v>
      </c>
      <c r="R60" s="164"/>
      <c r="S60" s="160"/>
      <c r="W60" s="160"/>
      <c r="Z60" s="164"/>
      <c r="AA60" s="160"/>
    </row>
    <row r="61" spans="1:27">
      <c r="A61" s="156" t="s">
        <v>344</v>
      </c>
      <c r="C61" s="192"/>
      <c r="D61" s="193"/>
      <c r="E61" s="193"/>
      <c r="F61" s="226"/>
      <c r="G61" s="174">
        <f>+K61+O61+S61+W61+AA61</f>
        <v>0</v>
      </c>
      <c r="H61" s="193"/>
      <c r="I61" s="193"/>
      <c r="J61" s="226"/>
      <c r="K61" s="193"/>
      <c r="L61" s="193"/>
      <c r="M61" s="193"/>
      <c r="N61" s="164"/>
      <c r="O61" s="160"/>
      <c r="R61" s="164"/>
      <c r="S61" s="160"/>
      <c r="W61" s="160">
        <v>0</v>
      </c>
      <c r="Z61" s="164"/>
      <c r="AA61" s="160"/>
    </row>
    <row r="62" spans="1:27">
      <c r="A62" s="185" t="s">
        <v>380</v>
      </c>
      <c r="C62" s="192"/>
      <c r="D62" s="193"/>
      <c r="E62" s="193"/>
      <c r="F62" s="181"/>
      <c r="G62" s="249">
        <f>+K62+O62+S62+W62+AA62</f>
        <v>126368756.8945</v>
      </c>
      <c r="H62" s="193"/>
      <c r="I62" s="193"/>
      <c r="J62" s="181" t="s">
        <v>345</v>
      </c>
      <c r="K62" s="204">
        <v>126340932</v>
      </c>
      <c r="L62" s="193"/>
      <c r="M62" s="193"/>
      <c r="N62" s="164"/>
      <c r="O62" s="204"/>
      <c r="R62" s="164"/>
      <c r="S62" s="204"/>
      <c r="W62" s="204"/>
      <c r="Z62" s="181" t="s">
        <v>342</v>
      </c>
      <c r="AA62" s="204">
        <v>27824.894499999999</v>
      </c>
    </row>
    <row r="63" spans="1:27">
      <c r="A63" s="185" t="s">
        <v>346</v>
      </c>
      <c r="C63" s="192"/>
      <c r="D63" s="193"/>
      <c r="E63" s="193"/>
      <c r="F63" s="226"/>
      <c r="G63" s="222">
        <f>SUM(G59:G62)</f>
        <v>127064561.53</v>
      </c>
      <c r="H63" s="193"/>
      <c r="I63" s="193"/>
      <c r="J63" s="226"/>
      <c r="K63" s="222">
        <f>SUM(K59:K62)</f>
        <v>126340932</v>
      </c>
      <c r="L63" s="193"/>
      <c r="M63" s="193"/>
      <c r="N63" s="164"/>
      <c r="O63" s="222">
        <f>SUM(O59:O62)</f>
        <v>680822</v>
      </c>
      <c r="R63" s="164"/>
      <c r="S63" s="222">
        <f>SUM(S59:S62)</f>
        <v>0</v>
      </c>
      <c r="W63" s="222">
        <f>SUM(W59:W62)</f>
        <v>0</v>
      </c>
      <c r="Z63" s="164"/>
      <c r="AA63" s="222">
        <f>SUM(AA59:AA62)</f>
        <v>42807.53</v>
      </c>
    </row>
    <row r="64" spans="1:27">
      <c r="A64" s="185" t="s">
        <v>347</v>
      </c>
      <c r="C64" s="192"/>
      <c r="D64" s="193"/>
      <c r="E64" s="193"/>
      <c r="F64" s="226"/>
      <c r="G64" s="193">
        <v>8</v>
      </c>
      <c r="H64" s="193"/>
      <c r="I64" s="193"/>
      <c r="J64" s="226"/>
      <c r="K64" s="193">
        <v>8</v>
      </c>
      <c r="L64" s="193"/>
      <c r="M64" s="193"/>
      <c r="N64" s="164"/>
      <c r="O64" s="160">
        <v>8</v>
      </c>
      <c r="R64" s="164"/>
      <c r="S64" s="160">
        <v>8</v>
      </c>
      <c r="W64" s="160">
        <v>8</v>
      </c>
      <c r="Z64" s="164"/>
      <c r="AA64" s="160">
        <v>8</v>
      </c>
    </row>
    <row r="65" spans="1:30" ht="13.5" thickBot="1">
      <c r="A65" s="185" t="s">
        <v>300</v>
      </c>
      <c r="C65" s="192"/>
      <c r="D65" s="193"/>
      <c r="E65" s="193"/>
      <c r="F65" s="226"/>
      <c r="G65" s="195">
        <f>G63*G64</f>
        <v>1016516492.24</v>
      </c>
      <c r="H65" s="250" t="s">
        <v>348</v>
      </c>
      <c r="I65" s="193"/>
      <c r="J65" s="226"/>
      <c r="K65" s="195">
        <f>K63*K64</f>
        <v>1010727456</v>
      </c>
      <c r="L65" s="250" t="s">
        <v>349</v>
      </c>
      <c r="M65" s="193"/>
      <c r="N65" s="164"/>
      <c r="O65" s="195">
        <f>O63*O64</f>
        <v>5446576</v>
      </c>
      <c r="P65" s="250" t="s">
        <v>350</v>
      </c>
      <c r="R65" s="164"/>
      <c r="S65" s="195">
        <f>S63*S64</f>
        <v>0</v>
      </c>
      <c r="T65" s="250" t="s">
        <v>351</v>
      </c>
      <c r="W65" s="195">
        <f>W63*W64</f>
        <v>0</v>
      </c>
      <c r="X65" s="250" t="s">
        <v>352</v>
      </c>
      <c r="Z65" s="164"/>
      <c r="AA65" s="195">
        <f>AA63*AA64</f>
        <v>342460.24</v>
      </c>
      <c r="AB65" s="250" t="s">
        <v>353</v>
      </c>
    </row>
    <row r="66" spans="1:30" ht="13.5" thickTop="1">
      <c r="C66" s="194"/>
      <c r="D66" s="190"/>
      <c r="E66" s="251"/>
      <c r="F66" s="182"/>
      <c r="AB66" s="191"/>
    </row>
    <row r="67" spans="1:30">
      <c r="D67" s="173"/>
      <c r="E67" s="193"/>
      <c r="AB67" s="191"/>
    </row>
    <row r="68" spans="1:30" ht="15">
      <c r="A68" s="196" t="s">
        <v>279</v>
      </c>
      <c r="D68" s="173"/>
      <c r="AB68" s="191"/>
    </row>
    <row r="69" spans="1:30" ht="15">
      <c r="A69" s="196" t="s">
        <v>280</v>
      </c>
      <c r="D69" s="173"/>
      <c r="AB69" s="191"/>
    </row>
    <row r="70" spans="1:30" ht="15">
      <c r="A70" s="196"/>
      <c r="D70" s="173"/>
      <c r="AB70" s="191"/>
    </row>
    <row r="71" spans="1:30" ht="15">
      <c r="A71" s="196"/>
      <c r="D71" s="173"/>
      <c r="AB71" s="191"/>
    </row>
    <row r="72" spans="1:30" s="252" customFormat="1" ht="15.75" thickBot="1">
      <c r="A72" s="313" t="s">
        <v>354</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row>
    <row r="73" spans="1:30" ht="15.75" thickBot="1">
      <c r="A73" s="253"/>
      <c r="B73" s="180"/>
      <c r="C73" s="254"/>
      <c r="D73" s="193"/>
      <c r="E73" s="255"/>
      <c r="F73" s="256" t="s">
        <v>355</v>
      </c>
      <c r="G73" s="257">
        <f>K73+O73+S73+W73+AA73</f>
        <v>1790733908.5699999</v>
      </c>
      <c r="H73" s="254"/>
      <c r="I73" s="254"/>
      <c r="J73" s="256" t="s">
        <v>355</v>
      </c>
      <c r="K73" s="258">
        <v>1787753847.5699999</v>
      </c>
      <c r="L73" s="259"/>
      <c r="M73" s="259"/>
      <c r="N73" s="256" t="s">
        <v>355</v>
      </c>
      <c r="O73" s="258">
        <v>0</v>
      </c>
      <c r="P73" s="259"/>
      <c r="Q73" s="259"/>
      <c r="R73" s="256" t="s">
        <v>355</v>
      </c>
      <c r="S73" s="258">
        <v>2666308</v>
      </c>
      <c r="T73" s="259"/>
      <c r="U73" s="259"/>
      <c r="V73" s="256" t="s">
        <v>355</v>
      </c>
      <c r="W73" s="258">
        <v>0</v>
      </c>
      <c r="X73" s="259"/>
      <c r="Y73" s="259"/>
      <c r="Z73" s="256" t="s">
        <v>355</v>
      </c>
      <c r="AA73" s="258">
        <v>313753</v>
      </c>
      <c r="AB73" s="193"/>
      <c r="AD73" s="180"/>
    </row>
    <row r="74" spans="1:30" ht="13.5" thickTop="1">
      <c r="A74" s="156"/>
      <c r="B74" s="156"/>
      <c r="C74" s="156"/>
      <c r="D74" s="198"/>
      <c r="E74" s="156"/>
      <c r="F74" s="156"/>
      <c r="G74" s="156"/>
      <c r="H74" s="156"/>
      <c r="I74" s="156"/>
      <c r="J74" s="156"/>
      <c r="K74" s="156"/>
      <c r="L74" s="156"/>
      <c r="M74" s="156"/>
      <c r="N74" s="156"/>
      <c r="O74" s="156"/>
      <c r="P74" s="156"/>
      <c r="Q74" s="156"/>
      <c r="R74" s="156"/>
      <c r="S74" s="156"/>
      <c r="T74" s="156"/>
      <c r="U74" s="156"/>
      <c r="V74" s="156"/>
      <c r="W74" s="156"/>
      <c r="X74" s="156"/>
      <c r="Y74" s="156"/>
      <c r="Z74" s="156"/>
      <c r="AA74" s="162"/>
      <c r="AB74" s="199"/>
      <c r="AC74" s="200"/>
    </row>
    <row r="75" spans="1:30">
      <c r="A75" s="156"/>
      <c r="B75" s="156"/>
      <c r="C75" s="156"/>
      <c r="D75" s="198"/>
      <c r="E75" s="156"/>
      <c r="F75" s="156"/>
      <c r="G75" s="156"/>
      <c r="H75" s="156"/>
      <c r="I75" s="156"/>
      <c r="J75" s="156"/>
      <c r="K75" s="156"/>
      <c r="L75" s="156"/>
      <c r="M75" s="156"/>
      <c r="N75" s="156"/>
      <c r="O75" s="156"/>
      <c r="P75" s="156"/>
      <c r="Q75" s="156"/>
      <c r="R75" s="156"/>
      <c r="S75" s="156"/>
      <c r="T75" s="156"/>
      <c r="U75" s="156"/>
      <c r="V75" s="156"/>
      <c r="W75" s="156"/>
      <c r="X75" s="156"/>
      <c r="Y75" s="156"/>
      <c r="Z75" s="156"/>
      <c r="AA75" s="162"/>
      <c r="AB75" s="199"/>
      <c r="AC75" s="200"/>
    </row>
    <row r="76" spans="1:30">
      <c r="A76" s="156"/>
      <c r="B76" s="156"/>
      <c r="C76" s="156"/>
      <c r="D76" s="198"/>
      <c r="E76" s="156"/>
      <c r="F76" s="156"/>
      <c r="G76" s="156"/>
      <c r="H76" s="156"/>
      <c r="I76" s="156"/>
      <c r="J76" s="156"/>
      <c r="K76" s="156"/>
      <c r="L76" s="156"/>
      <c r="M76" s="156"/>
      <c r="N76" s="156"/>
      <c r="O76" s="156"/>
      <c r="P76" s="156"/>
      <c r="Q76" s="156"/>
      <c r="R76" s="156"/>
      <c r="S76" s="156"/>
      <c r="T76" s="156"/>
      <c r="U76" s="156"/>
      <c r="V76" s="156"/>
      <c r="W76" s="156"/>
      <c r="X76" s="156"/>
      <c r="Y76" s="156"/>
      <c r="Z76" s="156"/>
      <c r="AA76" s="162"/>
      <c r="AB76" s="199"/>
      <c r="AC76" s="200"/>
    </row>
    <row r="77" spans="1:30" s="252" customFormat="1" ht="15.75" thickBot="1">
      <c r="A77" s="313" t="s">
        <v>356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row>
    <row r="78" spans="1:30">
      <c r="A78" s="171" t="s">
        <v>312</v>
      </c>
      <c r="G78" s="201"/>
      <c r="K78" s="201"/>
      <c r="L78" s="174"/>
      <c r="O78" s="160"/>
      <c r="S78" s="160"/>
      <c r="W78" s="160"/>
      <c r="AA78" s="160"/>
      <c r="AB78" s="193"/>
    </row>
    <row r="79" spans="1:30">
      <c r="A79" s="160" t="s">
        <v>2</v>
      </c>
      <c r="B79" s="173"/>
      <c r="F79" s="201" t="s">
        <v>357</v>
      </c>
      <c r="G79" s="160">
        <f>SUM(K79:AA79)</f>
        <v>1230845420.0500031</v>
      </c>
      <c r="J79" s="201" t="s">
        <v>357</v>
      </c>
      <c r="K79" s="176">
        <v>1230845420.0500031</v>
      </c>
      <c r="N79" s="201" t="s">
        <v>281</v>
      </c>
      <c r="O79" s="172">
        <v>0</v>
      </c>
      <c r="R79" s="201" t="s">
        <v>281</v>
      </c>
      <c r="S79" s="172">
        <v>0</v>
      </c>
      <c r="W79" s="160">
        <v>0</v>
      </c>
      <c r="AA79" s="202">
        <v>0</v>
      </c>
    </row>
    <row r="80" spans="1:30">
      <c r="A80" s="160" t="s">
        <v>282</v>
      </c>
      <c r="B80" s="173"/>
      <c r="F80" s="201" t="s">
        <v>290</v>
      </c>
      <c r="G80" s="160">
        <f t="shared" ref="G80:G86" si="2">SUM(K80:W80)</f>
        <v>0</v>
      </c>
      <c r="J80" s="201" t="s">
        <v>290</v>
      </c>
      <c r="K80" s="176">
        <v>0</v>
      </c>
      <c r="O80" s="160"/>
      <c r="S80" s="160"/>
      <c r="W80" s="160">
        <v>0</v>
      </c>
      <c r="AA80" s="160"/>
    </row>
    <row r="81" spans="1:29">
      <c r="A81" s="160" t="s">
        <v>283</v>
      </c>
      <c r="F81" s="193"/>
      <c r="G81" s="160">
        <f t="shared" si="2"/>
        <v>4176053</v>
      </c>
      <c r="K81" s="176">
        <v>4176053</v>
      </c>
      <c r="O81" s="160"/>
      <c r="S81" s="160"/>
      <c r="W81" s="160"/>
      <c r="AA81" s="160"/>
    </row>
    <row r="82" spans="1:29">
      <c r="A82" s="160" t="s">
        <v>284</v>
      </c>
      <c r="F82" s="193"/>
      <c r="G82" s="160">
        <f t="shared" si="2"/>
        <v>23040</v>
      </c>
      <c r="K82" s="176">
        <v>23040</v>
      </c>
      <c r="O82" s="160"/>
      <c r="S82" s="160"/>
      <c r="W82" s="160"/>
      <c r="AA82" s="160"/>
    </row>
    <row r="83" spans="1:29">
      <c r="A83" s="160" t="s">
        <v>285</v>
      </c>
      <c r="B83" s="173"/>
      <c r="F83" s="193"/>
      <c r="G83" s="160">
        <f t="shared" si="2"/>
        <v>799776</v>
      </c>
      <c r="K83" s="176">
        <v>799776</v>
      </c>
      <c r="O83" s="176">
        <v>0</v>
      </c>
      <c r="S83" s="160"/>
      <c r="W83" s="160"/>
      <c r="AA83" s="160"/>
    </row>
    <row r="84" spans="1:29">
      <c r="A84" s="160" t="s">
        <v>286</v>
      </c>
      <c r="F84" s="193"/>
      <c r="G84" s="160">
        <f t="shared" si="2"/>
        <v>0</v>
      </c>
      <c r="K84" s="176">
        <v>0</v>
      </c>
      <c r="O84" s="160">
        <v>0</v>
      </c>
      <c r="S84" s="160"/>
      <c r="W84" s="160"/>
      <c r="AA84" s="160"/>
    </row>
    <row r="85" spans="1:29">
      <c r="A85" s="160" t="s">
        <v>287</v>
      </c>
      <c r="F85" s="193"/>
      <c r="G85" s="193">
        <f t="shared" si="2"/>
        <v>542097940</v>
      </c>
      <c r="H85" s="193"/>
      <c r="I85" s="193"/>
      <c r="J85" s="193"/>
      <c r="K85" s="203">
        <v>542097940</v>
      </c>
      <c r="L85" s="193"/>
      <c r="O85" s="193"/>
      <c r="P85" s="193"/>
      <c r="Q85" s="193"/>
      <c r="R85" s="193"/>
      <c r="S85" s="193"/>
      <c r="T85" s="193"/>
      <c r="U85" s="193"/>
      <c r="V85" s="193"/>
      <c r="W85" s="193"/>
      <c r="X85" s="193"/>
      <c r="Y85" s="193"/>
      <c r="Z85" s="193"/>
      <c r="AA85" s="193"/>
      <c r="AC85" s="193"/>
    </row>
    <row r="86" spans="1:29">
      <c r="F86" s="193"/>
      <c r="G86" s="204">
        <f t="shared" si="2"/>
        <v>0</v>
      </c>
      <c r="H86" s="193"/>
      <c r="I86" s="193"/>
      <c r="J86" s="193"/>
      <c r="K86" s="205"/>
      <c r="L86" s="193"/>
      <c r="O86" s="204"/>
      <c r="S86" s="204"/>
      <c r="W86" s="204"/>
      <c r="AA86" s="204"/>
    </row>
    <row r="87" spans="1:29">
      <c r="A87" s="206" t="s">
        <v>288</v>
      </c>
      <c r="F87" s="193"/>
      <c r="G87" s="206">
        <f>SUM(G79:G86)</f>
        <v>1777942229.0500031</v>
      </c>
      <c r="K87" s="206">
        <f>SUM(K79:K86)</f>
        <v>1777942229.0500031</v>
      </c>
      <c r="O87" s="206">
        <f>SUM(O79:O86)</f>
        <v>0</v>
      </c>
      <c r="S87" s="206">
        <f>SUM(S79:S86)</f>
        <v>0</v>
      </c>
      <c r="W87" s="206">
        <f>SUM(W79:W86)</f>
        <v>0</v>
      </c>
      <c r="AA87" s="206">
        <f>SUM(AA79:AA86)</f>
        <v>0</v>
      </c>
    </row>
    <row r="88" spans="1:29">
      <c r="A88" s="156"/>
      <c r="B88" s="156"/>
      <c r="D88" s="156"/>
      <c r="E88" s="156"/>
      <c r="F88" s="188"/>
      <c r="G88" s="206"/>
      <c r="K88" s="160"/>
      <c r="O88" s="160"/>
      <c r="S88" s="160"/>
      <c r="W88" s="160"/>
      <c r="AA88" s="160"/>
    </row>
    <row r="89" spans="1:29" ht="15.75">
      <c r="A89" s="156" t="s">
        <v>289</v>
      </c>
      <c r="B89" s="156"/>
      <c r="D89" s="156"/>
      <c r="E89" s="156"/>
      <c r="F89" s="201" t="s">
        <v>290</v>
      </c>
      <c r="G89" s="160">
        <v>85618</v>
      </c>
      <c r="K89" s="160"/>
      <c r="L89" s="201" t="s">
        <v>357</v>
      </c>
      <c r="O89" s="160"/>
      <c r="S89" s="160"/>
      <c r="W89" s="211" t="s">
        <v>295</v>
      </c>
      <c r="X89" s="193"/>
      <c r="Y89" s="160">
        <f>+AA35</f>
        <v>228820.5</v>
      </c>
      <c r="AB89" s="160" t="s">
        <v>381</v>
      </c>
    </row>
    <row r="90" spans="1:29">
      <c r="A90" s="156" t="s">
        <v>291</v>
      </c>
      <c r="B90" s="156"/>
      <c r="D90" s="156"/>
      <c r="E90" s="156"/>
      <c r="F90" s="289" t="s">
        <v>382</v>
      </c>
      <c r="G90" s="160">
        <v>11628466156.929996</v>
      </c>
      <c r="K90" s="207" t="s">
        <v>292</v>
      </c>
      <c r="M90" s="160">
        <f>G90+G79</f>
        <v>12859311576.98</v>
      </c>
      <c r="O90" s="160"/>
      <c r="S90" s="160"/>
      <c r="W90" s="193"/>
      <c r="X90" s="193"/>
      <c r="Y90" s="160">
        <f>+AC35</f>
        <v>204782</v>
      </c>
      <c r="AB90" s="156" t="s">
        <v>358</v>
      </c>
    </row>
    <row r="91" spans="1:29" ht="15.75" thickBot="1">
      <c r="A91" s="155" t="s">
        <v>293</v>
      </c>
      <c r="B91" s="156"/>
      <c r="D91" s="156"/>
      <c r="E91" s="156"/>
      <c r="F91" s="188"/>
      <c r="G91" s="208">
        <f>G87+G89+G90</f>
        <v>13406494003.98</v>
      </c>
      <c r="I91" s="160" t="s">
        <v>294</v>
      </c>
      <c r="K91" s="160"/>
      <c r="M91" s="160">
        <f>G90+K79</f>
        <v>12859311576.98</v>
      </c>
      <c r="O91" s="160"/>
      <c r="S91" s="160"/>
      <c r="W91" s="193"/>
      <c r="X91" s="193"/>
      <c r="Y91" s="260">
        <f>SUM(Y89:Y90)</f>
        <v>433602.5</v>
      </c>
      <c r="Z91" s="193"/>
      <c r="AA91" s="160">
        <f>Y91/2</f>
        <v>216801.25</v>
      </c>
      <c r="AB91" s="160" t="s">
        <v>298</v>
      </c>
    </row>
    <row r="92" spans="1:29" ht="15.75" thickTop="1">
      <c r="A92" s="155"/>
      <c r="B92" s="156"/>
      <c r="D92" s="156"/>
      <c r="E92" s="156"/>
      <c r="F92" s="188"/>
      <c r="G92" s="231"/>
      <c r="K92" s="160"/>
      <c r="O92" s="160"/>
      <c r="S92" s="160"/>
      <c r="W92" s="193"/>
      <c r="X92" s="193"/>
      <c r="Y92" s="180"/>
      <c r="Z92" s="180"/>
      <c r="AA92" s="160">
        <f>+AA65</f>
        <v>342460.24</v>
      </c>
      <c r="AB92" s="160" t="s">
        <v>300</v>
      </c>
    </row>
    <row r="93" spans="1:29" ht="15.75" thickBot="1">
      <c r="A93" s="155"/>
      <c r="B93" s="156"/>
      <c r="D93" s="156"/>
      <c r="E93" s="156"/>
      <c r="F93" s="188"/>
      <c r="G93" s="231"/>
      <c r="K93" s="160"/>
      <c r="O93" s="160"/>
      <c r="S93" s="160"/>
      <c r="W93" s="193"/>
      <c r="X93" s="193"/>
      <c r="Z93" s="193"/>
      <c r="AA93" s="261">
        <f>SUM(AA91:AA92)</f>
        <v>559261.49</v>
      </c>
      <c r="AB93" s="206" t="s">
        <v>37</v>
      </c>
    </row>
    <row r="94" spans="1:29" ht="16.5" thickTop="1">
      <c r="A94" s="232" t="s">
        <v>308</v>
      </c>
      <c r="B94" s="156"/>
      <c r="D94" s="221"/>
      <c r="E94" s="221"/>
      <c r="F94" s="223"/>
      <c r="G94" s="193"/>
      <c r="H94" s="193"/>
      <c r="K94" s="160"/>
      <c r="O94" s="160"/>
      <c r="S94" s="160"/>
      <c r="U94" s="193"/>
      <c r="V94" s="193"/>
      <c r="Y94" s="156" t="s">
        <v>297</v>
      </c>
      <c r="Z94" s="180"/>
      <c r="AA94" s="156"/>
      <c r="AB94" s="162"/>
    </row>
    <row r="95" spans="1:29">
      <c r="A95" s="174"/>
      <c r="B95" s="156"/>
      <c r="D95" s="222"/>
      <c r="E95" s="222"/>
      <c r="F95" s="222"/>
      <c r="G95" s="233" t="s">
        <v>377</v>
      </c>
      <c r="H95" s="224"/>
      <c r="I95" s="233" t="s">
        <v>321</v>
      </c>
      <c r="K95" s="160"/>
      <c r="O95" s="160"/>
      <c r="S95" s="160"/>
      <c r="U95" s="193"/>
      <c r="V95" s="193"/>
      <c r="Y95" s="160" t="s">
        <v>15</v>
      </c>
      <c r="Z95" s="193"/>
      <c r="AA95" s="290">
        <f>ROUND(+AA93/G42,6)</f>
        <v>1.2999999999999999E-5</v>
      </c>
      <c r="AC95" s="290"/>
    </row>
    <row r="96" spans="1:29">
      <c r="A96" s="174"/>
      <c r="B96" s="156"/>
      <c r="D96" s="222"/>
      <c r="E96" s="213" t="s">
        <v>5</v>
      </c>
      <c r="F96" s="222"/>
      <c r="G96" s="215">
        <f>ROUND(K87/G87,6)</f>
        <v>1</v>
      </c>
      <c r="H96" s="213"/>
      <c r="I96" s="215">
        <v>1</v>
      </c>
      <c r="K96" s="160"/>
      <c r="O96" s="160"/>
      <c r="S96" s="160"/>
      <c r="U96" s="193"/>
      <c r="V96" s="193"/>
      <c r="Y96" s="160" t="s">
        <v>84</v>
      </c>
      <c r="Z96" s="217"/>
      <c r="AA96" s="290">
        <f>ROUND(+AA73/G73,6)</f>
        <v>1.75E-4</v>
      </c>
    </row>
    <row r="97" spans="1:29" ht="15">
      <c r="A97" s="155"/>
      <c r="B97" s="156"/>
      <c r="D97" s="156"/>
      <c r="E97" s="156"/>
      <c r="F97" s="188"/>
      <c r="G97" s="231"/>
      <c r="K97" s="160"/>
      <c r="O97" s="160"/>
      <c r="S97" s="160"/>
      <c r="U97" s="193"/>
      <c r="V97" s="193"/>
      <c r="Y97" s="160" t="s">
        <v>5</v>
      </c>
      <c r="Z97" s="217"/>
      <c r="AA97" s="290">
        <f>ROUND(AA87/G87,6)</f>
        <v>0</v>
      </c>
    </row>
    <row r="98" spans="1:29" ht="15">
      <c r="A98" s="155"/>
      <c r="B98" s="156"/>
      <c r="D98" s="156"/>
      <c r="E98" s="156"/>
      <c r="F98" s="188"/>
      <c r="G98" s="231"/>
      <c r="K98" s="160"/>
      <c r="O98" s="160"/>
      <c r="S98" s="160"/>
      <c r="U98" s="193"/>
      <c r="V98" s="193"/>
      <c r="Y98" s="160" t="s">
        <v>5</v>
      </c>
      <c r="Z98" s="217"/>
      <c r="AA98" s="291">
        <f>+AA97</f>
        <v>0</v>
      </c>
    </row>
    <row r="99" spans="1:29" ht="15">
      <c r="A99" s="155"/>
      <c r="B99" s="156"/>
      <c r="D99" s="156"/>
      <c r="E99" s="156"/>
      <c r="F99" s="188"/>
      <c r="G99" s="231"/>
      <c r="K99" s="160"/>
      <c r="O99" s="160"/>
      <c r="S99" s="160"/>
      <c r="U99" s="193"/>
      <c r="V99" s="193"/>
      <c r="Y99" s="160" t="s">
        <v>47</v>
      </c>
      <c r="AA99" s="290">
        <f>SUM(AA95:AA98)</f>
        <v>1.8799999999999999E-4</v>
      </c>
      <c r="AB99" s="219"/>
      <c r="AC99" s="220" t="s">
        <v>307</v>
      </c>
    </row>
    <row r="100" spans="1:29" ht="15">
      <c r="A100" s="155"/>
      <c r="B100" s="156"/>
      <c r="D100" s="156"/>
      <c r="E100" s="156"/>
      <c r="F100" s="188"/>
      <c r="G100" s="231"/>
      <c r="K100" s="160"/>
      <c r="O100" s="160"/>
      <c r="S100" s="160"/>
      <c r="V100" s="164"/>
      <c r="W100" s="160"/>
      <c r="Y100" s="160" t="s">
        <v>359</v>
      </c>
      <c r="Z100" s="164"/>
      <c r="AA100" s="160">
        <v>4</v>
      </c>
    </row>
    <row r="101" spans="1:29" ht="15.75" thickBot="1">
      <c r="A101" s="155"/>
      <c r="B101" s="156"/>
      <c r="D101" s="156"/>
      <c r="E101" s="156"/>
      <c r="F101" s="188"/>
      <c r="G101" s="231"/>
      <c r="K101" s="160"/>
      <c r="O101" s="160"/>
      <c r="S101" s="160"/>
      <c r="W101" s="160"/>
      <c r="Y101" s="160" t="s">
        <v>306</v>
      </c>
      <c r="Z101" s="193"/>
      <c r="AA101" s="292">
        <f>ROUND(AA99/AA100,8)</f>
        <v>4.6999999999999997E-5</v>
      </c>
    </row>
    <row r="102" spans="1:29" s="206" customFormat="1" ht="13.9" hidden="1" customHeight="1" thickTop="1">
      <c r="A102" s="262" t="s">
        <v>360</v>
      </c>
      <c r="B102" s="209"/>
      <c r="F102" s="201"/>
      <c r="J102" s="201"/>
      <c r="K102" s="263"/>
      <c r="AA102" s="210"/>
    </row>
    <row r="103" spans="1:29" ht="13.15" hidden="1" customHeight="1">
      <c r="A103" s="160" t="s">
        <v>2</v>
      </c>
      <c r="B103" s="156"/>
      <c r="F103" s="201" t="s">
        <v>281</v>
      </c>
      <c r="G103" s="160" t="e">
        <f>SUM(K103:AA103)</f>
        <v>#REF!</v>
      </c>
      <c r="J103" s="201" t="s">
        <v>281</v>
      </c>
      <c r="K103" s="176" t="e">
        <v>#REF!</v>
      </c>
      <c r="N103" s="201" t="s">
        <v>281</v>
      </c>
      <c r="O103" s="172">
        <v>174953532.78816426</v>
      </c>
      <c r="R103" s="201" t="s">
        <v>281</v>
      </c>
      <c r="S103" s="172">
        <v>168509913.06018853</v>
      </c>
      <c r="W103" s="160">
        <v>0</v>
      </c>
      <c r="AA103" s="202">
        <v>0</v>
      </c>
    </row>
    <row r="104" spans="1:29" ht="13.15" hidden="1" customHeight="1">
      <c r="A104" s="160" t="s">
        <v>282</v>
      </c>
      <c r="B104" s="156"/>
      <c r="G104" s="160">
        <f t="shared" ref="G104:G110" si="3">SUM(K104:W104)</f>
        <v>0</v>
      </c>
      <c r="K104" s="176">
        <v>0</v>
      </c>
      <c r="O104" s="160"/>
      <c r="S104" s="160"/>
      <c r="W104" s="160">
        <v>0</v>
      </c>
      <c r="AA104" s="160"/>
    </row>
    <row r="105" spans="1:29" ht="13.15" hidden="1" customHeight="1">
      <c r="A105" s="160" t="s">
        <v>283</v>
      </c>
      <c r="B105" s="156"/>
      <c r="F105" s="193"/>
      <c r="G105" s="160">
        <f t="shared" si="3"/>
        <v>4176053</v>
      </c>
      <c r="K105" s="176">
        <v>4176053</v>
      </c>
      <c r="O105" s="160"/>
      <c r="S105" s="160"/>
      <c r="W105" s="160"/>
      <c r="AA105" s="160"/>
    </row>
    <row r="106" spans="1:29" ht="13.15" hidden="1" customHeight="1">
      <c r="A106" s="160" t="s">
        <v>284</v>
      </c>
      <c r="B106" s="156"/>
      <c r="F106" s="193"/>
      <c r="G106" s="160">
        <f t="shared" si="3"/>
        <v>23040</v>
      </c>
      <c r="K106" s="176">
        <v>23040</v>
      </c>
      <c r="O106" s="160"/>
      <c r="S106" s="160"/>
      <c r="W106" s="160"/>
      <c r="AA106" s="160"/>
    </row>
    <row r="107" spans="1:29" ht="13.15" hidden="1" customHeight="1">
      <c r="A107" s="160" t="s">
        <v>285</v>
      </c>
      <c r="B107" s="156"/>
      <c r="F107" s="193"/>
      <c r="G107" s="160">
        <f t="shared" si="3"/>
        <v>799776</v>
      </c>
      <c r="K107" s="176">
        <v>799776</v>
      </c>
      <c r="O107" s="234">
        <v>0</v>
      </c>
      <c r="S107" s="160"/>
      <c r="W107" s="160"/>
      <c r="AA107" s="160"/>
    </row>
    <row r="108" spans="1:29" ht="13.15" hidden="1" customHeight="1">
      <c r="A108" s="160" t="s">
        <v>286</v>
      </c>
      <c r="B108" s="156"/>
      <c r="F108" s="193"/>
      <c r="G108" s="160">
        <f t="shared" si="3"/>
        <v>0</v>
      </c>
      <c r="K108" s="176">
        <v>0</v>
      </c>
      <c r="O108" s="234">
        <v>0</v>
      </c>
      <c r="S108" s="160"/>
      <c r="W108" s="160"/>
      <c r="AA108" s="160"/>
    </row>
    <row r="109" spans="1:29" ht="13.15" hidden="1" customHeight="1">
      <c r="A109" s="160" t="s">
        <v>287</v>
      </c>
      <c r="B109" s="156"/>
      <c r="F109" s="193"/>
      <c r="G109" s="193">
        <f t="shared" si="3"/>
        <v>542097940</v>
      </c>
      <c r="H109" s="193"/>
      <c r="I109" s="193"/>
      <c r="J109" s="193"/>
      <c r="K109" s="203">
        <v>542097940</v>
      </c>
      <c r="L109" s="193"/>
      <c r="O109" s="193"/>
      <c r="P109" s="193"/>
      <c r="Q109" s="193"/>
      <c r="R109" s="193"/>
      <c r="S109" s="193"/>
      <c r="T109" s="193"/>
      <c r="U109" s="193"/>
      <c r="V109" s="193"/>
      <c r="W109" s="193"/>
      <c r="X109" s="193"/>
      <c r="Y109" s="193"/>
      <c r="Z109" s="193"/>
      <c r="AA109" s="193"/>
    </row>
    <row r="110" spans="1:29" ht="13.15" hidden="1" customHeight="1">
      <c r="B110" s="156"/>
      <c r="F110" s="193"/>
      <c r="G110" s="193">
        <f t="shared" si="3"/>
        <v>0</v>
      </c>
      <c r="H110" s="193"/>
      <c r="I110" s="193"/>
      <c r="J110" s="193"/>
      <c r="K110" s="205"/>
      <c r="L110" s="193"/>
      <c r="O110" s="204"/>
      <c r="S110" s="204"/>
      <c r="W110" s="204"/>
      <c r="AA110" s="204"/>
    </row>
    <row r="111" spans="1:29" ht="13.9" hidden="1" customHeight="1" thickBot="1">
      <c r="A111" s="206" t="s">
        <v>288</v>
      </c>
      <c r="B111" s="156"/>
      <c r="F111" s="193"/>
      <c r="G111" s="235" t="e">
        <f>SUM(G103:G110)</f>
        <v>#REF!</v>
      </c>
      <c r="K111" s="235" t="e">
        <f>SUM(K103:K110)</f>
        <v>#REF!</v>
      </c>
      <c r="O111" s="235">
        <f>SUM(O103:O110)</f>
        <v>174953532.78816426</v>
      </c>
      <c r="S111" s="235">
        <f>SUM(S103:S110)</f>
        <v>168509913.06018853</v>
      </c>
      <c r="W111" s="235">
        <f>SUM(W103:W110)</f>
        <v>0</v>
      </c>
      <c r="AA111" s="235">
        <f>SUM(AA103:AA110)</f>
        <v>0</v>
      </c>
    </row>
    <row r="112" spans="1:29" ht="14.45" hidden="1" customHeight="1" thickTop="1">
      <c r="A112" s="155"/>
      <c r="B112" s="156"/>
      <c r="D112" s="156"/>
      <c r="E112" s="156"/>
      <c r="F112" s="156"/>
      <c r="G112" s="188"/>
      <c r="H112" s="231"/>
      <c r="K112" s="160"/>
      <c r="O112" s="160"/>
      <c r="S112" s="160"/>
      <c r="W112" s="160"/>
      <c r="AA112" s="160"/>
    </row>
    <row r="113" spans="1:27" ht="10.5" hidden="1" customHeight="1">
      <c r="A113" s="155"/>
      <c r="B113" s="156"/>
      <c r="D113" s="156"/>
      <c r="E113" s="156"/>
      <c r="F113" s="156"/>
      <c r="G113" s="188"/>
      <c r="K113" s="160"/>
      <c r="O113" s="160"/>
      <c r="S113" s="160"/>
      <c r="W113" s="160"/>
      <c r="AA113" s="160"/>
    </row>
    <row r="114" spans="1:27" ht="15.6" hidden="1" customHeight="1">
      <c r="A114" s="232" t="s">
        <v>361</v>
      </c>
      <c r="B114" s="156"/>
      <c r="D114" s="156"/>
      <c r="E114" s="156"/>
      <c r="F114" s="156"/>
      <c r="H114" s="156"/>
      <c r="K114" s="160"/>
      <c r="L114" s="270"/>
      <c r="O114" s="160"/>
      <c r="P114" s="210"/>
      <c r="Q114" s="193"/>
      <c r="R114" s="193"/>
      <c r="S114" s="193"/>
      <c r="T114" s="193"/>
      <c r="U114" s="193"/>
    </row>
    <row r="115" spans="1:27" ht="13.15" hidden="1" customHeight="1">
      <c r="A115" s="156"/>
      <c r="B115" s="156"/>
      <c r="D115" s="156"/>
      <c r="E115" s="156"/>
      <c r="F115" s="164"/>
      <c r="G115" s="233" t="s">
        <v>226</v>
      </c>
      <c r="H115" s="188"/>
      <c r="I115" s="233" t="s">
        <v>227</v>
      </c>
      <c r="K115" s="233" t="s">
        <v>296</v>
      </c>
      <c r="O115" s="160"/>
      <c r="P115" s="212"/>
      <c r="Q115" s="193"/>
      <c r="R115" s="212"/>
      <c r="S115" s="193"/>
      <c r="T115" s="197"/>
      <c r="U115" s="193"/>
    </row>
    <row r="116" spans="1:27" ht="13.15" hidden="1" customHeight="1">
      <c r="A116" s="156"/>
      <c r="B116" s="156"/>
      <c r="C116" s="156"/>
      <c r="D116" s="156"/>
      <c r="E116" s="156"/>
      <c r="F116" s="213" t="s">
        <v>297</v>
      </c>
      <c r="G116" s="173"/>
      <c r="I116" s="156"/>
      <c r="K116" s="160"/>
      <c r="O116" s="160"/>
      <c r="P116" s="214"/>
      <c r="Q116" s="193"/>
      <c r="R116" s="193"/>
      <c r="S116" s="193"/>
      <c r="T116" s="193"/>
      <c r="U116" s="193"/>
    </row>
    <row r="117" spans="1:27" ht="13.15" hidden="1" customHeight="1">
      <c r="A117" s="156"/>
      <c r="B117" s="156"/>
      <c r="C117" s="156"/>
      <c r="D117" s="156"/>
      <c r="E117" s="156"/>
      <c r="F117" s="213" t="s">
        <v>299</v>
      </c>
      <c r="G117" s="215">
        <f>ROUND(K42/G42,6)</f>
        <v>0.94465600000000005</v>
      </c>
      <c r="I117" s="215">
        <v>0.91518600000000006</v>
      </c>
      <c r="J117" s="156"/>
      <c r="K117" s="215">
        <f>+G117-I117</f>
        <v>2.9469999999999996E-2</v>
      </c>
      <c r="M117" s="156"/>
      <c r="O117" s="156" t="s">
        <v>314</v>
      </c>
      <c r="P117" s="156"/>
      <c r="Q117" s="156"/>
      <c r="R117" s="156"/>
      <c r="S117" s="236">
        <f>G90</f>
        <v>11628466156.929996</v>
      </c>
    </row>
    <row r="118" spans="1:27" ht="13.15" hidden="1" customHeight="1">
      <c r="A118" s="156"/>
      <c r="B118" s="156"/>
      <c r="C118" s="156"/>
      <c r="D118" s="156"/>
      <c r="E118" s="156"/>
      <c r="F118" s="213" t="s">
        <v>301</v>
      </c>
      <c r="G118" s="215">
        <f>K73/G73</f>
        <v>0.99833584376453799</v>
      </c>
      <c r="I118" s="215">
        <v>0.96192599999999995</v>
      </c>
      <c r="K118" s="215">
        <f>+G118-I118</f>
        <v>3.6409843764538041E-2</v>
      </c>
      <c r="O118" s="160"/>
      <c r="P118" s="214"/>
      <c r="Q118" s="193"/>
      <c r="R118" s="193"/>
      <c r="S118" s="193"/>
      <c r="T118" s="193"/>
      <c r="U118" s="193"/>
    </row>
    <row r="119" spans="1:27" ht="13.15" hidden="1" customHeight="1">
      <c r="A119" s="156"/>
      <c r="B119" s="156"/>
      <c r="C119" s="156"/>
      <c r="D119" s="156"/>
      <c r="E119" s="156"/>
      <c r="F119" s="213" t="s">
        <v>302</v>
      </c>
      <c r="G119" s="237" t="e">
        <f>K111/G111</f>
        <v>#REF!</v>
      </c>
      <c r="I119" s="237">
        <v>0.94698800000000005</v>
      </c>
      <c r="J119" s="156"/>
      <c r="K119" s="237" t="e">
        <f>+G119-I119</f>
        <v>#REF!</v>
      </c>
      <c r="M119" s="156"/>
      <c r="O119" s="156"/>
      <c r="P119" s="212"/>
      <c r="Q119" s="207" t="s">
        <v>313</v>
      </c>
      <c r="R119" s="193"/>
      <c r="S119" s="197" t="e">
        <f>S117+G103</f>
        <v>#REF!</v>
      </c>
      <c r="U119" s="193"/>
    </row>
    <row r="120" spans="1:27" ht="13.15" hidden="1" customHeight="1">
      <c r="A120" s="156"/>
      <c r="B120" s="156"/>
      <c r="C120" s="156"/>
      <c r="D120" s="156"/>
      <c r="E120" s="156"/>
      <c r="F120" s="156"/>
      <c r="G120" s="215" t="e">
        <f>SUM(G117:G119)</f>
        <v>#REF!</v>
      </c>
      <c r="H120" s="214"/>
      <c r="I120" s="215">
        <f>SUM(I117:I119)</f>
        <v>2.8241000000000001</v>
      </c>
      <c r="J120" s="156"/>
      <c r="K120" s="215" t="e">
        <f>SUM(K117:K119)</f>
        <v>#REF!</v>
      </c>
      <c r="M120" s="156"/>
      <c r="Q120" s="192" t="s">
        <v>294</v>
      </c>
      <c r="R120" s="193"/>
      <c r="S120" s="197" t="e">
        <f>S117+K103</f>
        <v>#REF!</v>
      </c>
      <c r="U120" s="193"/>
    </row>
    <row r="121" spans="1:27" ht="13.15" hidden="1" customHeight="1">
      <c r="A121" s="156"/>
      <c r="B121" s="156"/>
      <c r="C121" s="156"/>
      <c r="D121" s="156"/>
      <c r="E121" s="156"/>
      <c r="F121" s="156"/>
      <c r="G121" s="218" t="s">
        <v>303</v>
      </c>
      <c r="H121" s="216"/>
      <c r="I121" s="218" t="s">
        <v>303</v>
      </c>
      <c r="K121" s="218" t="s">
        <v>303</v>
      </c>
      <c r="O121" s="160"/>
      <c r="P121" s="214"/>
      <c r="Q121" s="193"/>
      <c r="R121" s="193"/>
      <c r="S121" s="193"/>
      <c r="T121" s="193"/>
      <c r="U121" s="193"/>
    </row>
    <row r="122" spans="1:27" ht="13.9" hidden="1" customHeight="1" thickBot="1">
      <c r="A122" s="156"/>
      <c r="B122" s="156"/>
      <c r="C122" s="156"/>
      <c r="D122" s="156"/>
      <c r="E122" s="156"/>
      <c r="F122" s="188"/>
      <c r="G122" s="264" t="e">
        <f>G120/3</f>
        <v>#REF!</v>
      </c>
      <c r="H122" s="214"/>
      <c r="I122" s="264">
        <f>I120/3</f>
        <v>0.94136666666666668</v>
      </c>
      <c r="K122" s="264" t="e">
        <f>K120/3</f>
        <v>#REF!</v>
      </c>
      <c r="O122" s="160"/>
      <c r="P122" s="212"/>
      <c r="Q122" s="193"/>
      <c r="R122" s="212"/>
      <c r="S122" s="193"/>
      <c r="T122" s="197"/>
      <c r="U122" s="193"/>
    </row>
    <row r="123" spans="1:27" ht="13.9" hidden="1" customHeight="1" thickTop="1">
      <c r="A123" s="156"/>
      <c r="B123" s="156"/>
      <c r="C123" s="157"/>
      <c r="D123" s="157"/>
      <c r="E123" s="157"/>
      <c r="F123" s="175"/>
      <c r="G123" s="173" t="s">
        <v>305</v>
      </c>
      <c r="I123" s="173" t="s">
        <v>305</v>
      </c>
      <c r="K123" s="173" t="s">
        <v>305</v>
      </c>
      <c r="O123" s="160"/>
      <c r="P123" s="214"/>
      <c r="Q123" s="193"/>
      <c r="R123" s="193"/>
      <c r="S123" s="193"/>
      <c r="T123" s="193"/>
      <c r="U123" s="193"/>
    </row>
    <row r="124" spans="1:27" ht="1.5" hidden="1" customHeight="1" thickTop="1">
      <c r="A124" s="156"/>
      <c r="B124" s="156"/>
      <c r="C124" s="157"/>
      <c r="D124" s="221"/>
      <c r="E124" s="222"/>
      <c r="F124" s="221"/>
      <c r="G124" s="223"/>
      <c r="H124" s="193"/>
      <c r="I124" s="193"/>
      <c r="J124" s="264">
        <f>I122/3</f>
        <v>0.31378888888888889</v>
      </c>
      <c r="K124" s="193"/>
      <c r="L124" s="197"/>
      <c r="M124" s="193"/>
      <c r="N124" s="193"/>
      <c r="O124" s="193"/>
      <c r="P124" s="212"/>
      <c r="Q124" s="193"/>
      <c r="R124" s="212"/>
      <c r="S124" s="193"/>
      <c r="T124" s="197"/>
      <c r="U124" s="193"/>
    </row>
    <row r="125" spans="1:27" ht="13.5" thickTop="1">
      <c r="A125" s="156"/>
      <c r="B125" s="156"/>
      <c r="K125" s="193"/>
      <c r="L125" s="193"/>
      <c r="M125" s="193"/>
      <c r="N125" s="193"/>
      <c r="O125" s="193"/>
      <c r="P125" s="214"/>
      <c r="Q125" s="193"/>
      <c r="R125" s="193"/>
      <c r="S125" s="193"/>
      <c r="T125" s="193"/>
      <c r="U125" s="193"/>
      <c r="V125" s="193"/>
      <c r="W125" s="193"/>
      <c r="X125" s="193"/>
      <c r="AA125" s="193"/>
    </row>
    <row r="126" spans="1:27" s="225" customFormat="1" ht="48" customHeight="1">
      <c r="A126" s="314" t="s">
        <v>362</v>
      </c>
      <c r="B126" s="314"/>
      <c r="C126" s="314"/>
      <c r="D126" s="314"/>
      <c r="E126" s="314"/>
      <c r="F126" s="314"/>
      <c r="G126" s="314"/>
      <c r="H126" s="314"/>
      <c r="I126" s="314"/>
      <c r="J126" s="314"/>
      <c r="K126" s="314"/>
      <c r="L126" s="314"/>
      <c r="M126" s="314"/>
      <c r="N126" s="314"/>
      <c r="O126" s="314"/>
      <c r="P126" s="314"/>
      <c r="Q126" s="314"/>
      <c r="R126" s="314"/>
      <c r="S126" s="314"/>
      <c r="T126" s="314"/>
      <c r="U126" s="314"/>
      <c r="V126" s="314"/>
      <c r="W126" s="314"/>
      <c r="X126" s="314"/>
      <c r="Y126" s="314"/>
      <c r="Z126" s="314"/>
      <c r="AA126" s="314"/>
    </row>
    <row r="127" spans="1:27">
      <c r="A127" s="157"/>
      <c r="B127" s="221"/>
      <c r="C127" s="221"/>
      <c r="D127" s="221"/>
      <c r="E127" s="221"/>
      <c r="F127" s="180"/>
      <c r="G127" s="180"/>
      <c r="H127" s="193"/>
      <c r="I127" s="180"/>
      <c r="J127" s="193"/>
      <c r="K127" s="180"/>
      <c r="L127" s="193"/>
      <c r="M127" s="180"/>
      <c r="N127" s="212"/>
      <c r="O127" s="193"/>
      <c r="P127" s="212"/>
      <c r="Q127" s="193"/>
      <c r="R127" s="197"/>
      <c r="S127" s="193"/>
      <c r="T127" s="193"/>
      <c r="U127" s="193"/>
      <c r="V127" s="193"/>
      <c r="W127" s="160"/>
      <c r="Y127" s="193"/>
      <c r="AA127" s="160"/>
    </row>
    <row r="128" spans="1:27" s="225" customFormat="1" ht="24.6" customHeight="1">
      <c r="A128" s="314" t="s">
        <v>363</v>
      </c>
      <c r="B128" s="314"/>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row>
    <row r="129" spans="3:27">
      <c r="C129" s="174"/>
      <c r="D129" s="222"/>
      <c r="E129" s="222"/>
      <c r="F129" s="222"/>
      <c r="G129" s="223"/>
      <c r="H129" s="193"/>
      <c r="I129" s="193"/>
      <c r="J129" s="222"/>
      <c r="K129" s="226"/>
      <c r="L129" s="193"/>
      <c r="M129" s="193"/>
      <c r="N129" s="193"/>
      <c r="O129" s="226"/>
      <c r="P129" s="212"/>
      <c r="Q129" s="193"/>
      <c r="R129" s="212"/>
      <c r="S129" s="193"/>
      <c r="T129" s="197"/>
      <c r="U129" s="193"/>
      <c r="V129" s="193"/>
      <c r="W129" s="193"/>
      <c r="X129" s="193"/>
      <c r="AA129" s="193"/>
    </row>
    <row r="130" spans="3:27">
      <c r="D130" s="193"/>
      <c r="E130" s="193"/>
      <c r="F130" s="193"/>
      <c r="G130" s="226"/>
      <c r="H130" s="193"/>
      <c r="I130" s="193"/>
      <c r="J130" s="222"/>
      <c r="K130" s="226"/>
      <c r="L130" s="222"/>
      <c r="M130" s="193"/>
      <c r="N130" s="193"/>
      <c r="O130" s="226"/>
      <c r="P130" s="214"/>
      <c r="Q130" s="193"/>
      <c r="R130" s="193"/>
      <c r="S130" s="193"/>
      <c r="T130" s="193"/>
      <c r="U130" s="193"/>
      <c r="V130" s="193"/>
      <c r="W130" s="193"/>
      <c r="X130" s="193"/>
      <c r="AA130" s="193"/>
    </row>
    <row r="131" spans="3:27">
      <c r="D131" s="193"/>
      <c r="E131" s="193"/>
      <c r="F131" s="193"/>
      <c r="G131" s="226"/>
      <c r="H131" s="193"/>
      <c r="I131" s="193"/>
      <c r="J131" s="214"/>
      <c r="K131" s="226"/>
      <c r="L131" s="222"/>
      <c r="M131" s="193"/>
      <c r="N131" s="222"/>
      <c r="O131" s="226"/>
      <c r="P131" s="212"/>
      <c r="Q131" s="193"/>
      <c r="R131" s="212"/>
      <c r="S131" s="193"/>
      <c r="T131" s="197"/>
      <c r="U131" s="193"/>
      <c r="V131" s="193"/>
      <c r="W131" s="193"/>
      <c r="X131" s="193"/>
      <c r="AA131" s="193"/>
    </row>
    <row r="132" spans="3:27">
      <c r="D132" s="193"/>
      <c r="E132" s="193"/>
      <c r="F132" s="193"/>
      <c r="G132" s="226"/>
      <c r="H132" s="193"/>
      <c r="I132" s="193"/>
      <c r="J132" s="222"/>
      <c r="K132" s="226"/>
      <c r="L132" s="222"/>
      <c r="M132" s="193"/>
      <c r="N132" s="222"/>
      <c r="O132" s="226"/>
      <c r="P132" s="214"/>
      <c r="Q132" s="193"/>
      <c r="R132" s="193"/>
      <c r="S132" s="193"/>
      <c r="T132" s="193"/>
      <c r="U132" s="193"/>
      <c r="V132" s="193"/>
      <c r="W132" s="193"/>
      <c r="X132" s="193"/>
      <c r="AA132" s="193"/>
    </row>
    <row r="133" spans="3:27">
      <c r="D133" s="193"/>
      <c r="E133" s="193"/>
      <c r="F133" s="193"/>
      <c r="G133" s="226"/>
      <c r="H133" s="193"/>
      <c r="I133" s="193"/>
      <c r="J133" s="222"/>
      <c r="K133" s="226"/>
      <c r="L133" s="222"/>
      <c r="M133" s="193"/>
      <c r="N133" s="222"/>
      <c r="O133" s="226"/>
      <c r="P133" s="212"/>
      <c r="Q133" s="193"/>
      <c r="R133" s="212"/>
      <c r="S133" s="193"/>
      <c r="T133" s="197"/>
      <c r="U133" s="193"/>
      <c r="V133" s="193"/>
      <c r="W133" s="193"/>
      <c r="X133" s="193"/>
      <c r="AA133" s="193"/>
    </row>
    <row r="134" spans="3:27">
      <c r="D134" s="193"/>
      <c r="E134" s="193"/>
      <c r="F134" s="193"/>
      <c r="G134" s="226"/>
      <c r="H134" s="193"/>
      <c r="I134" s="193"/>
      <c r="J134" s="222"/>
      <c r="K134" s="226"/>
      <c r="L134" s="222"/>
      <c r="M134" s="193"/>
      <c r="N134" s="222"/>
      <c r="O134" s="226"/>
      <c r="P134" s="214"/>
      <c r="Q134" s="193"/>
      <c r="R134" s="193"/>
      <c r="S134" s="193"/>
      <c r="T134" s="193"/>
      <c r="U134" s="193"/>
      <c r="V134" s="193"/>
      <c r="W134" s="193"/>
      <c r="X134" s="193"/>
      <c r="AA134" s="193"/>
    </row>
    <row r="135" spans="3:27">
      <c r="D135" s="193"/>
      <c r="E135" s="193"/>
      <c r="F135" s="193"/>
      <c r="G135" s="226"/>
      <c r="H135" s="193"/>
      <c r="I135" s="193"/>
      <c r="J135" s="222"/>
      <c r="K135" s="226"/>
      <c r="L135" s="193"/>
      <c r="M135" s="193"/>
      <c r="N135" s="222"/>
      <c r="O135" s="226"/>
      <c r="P135" s="212"/>
      <c r="Q135" s="193"/>
      <c r="R135" s="212"/>
      <c r="S135" s="193"/>
      <c r="T135" s="197"/>
      <c r="U135" s="193"/>
      <c r="V135" s="193"/>
      <c r="W135" s="193"/>
      <c r="X135" s="193"/>
      <c r="AA135" s="193"/>
    </row>
    <row r="136" spans="3:27">
      <c r="D136" s="193"/>
      <c r="E136" s="193"/>
      <c r="F136" s="193"/>
      <c r="G136" s="226"/>
      <c r="H136" s="193"/>
      <c r="I136" s="193"/>
      <c r="J136" s="222"/>
      <c r="K136" s="226"/>
      <c r="L136" s="222"/>
      <c r="M136" s="193"/>
      <c r="N136" s="222"/>
      <c r="O136" s="226"/>
      <c r="P136" s="214"/>
      <c r="Q136" s="193"/>
      <c r="R136" s="193"/>
      <c r="S136" s="193"/>
      <c r="T136" s="193"/>
      <c r="U136" s="193"/>
      <c r="V136" s="193"/>
      <c r="W136" s="193"/>
      <c r="X136" s="193"/>
      <c r="AA136" s="193"/>
    </row>
    <row r="137" spans="3:27">
      <c r="D137" s="193"/>
      <c r="E137" s="193"/>
      <c r="F137" s="193"/>
      <c r="G137" s="226"/>
      <c r="H137" s="193"/>
      <c r="I137" s="193"/>
      <c r="J137" s="222"/>
      <c r="K137" s="226"/>
      <c r="L137" s="222"/>
      <c r="M137" s="193"/>
      <c r="N137" s="222"/>
      <c r="O137" s="226"/>
      <c r="P137" s="214"/>
      <c r="Q137" s="193"/>
      <c r="R137" s="212"/>
      <c r="S137" s="193"/>
      <c r="T137" s="197"/>
      <c r="U137" s="193"/>
      <c r="V137" s="193"/>
      <c r="W137" s="193"/>
      <c r="X137" s="193"/>
      <c r="AA137" s="193"/>
    </row>
    <row r="138" spans="3:27">
      <c r="D138" s="193"/>
      <c r="E138" s="193"/>
      <c r="F138" s="193"/>
      <c r="G138" s="226"/>
      <c r="H138" s="193"/>
      <c r="I138" s="193"/>
      <c r="J138" s="222"/>
      <c r="K138" s="226"/>
      <c r="L138" s="222"/>
      <c r="M138" s="193"/>
      <c r="N138" s="222"/>
      <c r="O138" s="226"/>
      <c r="P138" s="214"/>
      <c r="Q138" s="222"/>
      <c r="R138" s="222"/>
      <c r="S138" s="222"/>
      <c r="T138" s="222"/>
      <c r="U138" s="222"/>
      <c r="V138" s="222"/>
      <c r="W138" s="222"/>
      <c r="X138" s="193"/>
      <c r="AA138" s="193"/>
    </row>
    <row r="139" spans="3:27">
      <c r="D139" s="193"/>
      <c r="E139" s="193"/>
      <c r="F139" s="193"/>
      <c r="G139" s="226"/>
      <c r="H139" s="193"/>
      <c r="I139" s="193"/>
      <c r="J139" s="222"/>
      <c r="K139" s="226"/>
      <c r="L139" s="222"/>
      <c r="M139" s="193"/>
      <c r="N139" s="222"/>
      <c r="O139" s="226"/>
      <c r="P139" s="214"/>
      <c r="Q139" s="222"/>
      <c r="R139" s="227"/>
      <c r="S139" s="222"/>
      <c r="T139" s="228"/>
      <c r="U139" s="222"/>
      <c r="V139" s="222"/>
      <c r="W139" s="222"/>
      <c r="X139" s="193"/>
      <c r="AA139" s="193"/>
    </row>
    <row r="140" spans="3:27">
      <c r="D140" s="193"/>
      <c r="E140" s="193"/>
      <c r="F140" s="193"/>
      <c r="G140" s="226"/>
      <c r="H140" s="193"/>
      <c r="I140" s="193"/>
      <c r="J140" s="193"/>
      <c r="K140" s="226"/>
      <c r="L140" s="204"/>
      <c r="M140" s="193"/>
      <c r="N140" s="204"/>
      <c r="O140" s="226"/>
      <c r="P140" s="214"/>
      <c r="Q140" s="222"/>
      <c r="R140" s="222"/>
      <c r="S140" s="222"/>
      <c r="T140" s="222"/>
      <c r="U140" s="222"/>
      <c r="V140" s="222"/>
      <c r="W140" s="222"/>
      <c r="X140" s="193"/>
      <c r="AA140" s="193"/>
    </row>
    <row r="141" spans="3:27">
      <c r="D141" s="193"/>
      <c r="E141" s="193"/>
      <c r="F141" s="193"/>
      <c r="G141" s="226"/>
      <c r="H141" s="193"/>
      <c r="I141" s="193"/>
      <c r="J141" s="193"/>
      <c r="K141" s="226"/>
      <c r="L141" s="193"/>
      <c r="M141" s="193"/>
      <c r="N141" s="193"/>
      <c r="O141" s="226"/>
      <c r="P141" s="214"/>
      <c r="X141" s="193"/>
    </row>
    <row r="142" spans="3:27">
      <c r="D142" s="193"/>
      <c r="E142" s="193"/>
      <c r="F142" s="193"/>
      <c r="G142" s="226"/>
      <c r="H142" s="193"/>
      <c r="I142" s="193"/>
      <c r="J142" s="193"/>
      <c r="K142" s="226"/>
      <c r="L142" s="193"/>
      <c r="M142" s="193"/>
      <c r="N142" s="193"/>
      <c r="O142" s="226"/>
      <c r="P142" s="214"/>
      <c r="X142" s="193"/>
    </row>
    <row r="143" spans="3:27">
      <c r="D143" s="193"/>
      <c r="E143" s="193"/>
      <c r="F143" s="193"/>
      <c r="G143" s="226"/>
      <c r="H143" s="193"/>
      <c r="I143" s="193"/>
      <c r="J143" s="222"/>
      <c r="K143" s="226"/>
      <c r="L143" s="222"/>
      <c r="M143" s="193"/>
      <c r="N143" s="193"/>
      <c r="O143" s="226"/>
      <c r="X143" s="193"/>
    </row>
    <row r="144" spans="3:27">
      <c r="D144" s="193"/>
      <c r="E144" s="193"/>
      <c r="F144" s="193"/>
      <c r="G144" s="226"/>
      <c r="H144" s="193"/>
      <c r="I144" s="193"/>
      <c r="J144" s="222"/>
      <c r="K144" s="226"/>
      <c r="L144" s="193"/>
      <c r="M144" s="193"/>
      <c r="N144" s="193"/>
      <c r="O144" s="226"/>
      <c r="X144" s="193"/>
    </row>
    <row r="145" spans="4:24">
      <c r="D145" s="193"/>
      <c r="E145" s="193"/>
      <c r="F145" s="193"/>
      <c r="G145" s="226"/>
      <c r="H145" s="193"/>
      <c r="I145" s="193"/>
      <c r="J145" s="222"/>
      <c r="K145" s="226"/>
      <c r="L145" s="193"/>
      <c r="M145" s="193"/>
      <c r="N145" s="193"/>
      <c r="O145" s="226"/>
      <c r="X145" s="193"/>
    </row>
    <row r="146" spans="4:24">
      <c r="D146" s="193"/>
      <c r="E146" s="193"/>
      <c r="F146" s="193"/>
      <c r="G146" s="226"/>
      <c r="H146" s="193"/>
      <c r="I146" s="193"/>
      <c r="J146" s="222"/>
      <c r="K146" s="226"/>
      <c r="L146" s="193"/>
      <c r="M146" s="193"/>
      <c r="N146" s="222"/>
      <c r="O146" s="226"/>
      <c r="X146" s="193"/>
    </row>
    <row r="147" spans="4:24">
      <c r="D147" s="193"/>
      <c r="E147" s="193"/>
      <c r="F147" s="193"/>
      <c r="G147" s="226"/>
      <c r="H147" s="193"/>
      <c r="I147" s="193"/>
      <c r="J147" s="222"/>
      <c r="K147" s="226"/>
      <c r="L147" s="222"/>
      <c r="M147" s="193"/>
      <c r="N147" s="222"/>
      <c r="O147" s="226"/>
    </row>
    <row r="148" spans="4:24">
      <c r="D148" s="193"/>
      <c r="E148" s="193"/>
      <c r="F148" s="193"/>
      <c r="G148" s="226"/>
      <c r="H148" s="193"/>
      <c r="I148" s="193"/>
      <c r="J148" s="193"/>
      <c r="K148" s="226"/>
      <c r="L148" s="204"/>
      <c r="M148" s="193"/>
      <c r="N148" s="204"/>
      <c r="O148" s="226"/>
    </row>
    <row r="149" spans="4:24">
      <c r="D149" s="193"/>
      <c r="E149" s="193"/>
      <c r="F149" s="193"/>
      <c r="G149" s="226"/>
      <c r="H149" s="193"/>
      <c r="I149" s="193"/>
      <c r="J149" s="193"/>
      <c r="K149" s="226"/>
      <c r="L149" s="193"/>
      <c r="M149" s="193"/>
      <c r="N149" s="193"/>
      <c r="O149" s="226"/>
    </row>
    <row r="150" spans="4:24">
      <c r="D150" s="193"/>
      <c r="E150" s="193"/>
      <c r="F150" s="193"/>
      <c r="G150" s="226"/>
      <c r="H150" s="193"/>
      <c r="I150" s="193"/>
      <c r="J150" s="193"/>
      <c r="K150" s="226"/>
      <c r="L150" s="193"/>
      <c r="M150" s="193"/>
      <c r="N150" s="193"/>
      <c r="O150" s="226"/>
    </row>
    <row r="154" spans="4:24">
      <c r="L154" s="193"/>
    </row>
    <row r="155" spans="4:24">
      <c r="L155" s="193"/>
    </row>
    <row r="156" spans="4:24">
      <c r="L156" s="204"/>
    </row>
  </sheetData>
  <mergeCells count="13">
    <mergeCell ref="A72:AC72"/>
    <mergeCell ref="A77:AC77"/>
    <mergeCell ref="A126:AA126"/>
    <mergeCell ref="A128:AA128"/>
    <mergeCell ref="A4:AC4"/>
    <mergeCell ref="S5:U5"/>
    <mergeCell ref="W5:Y5"/>
    <mergeCell ref="G6:I6"/>
    <mergeCell ref="K6:M6"/>
    <mergeCell ref="O6:Q6"/>
    <mergeCell ref="S6:U6"/>
    <mergeCell ref="W6:Y6"/>
    <mergeCell ref="AA6:AC6"/>
  </mergeCells>
  <printOptions horizontalCentered="1" headings="1"/>
  <pageMargins left="0.5" right="0.2" top="0.5" bottom="0.5" header="0.5" footer="0.3"/>
  <pageSetup paperSize="17" scale="50" orientation="landscape" r:id="rId1"/>
  <headerFooter alignWithMargins="0">
    <oddFooter>&amp;L&amp;11&amp;K01+000&amp;Z&amp;F&amp;R&amp;"Arial MT,Bold"&amp;14&amp;KFF0000&amp;A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BFE7A323BB78D4DB02FDFD6F85C7B48" ma:contentTypeVersion="0" ma:contentTypeDescription="Create a new document." ma:contentTypeScope="" ma:versionID="94dbe26ae28c4d0caa5a3065fb91cf85">
  <xsd:schema xmlns:xsd="http://www.w3.org/2001/XMLSchema" xmlns:xs="http://www.w3.org/2001/XMLSchema" xmlns:p="http://schemas.microsoft.com/office/2006/metadata/properties" targetNamespace="http://schemas.microsoft.com/office/2006/metadata/properties" ma:root="true" ma:fieldsID="aae12c555ce7ed9979d5a752b5dc44a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0F32D6-E5F6-4BB1-ACC5-EF95588BC6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EB677DC-0A14-467F-85F5-CAE5669E7D5D}">
  <ds:schemaRefs>
    <ds:schemaRef ds:uri="http://schemas.microsoft.com/sharepoint/v3/contenttype/forms"/>
  </ds:schemaRefs>
</ds:datastoreItem>
</file>

<file path=customXml/itemProps3.xml><?xml version="1.0" encoding="utf-8"?>
<ds:datastoreItem xmlns:ds="http://schemas.openxmlformats.org/officeDocument/2006/customXml" ds:itemID="{E1DFDC37-D0BD-4146-B155-8ED822F5A756}">
  <ds:schemaRefs>
    <ds:schemaRef ds:uri="http://www.w3.org/XML/1998/namespace"/>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26-TaxRates</vt:lpstr>
      <vt:lpstr>I - Composite Tax Rate</vt:lpstr>
      <vt:lpstr>Apportionment</vt:lpstr>
      <vt:lpstr>II - IV  Apportionment Detail</vt:lpstr>
      <vt:lpstr>A1 Summary 2015 Appt (9-7-16)</vt:lpstr>
      <vt:lpstr>'26-TaxRates'!Print_Area</vt:lpstr>
      <vt:lpstr>'A1 Summary 2015 Appt (9-7-16)'!Print_Area</vt:lpstr>
      <vt:lpstr>'I - Composite Tax Rate'!Print_Area</vt:lpstr>
      <vt:lpstr>'II - IV  Apportionment Detail'!Print_Area</vt:lpstr>
      <vt:lpstr>'A1 Summary 2015 Appt (9-7-16)'!Print_Area_MI</vt:lpstr>
      <vt:lpstr>'A1 Summary 2015 Appt (9-7-16)'!Print_Titles</vt:lpstr>
      <vt:lpstr>'II - IV  Apportionment Detail'!Print_Titles</vt:lpstr>
      <vt:lpstr>'A1 Summary 2015 Appt (9-7-16)'!Print_Titles_MI</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Standard Configuration</dc:creator>
  <cp:lastModifiedBy>Kim, Jee Young</cp:lastModifiedBy>
  <cp:lastPrinted>2017-10-12T17:44:34Z</cp:lastPrinted>
  <dcterms:created xsi:type="dcterms:W3CDTF">2010-10-21T18:16:53Z</dcterms:created>
  <dcterms:modified xsi:type="dcterms:W3CDTF">2017-10-12T17:46:27Z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0x010100ABFE7A323BB78D4DB02FDFD6F85C7B48</vt:lpwstr>
  </property>
</Properties>
</file>