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FERC-REG\FERC\FERC Contract &amp; Cost Analysis\2017 FERC Rate Case (Formula 5th True Up) TO11\12-Dec 1-Annual Informational Filing\Workpapers\"/>
    </mc:Choice>
  </mc:AlternateContent>
  <bookViews>
    <workbookView xWindow="0" yWindow="0" windowWidth="25200" windowHeight="11085"/>
  </bookViews>
  <sheets>
    <sheet name="One Time Adj Explanation" sheetId="100" r:id="rId1"/>
    <sheet name="WP-Total Adj with Int" sheetId="86" r:id="rId2"/>
    <sheet name="WP-2013-14 SONGS Part Share" sheetId="127" r:id="rId3"/>
    <sheet name="WP-2012 True Up TRR Adj" sheetId="130" r:id="rId4"/>
    <sheet name="WP-2012 Sch4-TUTRR" sheetId="132" r:id="rId5"/>
    <sheet name="WP-2012 Sch20-AandG" sheetId="133" r:id="rId6"/>
    <sheet name="WP-2013 True Up TRR Adj" sheetId="101" r:id="rId7"/>
    <sheet name="WP-2013 Sch4-TUTRR" sheetId="134" r:id="rId8"/>
    <sheet name="WP-2013 Sch20-AandG" sheetId="135" r:id="rId9"/>
    <sheet name="WP-2014 True Up TRR Adj" sheetId="106" r:id="rId10"/>
    <sheet name="WP-2014 Sch4-TUTRR" sheetId="136" r:id="rId11"/>
    <sheet name="WP-2014 Sch20-AandG" sheetId="137" r:id="rId12"/>
    <sheet name="WP-2014 Sch22-NUCs" sheetId="129"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#REF!</definedName>
    <definedName name="_Apr06">#REF!</definedName>
    <definedName name="_F100040">'[1]EIX Cost Centers'!$A$1:$B$33</definedName>
    <definedName name="_Feb06">#REF!</definedName>
    <definedName name="_Fill" hidden="1">#REF!</definedName>
    <definedName name="_May06">#REF!</definedName>
    <definedName name="_Nov05">#REF!</definedName>
    <definedName name="_Order1" hidden="1">255</definedName>
    <definedName name="_Order2" hidden="1">255</definedName>
    <definedName name="_SO2">#REF!</definedName>
    <definedName name="_SO4">#REF!</definedName>
    <definedName name="Active">#REF!</definedName>
    <definedName name="AltForecast">#REF!</definedName>
    <definedName name="Assets">'[2]GL Master Data lookup'!#REF!</definedName>
    <definedName name="Basis_Point">#REF!</definedName>
    <definedName name="Basis_Prices_Upload_Date">[3]Check!$B$29</definedName>
    <definedName name="Basis_Web_Query">[4]BasisPrices!$B$29</definedName>
    <definedName name="BHV">#REF!</definedName>
    <definedName name="Bio">#REF!</definedName>
    <definedName name="BLOCK">#REF!</definedName>
    <definedName name="BLOCKPOSTING">#REF!</definedName>
    <definedName name="Calc_implied_vol">[4]Volatility!$B$31</definedName>
    <definedName name="Clearing_House_deals_MTM_PT___Current_Month">#REF!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#REF!</definedName>
    <definedName name="CRR_SD_1">#REF!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#REF!</definedName>
    <definedName name="DWR_Start_Row">#REF!</definedName>
    <definedName name="Effective_date">'[4]Calpine Renewable Cntrct  MTM'!$L$81</definedName>
    <definedName name="EIX_10k">#REF!</definedName>
    <definedName name="EIX_10K_DET_M">#REF!</definedName>
    <definedName name="EIX_10K_DET_T">#REF!</definedName>
    <definedName name="EIX_10K_DETAIL">#REF!</definedName>
    <definedName name="EIX_10K_M">#REF!</definedName>
    <definedName name="EIX_10k_t">#REF!</definedName>
    <definedName name="EIX_10K_WK_CURR">[7]WS!#REF!</definedName>
    <definedName name="EIX_10K_WK_JAN1">#REF!</definedName>
    <definedName name="EIX_10k_WK_LASTMO">#REF!</definedName>
    <definedName name="EIX_WS">[7]WS!#REF!</definedName>
    <definedName name="eixytd">#REF!</definedName>
    <definedName name="ENTRYNODE">#REF!</definedName>
    <definedName name="EOptns_Term_Sch_Point">#REF!</definedName>
    <definedName name="Equity">'[2]GL Master Data lookup'!#REF!</definedName>
    <definedName name="Escalation_Rate">#REF!</definedName>
    <definedName name="FERC">#REF!</definedName>
    <definedName name="FERC_Map">'[2]CARS to FERC Map'!$A$2:$B$2339</definedName>
    <definedName name="Format_Quotes">[4]PowerPrices!$B$62</definedName>
    <definedName name="FSD">#REF!</definedName>
    <definedName name="Fut_Point">#REF!</definedName>
    <definedName name="Futs_Web_Query">[4]FuturePrices!$B$34</definedName>
    <definedName name="Futures_Prices_Upload_Date">[3]Check!$B$28</definedName>
    <definedName name="Gas">#REF!</definedName>
    <definedName name="Gas_Fin_Non_Options">#REF!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#REF!</definedName>
    <definedName name="Hydro">#REF!</definedName>
    <definedName name="Interest_Rates_Upload_Date">[3]Check!$B$30</definedName>
    <definedName name="IR_Web_Query">[4]InterestRates!$B$26</definedName>
    <definedName name="ITEMTYPE">#REF!</definedName>
    <definedName name="Level">#REF!</definedName>
    <definedName name="Liab">'[2]GL Master Data lookup'!#REF!</definedName>
    <definedName name="List_1st_nearby">[4]Volatility!$B$28</definedName>
    <definedName name="List_2nd_nearby">[4]Volatility!$B$29</definedName>
    <definedName name="List_3rd_nearby">[4]Volatility!$B$30</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#REF!</definedName>
    <definedName name="NEG">#REF!</definedName>
    <definedName name="new" hidden="1">{#N/A,#N/A,TRUE,"Section6";#N/A,#N/A,TRUE,"OHcycles";#N/A,#N/A,TRUE,"OHtiming";#N/A,#N/A,TRUE,"OHcosts";#N/A,#N/A,TRUE,"GTdegradation";#N/A,#N/A,TRUE,"GTperformance";#N/A,#N/A,TRUE,"GraphEquip"}</definedName>
    <definedName name="Next_Month">#REF!</definedName>
    <definedName name="NoContamSystems">SUM('[8]Facility Technical Data'!$C$11:$C$12)</definedName>
    <definedName name="OOR">'[2]GL Master Data lookup'!#REF!</definedName>
    <definedName name="Op_Exp">'[2]GL Master Data lookup'!#REF!</definedName>
    <definedName name="OracleUploadDate">[9]Renewable!$I$1</definedName>
    <definedName name="ord">'[10]Master Data'!$B$1:$T$118</definedName>
    <definedName name="P_L">'[2]GL Master Data lookup'!#REF!</definedName>
    <definedName name="Past_Cash">'[2]GL Master Data lookup'!#REF!</definedName>
    <definedName name="PivotTablePoint">#REF!</definedName>
    <definedName name="Posting_Keys">#REF!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Explanation'!$A$1:$F$34</definedName>
    <definedName name="_xlnm.Print_Area" localSheetId="5">'WP-2012 Sch20-AandG'!$A$1:$J$112</definedName>
    <definedName name="_xlnm.Print_Area" localSheetId="4">'WP-2012 Sch4-TUTRR'!$A$1:$J$108</definedName>
    <definedName name="_xlnm.Print_Area" localSheetId="3">'WP-2012 True Up TRR Adj'!$A$1:$H$12</definedName>
    <definedName name="_xlnm.Print_Area" localSheetId="8">'WP-2013 Sch20-AandG'!$A$1:$J$112</definedName>
    <definedName name="_xlnm.Print_Area" localSheetId="7">'WP-2013 Sch4-TUTRR'!$A$1:$J$109</definedName>
    <definedName name="_xlnm.Print_Area" localSheetId="6">'WP-2013 True Up TRR Adj'!$A$2:$G$13</definedName>
    <definedName name="_xlnm.Print_Area" localSheetId="2">'WP-2013-14 SONGS Part Share'!$A$1:$J$13</definedName>
    <definedName name="_xlnm.Print_Area" localSheetId="11">'WP-2014 Sch20-AandG'!$A$1:$J$112</definedName>
    <definedName name="_xlnm.Print_Area" localSheetId="12">'WP-2014 Sch22-NUCs'!$A$1:$F$30</definedName>
    <definedName name="_xlnm.Print_Area" localSheetId="10">'WP-2014 Sch4-TUTRR'!$A$1:$J$109</definedName>
    <definedName name="_xlnm.Print_Area" localSheetId="9">'WP-2014 True Up TRR Adj'!$A$2:$H$16</definedName>
    <definedName name="_xlnm.Print_Area" localSheetId="1">'WP-Total Adj with Int'!$A$1:$O$49</definedName>
    <definedName name="print1">#REF!</definedName>
    <definedName name="print2">#REF!</definedName>
    <definedName name="PriorMTMdate">'[11]Input And Prices'!$B$3</definedName>
    <definedName name="ProcessDate">#REF!</definedName>
    <definedName name="ProcessDate2">[9]Check!$B$3</definedName>
    <definedName name="ProcessMonth">#REF!</definedName>
    <definedName name="ProxyList">'[3]Calpine Renewable Cntrct  MTM'!$AT$15:$AT$20</definedName>
    <definedName name="QF_Asgn_List_Capacity">#REF!</definedName>
    <definedName name="QF_Asgn_List0212">#REF!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#REF!</definedName>
    <definedName name="SCE_10K_WK_LASTMO">#REF!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#REF!</definedName>
    <definedName name="SUBMITEM">#REF!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#REF!</definedName>
    <definedName name="Upload_Pwr">[4]PowerPrices!$B$66</definedName>
    <definedName name="Upload_Pwr_Access">[4]PowerPrices!$B$67</definedName>
    <definedName name="UploadAccess">[4]Volatility!$B$34</definedName>
    <definedName name="Uploads_IR_Access">#REF!</definedName>
    <definedName name="UploadVol">[4]Volatility!$B$33</definedName>
    <definedName name="Volatility_Upload_Date">[3]Check!$B$31</definedName>
    <definedName name="Week">{0;1;2;3;4;5}</definedName>
    <definedName name="Weekday">{1,2,3,4,5,6,7}</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workbook>
</file>

<file path=xl/calcChain.xml><?xml version="1.0" encoding="utf-8"?>
<calcChain xmlns="http://schemas.openxmlformats.org/spreadsheetml/2006/main">
  <c r="E17" i="100" l="1"/>
  <c r="F27" i="100"/>
  <c r="E27" i="100"/>
  <c r="F23" i="100" l="1"/>
  <c r="E29" i="100" l="1"/>
  <c r="F14" i="100" l="1"/>
  <c r="F17" i="100" l="1"/>
  <c r="E14" i="100"/>
  <c r="F29" i="100" l="1"/>
  <c r="E23" i="100"/>
  <c r="E6" i="100"/>
  <c r="F9" i="100"/>
  <c r="C108" i="137" l="1"/>
  <c r="F70" i="137"/>
  <c r="E70" i="137"/>
  <c r="F64" i="137"/>
  <c r="E64" i="137"/>
  <c r="G58" i="137"/>
  <c r="G37" i="137" s="1"/>
  <c r="D37" i="137" s="1"/>
  <c r="G6" i="137" s="1"/>
  <c r="H6" i="137" s="1"/>
  <c r="H57" i="137"/>
  <c r="G57" i="137"/>
  <c r="D50" i="137"/>
  <c r="G19" i="137" s="1"/>
  <c r="H19" i="137" s="1"/>
  <c r="D49" i="137"/>
  <c r="D48" i="137"/>
  <c r="D47" i="137"/>
  <c r="D46" i="137"/>
  <c r="G15" i="137" s="1"/>
  <c r="H15" i="137" s="1"/>
  <c r="D45" i="137"/>
  <c r="F44" i="137"/>
  <c r="D44" i="137"/>
  <c r="H43" i="137"/>
  <c r="D43" i="137"/>
  <c r="D42" i="137"/>
  <c r="D41" i="137"/>
  <c r="G10" i="137" s="1"/>
  <c r="H10" i="137" s="1"/>
  <c r="F29" i="137" s="1"/>
  <c r="D40" i="137"/>
  <c r="D39" i="137"/>
  <c r="D38" i="137"/>
  <c r="F24" i="137"/>
  <c r="E20" i="137"/>
  <c r="H18" i="137"/>
  <c r="G18" i="137"/>
  <c r="G17" i="137"/>
  <c r="H17" i="137" s="1"/>
  <c r="G16" i="137"/>
  <c r="H16" i="137" s="1"/>
  <c r="H14" i="137"/>
  <c r="G14" i="137"/>
  <c r="G13" i="137"/>
  <c r="H13" i="137" s="1"/>
  <c r="G12" i="137"/>
  <c r="H12" i="137" s="1"/>
  <c r="G11" i="137"/>
  <c r="H11" i="137" s="1"/>
  <c r="G9" i="137"/>
  <c r="H9" i="137" s="1"/>
  <c r="G8" i="137"/>
  <c r="H8" i="137" s="1"/>
  <c r="A8" i="137"/>
  <c r="A9" i="137" s="1"/>
  <c r="A10" i="137" s="1"/>
  <c r="G7" i="137"/>
  <c r="H7" i="137" s="1"/>
  <c r="A7" i="137"/>
  <c r="D6" i="106"/>
  <c r="D7" i="106"/>
  <c r="F103" i="136"/>
  <c r="F98" i="136"/>
  <c r="E87" i="136"/>
  <c r="E103" i="136" s="1"/>
  <c r="J42" i="136" s="1"/>
  <c r="J86" i="136"/>
  <c r="H42" i="136"/>
  <c r="H41" i="136"/>
  <c r="A34" i="136"/>
  <c r="H56" i="136" s="1"/>
  <c r="H33" i="136"/>
  <c r="A33" i="136"/>
  <c r="H34" i="136" s="1"/>
  <c r="J21" i="136"/>
  <c r="J15" i="136"/>
  <c r="A7" i="136"/>
  <c r="A8" i="136" s="1"/>
  <c r="A9" i="136" s="1"/>
  <c r="A12" i="136" s="1"/>
  <c r="J29" i="136"/>
  <c r="E9" i="100" l="1"/>
  <c r="F6" i="100" s="1"/>
  <c r="H20" i="137"/>
  <c r="F23" i="137" s="1"/>
  <c r="F25" i="137" s="1"/>
  <c r="F27" i="137" s="1"/>
  <c r="F30" i="137" s="1"/>
  <c r="G24" i="137"/>
  <c r="A11" i="137"/>
  <c r="A12" i="137" s="1"/>
  <c r="A13" i="137" s="1"/>
  <c r="A14" i="137" s="1"/>
  <c r="A15" i="137" s="1"/>
  <c r="A16" i="137" s="1"/>
  <c r="A17" i="137" s="1"/>
  <c r="A18" i="137" s="1"/>
  <c r="A19" i="137" s="1"/>
  <c r="A13" i="136"/>
  <c r="A14" i="136" s="1"/>
  <c r="A15" i="136" s="1"/>
  <c r="A18" i="136" s="1"/>
  <c r="E98" i="136"/>
  <c r="J33" i="136" s="1"/>
  <c r="J34" i="136" s="1"/>
  <c r="J56" i="136" s="1"/>
  <c r="J60" i="136" s="1"/>
  <c r="J64" i="136" s="1"/>
  <c r="E68" i="136" s="1"/>
  <c r="J38" i="136"/>
  <c r="J57" i="136" s="1"/>
  <c r="J41" i="136"/>
  <c r="A38" i="136"/>
  <c r="A20" i="137" l="1"/>
  <c r="C76" i="137"/>
  <c r="E73" i="136"/>
  <c r="J70" i="136" s="1"/>
  <c r="J72" i="136" s="1"/>
  <c r="A19" i="136"/>
  <c r="A20" i="136" s="1"/>
  <c r="A21" i="136" s="1"/>
  <c r="A41" i="136"/>
  <c r="A42" i="136" s="1"/>
  <c r="A43" i="136" s="1"/>
  <c r="A44" i="136" s="1"/>
  <c r="A45" i="136" s="1"/>
  <c r="A48" i="136" s="1"/>
  <c r="H57" i="136"/>
  <c r="H15" i="136"/>
  <c r="A23" i="137" l="1"/>
  <c r="G23" i="137"/>
  <c r="A23" i="136"/>
  <c r="H29" i="136"/>
  <c r="A49" i="136"/>
  <c r="A51" i="136" s="1"/>
  <c r="A52" i="136" s="1"/>
  <c r="A53" i="136" s="1"/>
  <c r="A54" i="136" s="1"/>
  <c r="A55" i="136" s="1"/>
  <c r="A56" i="136" s="1"/>
  <c r="A57" i="136" s="1"/>
  <c r="A58" i="136" s="1"/>
  <c r="A59" i="136" s="1"/>
  <c r="A60" i="136" s="1"/>
  <c r="H21" i="136"/>
  <c r="A24" i="137" l="1"/>
  <c r="A25" i="137" s="1"/>
  <c r="A62" i="136"/>
  <c r="A64" i="136" s="1"/>
  <c r="H60" i="136"/>
  <c r="H30" i="136"/>
  <c r="A24" i="136"/>
  <c r="A25" i="136" s="1"/>
  <c r="A26" i="137" l="1"/>
  <c r="A27" i="137" s="1"/>
  <c r="G25" i="137"/>
  <c r="A68" i="136"/>
  <c r="G68" i="136"/>
  <c r="H64" i="136"/>
  <c r="A28" i="137" l="1"/>
  <c r="G27" i="137"/>
  <c r="A69" i="136"/>
  <c r="A70" i="136" s="1"/>
  <c r="A29" i="137" l="1"/>
  <c r="G29" i="137"/>
  <c r="A71" i="136"/>
  <c r="A72" i="136" s="1"/>
  <c r="A73" i="136" s="1"/>
  <c r="G70" i="136"/>
  <c r="G73" i="136"/>
  <c r="A30" i="137" l="1"/>
  <c r="A37" i="137" s="1"/>
  <c r="G30" i="137"/>
  <c r="G72" i="136"/>
  <c r="G77" i="137" l="1"/>
  <c r="A38" i="137"/>
  <c r="A39" i="137" s="1"/>
  <c r="A40" i="137" s="1"/>
  <c r="A41" i="137" s="1"/>
  <c r="A42" i="137" s="1"/>
  <c r="A43" i="137" s="1"/>
  <c r="A44" i="137" l="1"/>
  <c r="C78" i="137"/>
  <c r="A45" i="137" l="1"/>
  <c r="A46" i="137" s="1"/>
  <c r="A47" i="137" s="1"/>
  <c r="A48" i="137" s="1"/>
  <c r="A49" i="137" s="1"/>
  <c r="A50" i="137" s="1"/>
  <c r="C72" i="137"/>
  <c r="C108" i="135" l="1"/>
  <c r="F70" i="135"/>
  <c r="E70" i="135"/>
  <c r="H43" i="135" s="1"/>
  <c r="D43" i="135" s="1"/>
  <c r="G12" i="135" s="1"/>
  <c r="H12" i="135" s="1"/>
  <c r="F64" i="135"/>
  <c r="E64" i="135"/>
  <c r="H57" i="135"/>
  <c r="G57" i="135"/>
  <c r="G58" i="135" s="1"/>
  <c r="G37" i="135" s="1"/>
  <c r="D37" i="135" s="1"/>
  <c r="G6" i="135" s="1"/>
  <c r="H6" i="135" s="1"/>
  <c r="D50" i="135"/>
  <c r="D49" i="135"/>
  <c r="D48" i="135"/>
  <c r="D47" i="135"/>
  <c r="G16" i="135" s="1"/>
  <c r="H16" i="135" s="1"/>
  <c r="D46" i="135"/>
  <c r="D45" i="135"/>
  <c r="F44" i="135"/>
  <c r="D44" i="135" s="1"/>
  <c r="G13" i="135" s="1"/>
  <c r="H13" i="135" s="1"/>
  <c r="D42" i="135"/>
  <c r="G11" i="135" s="1"/>
  <c r="H11" i="135" s="1"/>
  <c r="D41" i="135"/>
  <c r="D40" i="135"/>
  <c r="G9" i="135" s="1"/>
  <c r="H9" i="135" s="1"/>
  <c r="D39" i="135"/>
  <c r="D38" i="135"/>
  <c r="G7" i="135" s="1"/>
  <c r="H7" i="135" s="1"/>
  <c r="F24" i="135"/>
  <c r="E20" i="135"/>
  <c r="H19" i="135"/>
  <c r="G19" i="135"/>
  <c r="G18" i="135"/>
  <c r="H18" i="135" s="1"/>
  <c r="H17" i="135"/>
  <c r="G17" i="135"/>
  <c r="H15" i="135"/>
  <c r="G15" i="135"/>
  <c r="G14" i="135"/>
  <c r="H14" i="135" s="1"/>
  <c r="G10" i="135"/>
  <c r="H10" i="135" s="1"/>
  <c r="F29" i="135" s="1"/>
  <c r="G8" i="135"/>
  <c r="H8" i="135" s="1"/>
  <c r="A7" i="135"/>
  <c r="A8" i="135" s="1"/>
  <c r="A9" i="135" s="1"/>
  <c r="A10" i="135" s="1"/>
  <c r="D6" i="101"/>
  <c r="D7" i="101"/>
  <c r="F103" i="134"/>
  <c r="F98" i="134"/>
  <c r="E87" i="134"/>
  <c r="E103" i="134" s="1"/>
  <c r="J42" i="134" s="1"/>
  <c r="J86" i="134"/>
  <c r="H42" i="134"/>
  <c r="H41" i="134"/>
  <c r="A38" i="134"/>
  <c r="A41" i="134" s="1"/>
  <c r="A42" i="134" s="1"/>
  <c r="A43" i="134" s="1"/>
  <c r="A44" i="134" s="1"/>
  <c r="A45" i="134" s="1"/>
  <c r="A48" i="134" s="1"/>
  <c r="A34" i="134"/>
  <c r="H56" i="134" s="1"/>
  <c r="H33" i="134"/>
  <c r="A33" i="134"/>
  <c r="H34" i="134" s="1"/>
  <c r="J21" i="134"/>
  <c r="J15" i="134"/>
  <c r="A8" i="134"/>
  <c r="A9" i="134" s="1"/>
  <c r="A12" i="134" s="1"/>
  <c r="A7" i="134"/>
  <c r="J29" i="134"/>
  <c r="H20" i="135" l="1"/>
  <c r="F23" i="135" s="1"/>
  <c r="F25" i="135" s="1"/>
  <c r="F27" i="135" s="1"/>
  <c r="F30" i="135" s="1"/>
  <c r="A11" i="135"/>
  <c r="A12" i="135" s="1"/>
  <c r="A13" i="135" s="1"/>
  <c r="A14" i="135" s="1"/>
  <c r="A15" i="135" s="1"/>
  <c r="A16" i="135" s="1"/>
  <c r="A17" i="135" s="1"/>
  <c r="A18" i="135" s="1"/>
  <c r="A19" i="135" s="1"/>
  <c r="G24" i="135"/>
  <c r="J38" i="134"/>
  <c r="J57" i="134" s="1"/>
  <c r="J41" i="134"/>
  <c r="E98" i="134"/>
  <c r="J33" i="134" s="1"/>
  <c r="J34" i="134" s="1"/>
  <c r="J56" i="134" s="1"/>
  <c r="J60" i="134" s="1"/>
  <c r="J64" i="134" s="1"/>
  <c r="E68" i="134" s="1"/>
  <c r="A49" i="134"/>
  <c r="A51" i="134" s="1"/>
  <c r="A52" i="134" s="1"/>
  <c r="A53" i="134" s="1"/>
  <c r="A54" i="134" s="1"/>
  <c r="A55" i="134" s="1"/>
  <c r="A56" i="134" s="1"/>
  <c r="A57" i="134" s="1"/>
  <c r="A58" i="134" s="1"/>
  <c r="A59" i="134" s="1"/>
  <c r="A60" i="134" s="1"/>
  <c r="H60" i="134"/>
  <c r="A13" i="134"/>
  <c r="A14" i="134" s="1"/>
  <c r="A15" i="134" s="1"/>
  <c r="A18" i="134" s="1"/>
  <c r="H57" i="134"/>
  <c r="A20" i="135" l="1"/>
  <c r="C76" i="135"/>
  <c r="E73" i="134"/>
  <c r="J70" i="134" s="1"/>
  <c r="J72" i="134" s="1"/>
  <c r="A19" i="134"/>
  <c r="A20" i="134" s="1"/>
  <c r="A21" i="134" s="1"/>
  <c r="A23" i="134" s="1"/>
  <c r="A62" i="134"/>
  <c r="A64" i="134" s="1"/>
  <c r="H29" i="134"/>
  <c r="H15" i="134"/>
  <c r="G23" i="135" l="1"/>
  <c r="A23" i="135"/>
  <c r="H30" i="134"/>
  <c r="A24" i="134"/>
  <c r="A25" i="134" s="1"/>
  <c r="A68" i="134"/>
  <c r="G68" i="134"/>
  <c r="H64" i="134"/>
  <c r="H21" i="134"/>
  <c r="G25" i="135" l="1"/>
  <c r="A24" i="135"/>
  <c r="A25" i="135" s="1"/>
  <c r="G70" i="134"/>
  <c r="A69" i="134"/>
  <c r="A70" i="134" s="1"/>
  <c r="A26" i="135" l="1"/>
  <c r="A27" i="135" s="1"/>
  <c r="A71" i="134"/>
  <c r="A72" i="134" s="1"/>
  <c r="A73" i="134" s="1"/>
  <c r="G72" i="134"/>
  <c r="G73" i="134"/>
  <c r="A28" i="135" l="1"/>
  <c r="G27" i="135"/>
  <c r="A29" i="135" l="1"/>
  <c r="G29" i="135"/>
  <c r="A30" i="135" l="1"/>
  <c r="A37" i="135" s="1"/>
  <c r="G30" i="135"/>
  <c r="G77" i="135" l="1"/>
  <c r="A38" i="135"/>
  <c r="A39" i="135" s="1"/>
  <c r="A40" i="135" s="1"/>
  <c r="A41" i="135" s="1"/>
  <c r="A42" i="135" s="1"/>
  <c r="A43" i="135" s="1"/>
  <c r="A44" i="135" l="1"/>
  <c r="C78" i="135"/>
  <c r="C72" i="135" l="1"/>
  <c r="A45" i="135"/>
  <c r="A46" i="135" s="1"/>
  <c r="A47" i="135" s="1"/>
  <c r="A48" i="135" s="1"/>
  <c r="A49" i="135" s="1"/>
  <c r="A50" i="135" s="1"/>
  <c r="D48" i="86" l="1"/>
  <c r="C108" i="133"/>
  <c r="F70" i="133"/>
  <c r="E70" i="133"/>
  <c r="F64" i="133"/>
  <c r="E64" i="133"/>
  <c r="G58" i="133"/>
  <c r="G37" i="133" s="1"/>
  <c r="D37" i="133" s="1"/>
  <c r="G6" i="133" s="1"/>
  <c r="H6" i="133" s="1"/>
  <c r="H20" i="133" s="1"/>
  <c r="F23" i="133" s="1"/>
  <c r="F25" i="133" s="1"/>
  <c r="F27" i="133" s="1"/>
  <c r="F30" i="133" s="1"/>
  <c r="H57" i="133"/>
  <c r="G57" i="133"/>
  <c r="D50" i="133"/>
  <c r="D49" i="133"/>
  <c r="D48" i="133"/>
  <c r="D47" i="133"/>
  <c r="D46" i="133"/>
  <c r="D45" i="133"/>
  <c r="F44" i="133"/>
  <c r="D44" i="133"/>
  <c r="H43" i="133"/>
  <c r="D43" i="133"/>
  <c r="D42" i="133"/>
  <c r="D41" i="133"/>
  <c r="D40" i="133"/>
  <c r="D39" i="133"/>
  <c r="D38" i="133"/>
  <c r="F24" i="133"/>
  <c r="E20" i="133"/>
  <c r="G19" i="133"/>
  <c r="H19" i="133" s="1"/>
  <c r="H18" i="133"/>
  <c r="G18" i="133"/>
  <c r="G17" i="133"/>
  <c r="H17" i="133" s="1"/>
  <c r="H16" i="133"/>
  <c r="G16" i="133"/>
  <c r="G15" i="133"/>
  <c r="H15" i="133" s="1"/>
  <c r="H14" i="133"/>
  <c r="G14" i="133"/>
  <c r="G13" i="133"/>
  <c r="H13" i="133" s="1"/>
  <c r="H12" i="133"/>
  <c r="G12" i="133"/>
  <c r="G11" i="133"/>
  <c r="H11" i="133" s="1"/>
  <c r="H10" i="133"/>
  <c r="F29" i="133" s="1"/>
  <c r="G10" i="133"/>
  <c r="G9" i="133"/>
  <c r="H9" i="133" s="1"/>
  <c r="H8" i="133"/>
  <c r="G8" i="133"/>
  <c r="A8" i="133"/>
  <c r="A9" i="133" s="1"/>
  <c r="A10" i="133" s="1"/>
  <c r="G7" i="133"/>
  <c r="H7" i="133" s="1"/>
  <c r="A7" i="133"/>
  <c r="F102" i="132"/>
  <c r="F97" i="132"/>
  <c r="J85" i="132"/>
  <c r="E86" i="132" s="1"/>
  <c r="H42" i="132"/>
  <c r="H41" i="132"/>
  <c r="A34" i="132"/>
  <c r="A38" i="132" s="1"/>
  <c r="H33" i="132"/>
  <c r="A33" i="132"/>
  <c r="H34" i="132" s="1"/>
  <c r="J21" i="132"/>
  <c r="J15" i="132"/>
  <c r="A7" i="132"/>
  <c r="A8" i="132" s="1"/>
  <c r="A9" i="132" s="1"/>
  <c r="A12" i="132" s="1"/>
  <c r="J29" i="132"/>
  <c r="A11" i="133" l="1"/>
  <c r="A12" i="133" s="1"/>
  <c r="A13" i="133" s="1"/>
  <c r="A14" i="133" s="1"/>
  <c r="A15" i="133" s="1"/>
  <c r="A16" i="133" s="1"/>
  <c r="A17" i="133" s="1"/>
  <c r="A18" i="133" s="1"/>
  <c r="A19" i="133" s="1"/>
  <c r="G24" i="133"/>
  <c r="A13" i="132"/>
  <c r="A14" i="132" s="1"/>
  <c r="A15" i="132" s="1"/>
  <c r="A18" i="132" s="1"/>
  <c r="H56" i="132"/>
  <c r="A41" i="132"/>
  <c r="A42" i="132" s="1"/>
  <c r="A43" i="132" s="1"/>
  <c r="A44" i="132" s="1"/>
  <c r="A45" i="132" s="1"/>
  <c r="A48" i="132" s="1"/>
  <c r="J41" i="132"/>
  <c r="J38" i="132"/>
  <c r="J56" i="132" s="1"/>
  <c r="E102" i="132"/>
  <c r="J42" i="132" s="1"/>
  <c r="E97" i="132"/>
  <c r="J33" i="132" s="1"/>
  <c r="J34" i="132" s="1"/>
  <c r="J55" i="132" s="1"/>
  <c r="J59" i="132" s="1"/>
  <c r="J63" i="132" s="1"/>
  <c r="E67" i="132" s="1"/>
  <c r="H55" i="132"/>
  <c r="A20" i="133" l="1"/>
  <c r="C76" i="133"/>
  <c r="E72" i="132"/>
  <c r="J69" i="132" s="1"/>
  <c r="J71" i="132" s="1"/>
  <c r="A49" i="132"/>
  <c r="A50" i="132" s="1"/>
  <c r="A51" i="132" s="1"/>
  <c r="A52" i="132" s="1"/>
  <c r="A53" i="132" s="1"/>
  <c r="A54" i="132" s="1"/>
  <c r="A55" i="132" s="1"/>
  <c r="A56" i="132" s="1"/>
  <c r="A57" i="132" s="1"/>
  <c r="A58" i="132" s="1"/>
  <c r="A59" i="132" s="1"/>
  <c r="A19" i="132"/>
  <c r="A20" i="132" s="1"/>
  <c r="A21" i="132" s="1"/>
  <c r="H15" i="132"/>
  <c r="G23" i="133" l="1"/>
  <c r="A23" i="133"/>
  <c r="A61" i="132"/>
  <c r="A63" i="132" s="1"/>
  <c r="A23" i="132"/>
  <c r="H29" i="132"/>
  <c r="H21" i="132"/>
  <c r="H59" i="132"/>
  <c r="A24" i="133" l="1"/>
  <c r="A25" i="133" s="1"/>
  <c r="A24" i="132"/>
  <c r="A25" i="132" s="1"/>
  <c r="A67" i="132"/>
  <c r="G67" i="132"/>
  <c r="H63" i="132"/>
  <c r="G25" i="133" l="1"/>
  <c r="G27" i="133"/>
  <c r="A26" i="133"/>
  <c r="A27" i="133" s="1"/>
  <c r="A68" i="132"/>
  <c r="A69" i="132" s="1"/>
  <c r="H30" i="132"/>
  <c r="A28" i="133" l="1"/>
  <c r="A70" i="132"/>
  <c r="A71" i="132" s="1"/>
  <c r="A72" i="132" s="1"/>
  <c r="G72" i="132"/>
  <c r="G69" i="132"/>
  <c r="A29" i="133" l="1"/>
  <c r="G29" i="133"/>
  <c r="G71" i="132"/>
  <c r="A30" i="133" l="1"/>
  <c r="A37" i="133" s="1"/>
  <c r="G30" i="133"/>
  <c r="G77" i="133" l="1"/>
  <c r="A38" i="133"/>
  <c r="A39" i="133" s="1"/>
  <c r="A40" i="133" s="1"/>
  <c r="A41" i="133" s="1"/>
  <c r="A42" i="133" s="1"/>
  <c r="A43" i="133" s="1"/>
  <c r="C78" i="133" l="1"/>
  <c r="A44" i="133"/>
  <c r="C72" i="133" l="1"/>
  <c r="A45" i="133"/>
  <c r="A46" i="133" s="1"/>
  <c r="A47" i="133" s="1"/>
  <c r="A48" i="133" s="1"/>
  <c r="A49" i="133" s="1"/>
  <c r="A50" i="133" s="1"/>
  <c r="M14" i="86" l="1"/>
  <c r="N14" i="86"/>
  <c r="N13" i="86"/>
  <c r="N12" i="86"/>
  <c r="I15" i="86"/>
  <c r="D8" i="130" l="1"/>
  <c r="D12" i="86" s="1"/>
  <c r="D13" i="86" s="1"/>
  <c r="D14" i="86" s="1"/>
  <c r="M12" i="86"/>
  <c r="J12" i="86"/>
  <c r="I12" i="86"/>
  <c r="K12" i="86" s="1"/>
  <c r="I13" i="86" s="1"/>
  <c r="J13" i="86" s="1"/>
  <c r="D15" i="86" l="1"/>
  <c r="E12" i="86"/>
  <c r="K13" i="86"/>
  <c r="I14" i="86" s="1"/>
  <c r="J14" i="86" l="1"/>
  <c r="K14" i="86" s="1"/>
  <c r="D16" i="86"/>
  <c r="F12" i="86"/>
  <c r="G12" i="86" s="1"/>
  <c r="F21" i="129"/>
  <c r="E21" i="129"/>
  <c r="F17" i="129"/>
  <c r="E17" i="129"/>
  <c r="F14" i="129"/>
  <c r="E14" i="129"/>
  <c r="F7" i="129"/>
  <c r="E7" i="129"/>
  <c r="J15" i="86" l="1"/>
  <c r="K15" i="86"/>
  <c r="I16" i="86" s="1"/>
  <c r="O12" i="86"/>
  <c r="M13" i="86" s="1"/>
  <c r="E13" i="86"/>
  <c r="D17" i="86"/>
  <c r="J16" i="86" l="1"/>
  <c r="K16" i="86" s="1"/>
  <c r="I17" i="86" s="1"/>
  <c r="D18" i="86"/>
  <c r="F13" i="86"/>
  <c r="G13" i="86" s="1"/>
  <c r="J17" i="86" l="1"/>
  <c r="K17" i="86"/>
  <c r="I18" i="86" s="1"/>
  <c r="E14" i="86"/>
  <c r="O13" i="86"/>
  <c r="D19" i="86"/>
  <c r="J18" i="86" l="1"/>
  <c r="K18" i="86" s="1"/>
  <c r="I19" i="86" s="1"/>
  <c r="D20" i="86"/>
  <c r="F14" i="86"/>
  <c r="G14" i="86" s="1"/>
  <c r="J19" i="86" l="1"/>
  <c r="K19" i="86"/>
  <c r="I20" i="86" s="1"/>
  <c r="E15" i="86"/>
  <c r="O14" i="86"/>
  <c r="M15" i="86" s="1"/>
  <c r="N15" i="86" s="1"/>
  <c r="D21" i="86"/>
  <c r="J20" i="86" l="1"/>
  <c r="K20" i="86" s="1"/>
  <c r="I21" i="86" s="1"/>
  <c r="D22" i="86"/>
  <c r="F15" i="86"/>
  <c r="G15" i="86" s="1"/>
  <c r="J21" i="86" l="1"/>
  <c r="K21" i="86"/>
  <c r="I22" i="86" s="1"/>
  <c r="E16" i="86"/>
  <c r="O15" i="86"/>
  <c r="M16" i="86" s="1"/>
  <c r="N16" i="86" s="1"/>
  <c r="D23" i="86"/>
  <c r="J22" i="86" l="1"/>
  <c r="K22" i="86" s="1"/>
  <c r="I23" i="86" s="1"/>
  <c r="F16" i="86"/>
  <c r="G16" i="86" s="1"/>
  <c r="E17" i="86" s="1"/>
  <c r="J23" i="86" l="1"/>
  <c r="K23" i="86"/>
  <c r="F17" i="86"/>
  <c r="G17" i="86" s="1"/>
  <c r="E18" i="86" s="1"/>
  <c r="O16" i="86"/>
  <c r="M17" i="86" s="1"/>
  <c r="N17" i="86" s="1"/>
  <c r="E12" i="127"/>
  <c r="E8" i="127"/>
  <c r="F18" i="86" l="1"/>
  <c r="G18" i="86" s="1"/>
  <c r="E19" i="86" s="1"/>
  <c r="O17" i="86"/>
  <c r="M18" i="86" s="1"/>
  <c r="N18" i="86" s="1"/>
  <c r="D12" i="127"/>
  <c r="F11" i="127"/>
  <c r="F10" i="127"/>
  <c r="F9" i="127"/>
  <c r="F19" i="86" l="1"/>
  <c r="G19" i="86" s="1"/>
  <c r="E20" i="86" s="1"/>
  <c r="O18" i="86"/>
  <c r="F12" i="127"/>
  <c r="E13" i="127"/>
  <c r="F7" i="127"/>
  <c r="F6" i="127"/>
  <c r="D5" i="127"/>
  <c r="F5" i="127" s="1"/>
  <c r="D8" i="127" l="1"/>
  <c r="D13" i="127" s="1"/>
  <c r="M19" i="86"/>
  <c r="F20" i="86"/>
  <c r="G20" i="86" s="1"/>
  <c r="E21" i="86" s="1"/>
  <c r="F8" i="127"/>
  <c r="F13" i="127" s="1"/>
  <c r="N19" i="86" l="1"/>
  <c r="O19" i="86" s="1"/>
  <c r="F21" i="86"/>
  <c r="G21" i="86" s="1"/>
  <c r="E22" i="86" s="1"/>
  <c r="D8" i="106"/>
  <c r="L36" i="86" s="1"/>
  <c r="L37" i="86" l="1"/>
  <c r="L38" i="86" s="1"/>
  <c r="L39" i="86" s="1"/>
  <c r="L40" i="86" s="1"/>
  <c r="L41" i="86" s="1"/>
  <c r="L42" i="86" s="1"/>
  <c r="L43" i="86" s="1"/>
  <c r="L44" i="86" s="1"/>
  <c r="L45" i="86" s="1"/>
  <c r="L46" i="86" s="1"/>
  <c r="L47" i="86" s="1"/>
  <c r="M20" i="86"/>
  <c r="F22" i="86"/>
  <c r="G22" i="86" s="1"/>
  <c r="E23" i="86" s="1"/>
  <c r="L48" i="86" l="1"/>
  <c r="N20" i="86"/>
  <c r="O20" i="86" s="1"/>
  <c r="F23" i="86"/>
  <c r="G23" i="86" s="1"/>
  <c r="E24" i="86" s="1"/>
  <c r="F24" i="86" s="1"/>
  <c r="M21" i="86" l="1"/>
  <c r="N21" i="86" l="1"/>
  <c r="O21" i="86" s="1"/>
  <c r="M22" i="86" l="1"/>
  <c r="O22" i="86" l="1"/>
  <c r="N22" i="86"/>
  <c r="M23" i="86" l="1"/>
  <c r="O23" i="86" l="1"/>
  <c r="N23" i="86"/>
  <c r="M24" i="86" l="1"/>
  <c r="N24" i="86" s="1"/>
  <c r="D8" i="101" l="1"/>
  <c r="H24" i="86" l="1"/>
  <c r="H25" i="86" l="1"/>
  <c r="H26" i="86" s="1"/>
  <c r="H27" i="86" s="1"/>
  <c r="H28" i="86" s="1"/>
  <c r="H29" i="86" s="1"/>
  <c r="H30" i="86" s="1"/>
  <c r="H31" i="86" s="1"/>
  <c r="H32" i="86" s="1"/>
  <c r="H33" i="86" s="1"/>
  <c r="H34" i="86" s="1"/>
  <c r="H35" i="86" s="1"/>
  <c r="I24" i="86"/>
  <c r="J24" i="86" s="1"/>
  <c r="H48" i="86" l="1"/>
  <c r="K24" i="86"/>
  <c r="I25" i="86" l="1"/>
  <c r="J25" i="86" l="1"/>
  <c r="K25" i="86" s="1"/>
  <c r="I26" i="86" s="1"/>
  <c r="J26" i="86" l="1"/>
  <c r="K26" i="86" s="1"/>
  <c r="I27" i="86" s="1"/>
  <c r="J27" i="86" l="1"/>
  <c r="K27" i="86" s="1"/>
  <c r="I28" i="86" s="1"/>
  <c r="J28" i="86" l="1"/>
  <c r="K28" i="86" s="1"/>
  <c r="I29" i="86" s="1"/>
  <c r="J29" i="86" l="1"/>
  <c r="K29" i="86" s="1"/>
  <c r="I30" i="86" s="1"/>
  <c r="J30" i="86" l="1"/>
  <c r="K30" i="86" s="1"/>
  <c r="I31" i="86" s="1"/>
  <c r="J31" i="86" l="1"/>
  <c r="K31" i="86" s="1"/>
  <c r="I32" i="86" s="1"/>
  <c r="J32" i="86" l="1"/>
  <c r="K32" i="86" s="1"/>
  <c r="I33" i="86" s="1"/>
  <c r="J33" i="86" l="1"/>
  <c r="K33" i="86" s="1"/>
  <c r="I34" i="86" s="1"/>
  <c r="J34" i="86" l="1"/>
  <c r="K34" i="86" s="1"/>
  <c r="I35" i="86" s="1"/>
  <c r="J35" i="86" l="1"/>
  <c r="K35" i="86" s="1"/>
  <c r="I36" i="86" s="1"/>
  <c r="J36" i="86" l="1"/>
  <c r="K36" i="86" s="1"/>
  <c r="I37" i="86" s="1"/>
  <c r="J37" i="86" l="1"/>
  <c r="K37" i="86" s="1"/>
  <c r="I38" i="86" s="1"/>
  <c r="J38" i="86" l="1"/>
  <c r="K38" i="86" s="1"/>
  <c r="I39" i="86" s="1"/>
  <c r="J39" i="86" l="1"/>
  <c r="K39" i="86" s="1"/>
  <c r="I40" i="86" s="1"/>
  <c r="J40" i="86" l="1"/>
  <c r="K40" i="86" s="1"/>
  <c r="I41" i="86" s="1"/>
  <c r="J41" i="86" l="1"/>
  <c r="K41" i="86" s="1"/>
  <c r="I42" i="86" s="1"/>
  <c r="J42" i="86" l="1"/>
  <c r="K42" i="86" s="1"/>
  <c r="I43" i="86" s="1"/>
  <c r="G24" i="86"/>
  <c r="E25" i="86" s="1"/>
  <c r="F25" i="86" s="1"/>
  <c r="J43" i="86" l="1"/>
  <c r="K43" i="86" s="1"/>
  <c r="I44" i="86" s="1"/>
  <c r="G25" i="86"/>
  <c r="O24" i="86"/>
  <c r="M25" i="86" s="1"/>
  <c r="N25" i="86" l="1"/>
  <c r="J44" i="86"/>
  <c r="K44" i="86"/>
  <c r="I45" i="86" s="1"/>
  <c r="E26" i="86"/>
  <c r="F26" i="86" l="1"/>
  <c r="G26" i="86" s="1"/>
  <c r="E27" i="86" s="1"/>
  <c r="O25" i="86"/>
  <c r="M26" i="86" s="1"/>
  <c r="J45" i="86"/>
  <c r="K45" i="86"/>
  <c r="I46" i="86" s="1"/>
  <c r="F27" i="86" l="1"/>
  <c r="G27" i="86" s="1"/>
  <c r="E28" i="86" s="1"/>
  <c r="N26" i="86"/>
  <c r="J46" i="86"/>
  <c r="K46" i="86"/>
  <c r="I47" i="86" s="1"/>
  <c r="F28" i="86" l="1"/>
  <c r="G28" i="86" s="1"/>
  <c r="E29" i="86" s="1"/>
  <c r="O26" i="86"/>
  <c r="M27" i="86" s="1"/>
  <c r="J47" i="86"/>
  <c r="K47" i="86" s="1"/>
  <c r="K48" i="86" s="1"/>
  <c r="F29" i="86" l="1"/>
  <c r="G29" i="86" s="1"/>
  <c r="E30" i="86" s="1"/>
  <c r="N27" i="86"/>
  <c r="F30" i="86" l="1"/>
  <c r="G30" i="86" s="1"/>
  <c r="E31" i="86" s="1"/>
  <c r="O27" i="86"/>
  <c r="M28" i="86" s="1"/>
  <c r="F31" i="86" l="1"/>
  <c r="G31" i="86" s="1"/>
  <c r="E32" i="86" s="1"/>
  <c r="N28" i="86"/>
  <c r="F32" i="86" l="1"/>
  <c r="G32" i="86" s="1"/>
  <c r="E33" i="86" s="1"/>
  <c r="O28" i="86"/>
  <c r="M29" i="86" s="1"/>
  <c r="F33" i="86" l="1"/>
  <c r="G33" i="86" s="1"/>
  <c r="E34" i="86" s="1"/>
  <c r="N29" i="86"/>
  <c r="F34" i="86" l="1"/>
  <c r="G34" i="86" s="1"/>
  <c r="E35" i="86" s="1"/>
  <c r="O29" i="86"/>
  <c r="M30" i="86" s="1"/>
  <c r="F35" i="86" l="1"/>
  <c r="G35" i="86"/>
  <c r="E36" i="86" s="1"/>
  <c r="N30" i="86"/>
  <c r="F36" i="86" l="1"/>
  <c r="G36" i="86" s="1"/>
  <c r="E37" i="86" s="1"/>
  <c r="O30" i="86"/>
  <c r="M31" i="86" s="1"/>
  <c r="F37" i="86" l="1"/>
  <c r="G37" i="86" s="1"/>
  <c r="E38" i="86" s="1"/>
  <c r="N31" i="86"/>
  <c r="F38" i="86" l="1"/>
  <c r="G38" i="86" s="1"/>
  <c r="E39" i="86" s="1"/>
  <c r="O31" i="86"/>
  <c r="M32" i="86" s="1"/>
  <c r="F39" i="86" l="1"/>
  <c r="G39" i="86" s="1"/>
  <c r="E40" i="86" s="1"/>
  <c r="N32" i="86"/>
  <c r="F40" i="86" l="1"/>
  <c r="G40" i="86" s="1"/>
  <c r="E41" i="86" s="1"/>
  <c r="O32" i="86"/>
  <c r="M33" i="86" s="1"/>
  <c r="F41" i="86" l="1"/>
  <c r="G41" i="86" s="1"/>
  <c r="E42" i="86" s="1"/>
  <c r="N33" i="86"/>
  <c r="F42" i="86" l="1"/>
  <c r="G42" i="86" s="1"/>
  <c r="E43" i="86" s="1"/>
  <c r="O33" i="86"/>
  <c r="M34" i="86" s="1"/>
  <c r="F43" i="86" l="1"/>
  <c r="G43" i="86" s="1"/>
  <c r="E44" i="86" s="1"/>
  <c r="N34" i="86"/>
  <c r="F44" i="86" l="1"/>
  <c r="G44" i="86" s="1"/>
  <c r="E45" i="86" s="1"/>
  <c r="O34" i="86"/>
  <c r="M35" i="86" s="1"/>
  <c r="F45" i="86" l="1"/>
  <c r="G45" i="86" s="1"/>
  <c r="E46" i="86" s="1"/>
  <c r="N35" i="86"/>
  <c r="F46" i="86" l="1"/>
  <c r="G46" i="86" s="1"/>
  <c r="E47" i="86" s="1"/>
  <c r="O35" i="86"/>
  <c r="M36" i="86" s="1"/>
  <c r="F47" i="86" l="1"/>
  <c r="G47" i="86" s="1"/>
  <c r="G48" i="86" s="1"/>
  <c r="N36" i="86"/>
  <c r="O36" i="86" s="1"/>
  <c r="M37" i="86" s="1"/>
  <c r="N37" i="86" l="1"/>
  <c r="O37" i="86" s="1"/>
  <c r="M38" i="86" s="1"/>
  <c r="N38" i="86" l="1"/>
  <c r="O38" i="86" s="1"/>
  <c r="M39" i="86" s="1"/>
  <c r="N39" i="86" l="1"/>
  <c r="O39" i="86" s="1"/>
  <c r="M40" i="86" s="1"/>
  <c r="N40" i="86" l="1"/>
  <c r="O40" i="86" s="1"/>
  <c r="M41" i="86" s="1"/>
  <c r="N41" i="86" l="1"/>
  <c r="O41" i="86" s="1"/>
  <c r="M42" i="86" s="1"/>
  <c r="N42" i="86" l="1"/>
  <c r="O42" i="86" s="1"/>
  <c r="M43" i="86" s="1"/>
  <c r="N43" i="86" l="1"/>
  <c r="O43" i="86" s="1"/>
  <c r="M44" i="86" s="1"/>
  <c r="N44" i="86" l="1"/>
  <c r="O44" i="86" s="1"/>
  <c r="M45" i="86" s="1"/>
  <c r="N45" i="86" l="1"/>
  <c r="O45" i="86" s="1"/>
  <c r="M46" i="86" s="1"/>
  <c r="N46" i="86" l="1"/>
  <c r="O46" i="86" s="1"/>
  <c r="M47" i="86" s="1"/>
  <c r="N47" i="86" l="1"/>
  <c r="O47" i="86" s="1"/>
  <c r="O48" i="86" s="1"/>
  <c r="O49" i="86" s="1"/>
</calcChain>
</file>

<file path=xl/comments1.xml><?xml version="1.0" encoding="utf-8"?>
<comments xmlns="http://schemas.openxmlformats.org/spreadsheetml/2006/main">
  <authors>
    <author>Kim, Jee Young</author>
  </authors>
  <commentList>
    <comment ref="E40" authorId="0" shapeId="0">
      <text>
        <r>
          <rPr>
            <b/>
            <sz val="9"/>
            <color indexed="81"/>
            <rFont val="Tahoma"/>
            <family val="2"/>
          </rPr>
          <t>Changed from $7,189,756.  Added $1,127,225 of SONGS related Outside Services Cost</t>
        </r>
      </text>
    </comment>
    <comment ref="E45" authorId="0" shapeId="0">
      <text>
        <r>
          <rPr>
            <b/>
            <sz val="9"/>
            <color indexed="81"/>
            <rFont val="Tahoma"/>
            <family val="2"/>
          </rPr>
          <t>Changed from $9,777,614.  Added $4,419,961 of SONGS related Outside Services Cost</t>
        </r>
      </text>
    </comment>
  </commentList>
</comments>
</file>

<file path=xl/comments2.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$8,601,354. Subtracted $375,259 of SONGS related Outside Services Cost. </t>
        </r>
      </text>
    </comment>
    <comment ref="E43" authorId="0" shapeId="0">
      <text>
        <r>
          <rPr>
            <b/>
            <sz val="9"/>
            <color indexed="81"/>
            <rFont val="Tahoma"/>
            <family val="2"/>
          </rPr>
          <t xml:space="preserve">Changed from $29,318,125. Subtracted $2,716,418 related to the SONGS Decommissioning Trust Fund Participant Credit Adjustment. </t>
        </r>
        <r>
          <rPr>
            <sz val="9"/>
            <color indexed="81"/>
            <rFont val="Tahoma"/>
            <family val="2"/>
          </rPr>
          <t xml:space="preserve">
</t>
        </r>
      </text>
    </comment>
    <comment ref="E45" authorId="0" shapeId="0">
      <text>
        <r>
          <rPr>
            <b/>
            <sz val="9"/>
            <color indexed="81"/>
            <rFont val="Tahoma"/>
            <family val="2"/>
          </rPr>
          <t xml:space="preserve">Changed from $29,090,009. Added $5,182,924 of SONGS related Outside Services Cost. </t>
        </r>
      </text>
    </comment>
    <comment ref="E48" authorId="0" shapeId="0">
      <text>
        <r>
          <rPr>
            <b/>
            <sz val="9"/>
            <color indexed="81"/>
            <rFont val="Tahoma"/>
            <family val="2"/>
          </rPr>
          <t>Changed from $26,555,513.
Subtracted $5,583,099 related to the SONGS Decommissioning Trust Fund Adjustment.</t>
        </r>
      </text>
    </comment>
  </commentList>
</comments>
</file>

<file path=xl/comments3.xml><?xml version="1.0" encoding="utf-8"?>
<comments xmlns="http://schemas.openxmlformats.org/spreadsheetml/2006/main">
  <authors>
    <author>Kim, Jee Young</author>
  </authors>
  <commentList>
    <comment ref="E40" authorId="0" shapeId="0">
      <text>
        <r>
          <rPr>
            <b/>
            <sz val="9"/>
            <color indexed="81"/>
            <rFont val="Tahoma"/>
            <family val="2"/>
          </rPr>
          <t>Changed from $8,355,992.  Added $109,265 of SONGS related Outside Service Cost.</t>
        </r>
      </text>
    </comment>
    <comment ref="E43" authorId="0" shapeId="0">
      <text>
        <r>
          <rPr>
            <b/>
            <sz val="9"/>
            <color indexed="81"/>
            <rFont val="Tahoma"/>
            <family val="2"/>
          </rPr>
          <t>Changed from $21,897,772.  Subtracted $2,177,156 related to the SONGS Decommissioning Trust Fund Participant Credit Adjustment.</t>
        </r>
      </text>
    </comment>
    <comment ref="E45" authorId="0" shapeId="0">
      <text>
        <r>
          <rPr>
            <b/>
            <sz val="9"/>
            <color indexed="81"/>
            <rFont val="Tahoma"/>
            <family val="2"/>
          </rPr>
          <t>Changed from $20,889,300.  Added $10,043,907 of SONGS related Outside Service Cost.</t>
        </r>
      </text>
    </comment>
    <comment ref="E48" authorId="0" shapeId="0">
      <text>
        <r>
          <rPr>
            <b/>
            <sz val="9"/>
            <color indexed="81"/>
            <rFont val="Tahoma"/>
            <family val="2"/>
          </rPr>
          <t>Changed from $28,243,366.  Subtracted $4,321,513 related to the SONGS Decommissioning Trust Fund Participant Credit Adjustment.</t>
        </r>
      </text>
    </comment>
  </commentList>
</comments>
</file>

<file path=xl/comments4.xml><?xml version="1.0" encoding="utf-8"?>
<comments xmlns="http://schemas.openxmlformats.org/spreadsheetml/2006/main">
  <authors>
    <author>Kim, Jee Young</author>
  </authors>
  <commentList>
    <comment ref="E12" authorId="0" shapeId="0">
      <text>
        <r>
          <rPr>
            <b/>
            <sz val="9"/>
            <color indexed="81"/>
            <rFont val="Tahoma"/>
            <family val="2"/>
          </rPr>
          <t>Changed from $38,418,086.</t>
        </r>
        <r>
          <rPr>
            <sz val="9"/>
            <color indexed="81"/>
            <rFont val="Tahoma"/>
            <family val="2"/>
          </rPr>
          <t xml:space="preserve">
</t>
        </r>
      </text>
    </comment>
    <comment ref="E13" authorId="0" shapeId="0">
      <text>
        <r>
          <rPr>
            <b/>
            <sz val="9"/>
            <color indexed="81"/>
            <rFont val="Tahoma"/>
            <family val="2"/>
          </rPr>
          <t>Changed from $147,854,877.</t>
        </r>
        <r>
          <rPr>
            <sz val="9"/>
            <color indexed="81"/>
            <rFont val="Tahoma"/>
            <family val="2"/>
          </rPr>
          <t xml:space="preserve">
</t>
        </r>
      </text>
    </comment>
  </commentList>
</comments>
</file>

<file path=xl/sharedStrings.xml><?xml version="1.0" encoding="utf-8"?>
<sst xmlns="http://schemas.openxmlformats.org/spreadsheetml/2006/main" count="1265" uniqueCount="413">
  <si>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</si>
  <si>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</si>
  <si>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</si>
  <si>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</si>
  <si>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</si>
  <si>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</si>
  <si>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</si>
  <si>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</si>
  <si>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</si>
  <si>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</si>
  <si>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</si>
  <si>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</si>
  <si>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</si>
  <si>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</si>
  <si>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</si>
  <si>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</si>
  <si>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</si>
  <si>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</si>
  <si>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</si>
  <si>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</si>
  <si>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</si>
  <si>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</si>
  <si>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</si>
  <si>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</si>
  <si>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</si>
  <si>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</si>
  <si>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</si>
  <si>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</si>
  <si>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One Time Adjustment for Revised 2013 True Up TRR</t>
  </si>
  <si>
    <t>2013</t>
  </si>
  <si>
    <t>1.</t>
  </si>
  <si>
    <r>
      <rPr>
        <b/>
        <sz val="12"/>
        <rFont val="Calibri"/>
        <family val="2"/>
        <scheme val="minor"/>
      </rPr>
      <t>True Up TRR Pursuant to Appendix IX, Attachment 1, Paragraph 3(d)(8)</t>
    </r>
  </si>
  <si>
    <t xml:space="preserve">Subtotal One-Time Adj: </t>
  </si>
  <si>
    <t>Description</t>
  </si>
  <si>
    <t>Amount</t>
  </si>
  <si>
    <t>Source</t>
  </si>
  <si>
    <t>Variance*</t>
  </si>
  <si>
    <t>* Variance Includes Adjustments for:</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</si>
  <si>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</si>
  <si>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</si>
  <si>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</si>
  <si>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</si>
  <si>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</si>
  <si>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</si>
  <si>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</si>
  <si>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</si>
  <si>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</si>
  <si>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</si>
  <si>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</si>
  <si>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</si>
  <si>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</si>
  <si>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</si>
  <si>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</si>
  <si>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</si>
  <si>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</si>
  <si>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</si>
  <si>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</si>
  <si>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</si>
  <si>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</si>
  <si>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</si>
  <si>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</si>
  <si>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</si>
  <si>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</si>
  <si>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</si>
  <si>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</si>
  <si>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</si>
  <si>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</si>
  <si>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</si>
  <si>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</si>
  <si>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</si>
  <si>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</si>
  <si>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</si>
  <si>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</si>
  <si>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</si>
  <si>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</si>
  <si>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</si>
  <si>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</si>
  <si>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</si>
  <si>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</si>
  <si>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</si>
  <si>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</si>
  <si>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</si>
  <si>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</si>
  <si>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</si>
  <si>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</si>
  <si>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</si>
  <si>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</si>
  <si>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</si>
  <si>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</si>
  <si>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</si>
  <si>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</si>
  <si>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</si>
  <si>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</si>
  <si>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</si>
  <si>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</si>
  <si>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</si>
  <si>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</si>
  <si>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</si>
  <si>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</si>
  <si>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</si>
  <si>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</si>
  <si>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</si>
  <si>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</si>
  <si>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</si>
  <si>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</si>
  <si>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</si>
  <si>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</si>
  <si>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</si>
  <si>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</si>
  <si>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</si>
  <si>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</si>
  <si>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</si>
  <si>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</si>
  <si>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</si>
  <si>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</si>
  <si>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</si>
  <si>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</si>
  <si>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</si>
  <si>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</si>
  <si>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</si>
  <si>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</si>
  <si>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</si>
  <si>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</si>
  <si>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</si>
  <si>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</si>
  <si>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</si>
  <si>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</si>
  <si>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</si>
  <si>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</si>
  <si>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</si>
  <si>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</si>
  <si>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</si>
  <si>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</si>
  <si>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</si>
  <si>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</si>
  <si>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</si>
  <si>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</si>
  <si>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</si>
  <si>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</si>
  <si>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</si>
  <si>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</si>
  <si>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</si>
  <si>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</si>
  <si>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</si>
  <si>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</si>
  <si>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</si>
  <si>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</si>
  <si>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</si>
  <si>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</si>
  <si>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</si>
  <si>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</si>
  <si>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</si>
  <si>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</si>
  <si>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</si>
  <si>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</si>
  <si>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</si>
  <si>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</si>
  <si>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</si>
  <si>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 xml:space="preserve">One Time Adjustment for Revised 2013 True Up TRR </t>
  </si>
  <si>
    <t>27a</t>
  </si>
  <si>
    <t>PBOPs True Up TRR Adjustment</t>
  </si>
  <si>
    <t>TO9 TUTRR</t>
  </si>
  <si>
    <t>Jan 1, 2013</t>
  </si>
  <si>
    <t>Dec 31, 2013</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</si>
  <si>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</si>
  <si>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</si>
  <si>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</si>
  <si>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</si>
  <si>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</si>
  <si>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</si>
  <si>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</si>
  <si>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</si>
  <si>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</si>
  <si>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</si>
  <si>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</si>
  <si>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</si>
  <si>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</si>
  <si>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</si>
  <si>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</si>
  <si>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</si>
  <si>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</si>
  <si>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</si>
  <si>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</si>
  <si>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</si>
  <si>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</si>
  <si>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</si>
  <si>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</si>
  <si>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</si>
  <si>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</si>
  <si>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</si>
  <si>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</si>
  <si>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</si>
  <si>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</si>
  <si>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</si>
  <si>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</si>
  <si>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</si>
  <si>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</si>
  <si>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</si>
  <si>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</si>
  <si>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</si>
  <si>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</si>
  <si>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</si>
  <si>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</si>
  <si>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</si>
  <si>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</si>
  <si>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</si>
  <si>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</si>
  <si>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</si>
  <si>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</si>
  <si>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</si>
  <si>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</si>
  <si>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</si>
  <si>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</si>
  <si>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</si>
  <si>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</si>
  <si>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</si>
  <si>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</si>
  <si>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</si>
  <si>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</si>
  <si>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</si>
  <si>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</si>
  <si>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</si>
  <si>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</si>
  <si>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</si>
  <si>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</si>
  <si>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</si>
  <si>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</si>
  <si>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</si>
  <si>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</si>
  <si>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</si>
  <si>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</si>
  <si>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</si>
  <si>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</si>
  <si>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</si>
  <si>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</si>
  <si>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</si>
  <si>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</si>
  <si>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</si>
  <si>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</si>
  <si>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</si>
  <si>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</si>
  <si>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</si>
  <si>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</si>
  <si>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</si>
  <si>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</si>
  <si>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</si>
  <si>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</si>
  <si>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</si>
  <si>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</si>
  <si>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</si>
  <si>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</si>
  <si>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</si>
  <si>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</si>
  <si>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</si>
  <si>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</si>
  <si>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</si>
  <si>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</si>
  <si>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</si>
  <si>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</si>
  <si>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</si>
  <si>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</si>
  <si>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</si>
  <si>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</si>
  <si>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</si>
  <si>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</si>
  <si>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</si>
  <si>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</si>
  <si>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</si>
  <si>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</si>
  <si>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</si>
  <si>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</si>
  <si>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</si>
  <si>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</si>
  <si>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</si>
  <si>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</si>
  <si>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</si>
  <si>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</si>
  <si>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ER14-2788, Order dated October 22, 2014</t>
  </si>
  <si>
    <t>5) SCE shall make no adjustments to recorded labor amounts related to non-labor labor and/or Indirect labor in Schedule 20.</t>
  </si>
  <si>
    <t>TUTRR Change</t>
  </si>
  <si>
    <t>Changes to 2013</t>
  </si>
  <si>
    <t>A</t>
  </si>
  <si>
    <t>One-Time Adj*</t>
  </si>
  <si>
    <t>Jan 1, 2014</t>
  </si>
  <si>
    <t>Dec 31, 2014</t>
  </si>
  <si>
    <t>Revised TO9 True Up TRR in TO10 Filing</t>
  </si>
  <si>
    <t>(1) 2013 SONGS Decommissioning Trust Fund Participant Credit Adjustment</t>
  </si>
  <si>
    <t>* Variance Includes Adjustment for:</t>
  </si>
  <si>
    <t>TO10 Filing - WP Schedule 3 - One Time Adj True Up Adj, Page 23, Line 45.</t>
  </si>
  <si>
    <t>(1) 2014 SONGS Decommissioning Trust Fund Participant Credit Adjustment</t>
  </si>
  <si>
    <t xml:space="preserve">One Time Adjustment for Revised 2014 True Up TRR </t>
  </si>
  <si>
    <t xml:space="preserve">Filed TO10 True Up TRR </t>
  </si>
  <si>
    <t>TO10 Revised True Up TRR</t>
  </si>
  <si>
    <t>TO10 TUTRR</t>
  </si>
  <si>
    <t>TO11</t>
  </si>
  <si>
    <t>One Time Adjustment for Revised 2014 True Up TRR</t>
  </si>
  <si>
    <t>Total One-Time Adjustment for 2015:</t>
  </si>
  <si>
    <t>2014</t>
  </si>
  <si>
    <t>TO10 Annual Update Filing - Attachment 1 - Schedule 4, Page 14, Line 45.</t>
  </si>
  <si>
    <t>Revised TO9 True Up TRR in TO11 Filing</t>
  </si>
  <si>
    <t>Changes to 2014</t>
  </si>
  <si>
    <t>Explanation of One Time Adjustment to Prior Period</t>
  </si>
  <si>
    <t>B</t>
  </si>
  <si>
    <t>Total SONGS Decom Adjustment from FERC Formula Rate by FERC Account</t>
  </si>
  <si>
    <t xml:space="preserve">Year </t>
  </si>
  <si>
    <t>FERC Account</t>
  </si>
  <si>
    <t>Participant Share</t>
  </si>
  <si>
    <t>SCE Share</t>
  </si>
  <si>
    <t>SONGS Decom Settlement P&amp;B Loaders</t>
  </si>
  <si>
    <t>Outside Legal Consultants</t>
  </si>
  <si>
    <t>SONGS Decom Settlement A&amp;G Loaders</t>
  </si>
  <si>
    <t>2013 Total</t>
  </si>
  <si>
    <t>2014 Total</t>
  </si>
  <si>
    <t>Grand Total</t>
  </si>
  <si>
    <t xml:space="preserve">(2) Revision to Schedule 22 - Network Upgrade Credits </t>
  </si>
  <si>
    <t>2.</t>
  </si>
  <si>
    <t xml:space="preserve">SCE discovered an error in the TO10 input for the Refunds to Date amount for the NRG El Segundo (TOT041) Project.  The amount reported was $3,678,367, when it should have been $5,367,550.  As a result, the total 2014 EOY Outstanding Network Upgrades Credits (TO10, Line 5) was overstated by $1,689,184.  SCE has incoporated this correction that changes and the impact is an increase in the 2014 True Up TRR of $92,315.  
</t>
  </si>
  <si>
    <t>NETWORK UPGRADE CREDIT AND INTEREST EXPENSE</t>
  </si>
  <si>
    <t>Prior Year:</t>
  </si>
  <si>
    <t>1) Beginning of Year Balances: (Note 1)</t>
  </si>
  <si>
    <t>Line</t>
  </si>
  <si>
    <t>Balance</t>
  </si>
  <si>
    <t>Outstanding Network Upgrade Credits Recorded in FERC Acct 252</t>
  </si>
  <si>
    <t>Acct 252 Other</t>
  </si>
  <si>
    <t>Total Acct 252</t>
  </si>
  <si>
    <t>FF-1 total for Acct 252 - Customer Advances for Construction 
 (Must equal Line 3)</t>
  </si>
  <si>
    <t>FF1 113.56d</t>
  </si>
  <si>
    <t>2) End of Year Balances: (Note 2)</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</si>
  <si>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</si>
  <si>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</si>
  <si>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</si>
  <si>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</si>
  <si>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</si>
  <si>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</si>
  <si>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</si>
  <si>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</si>
  <si>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Notes:</t>
  </si>
  <si>
    <t>Beginning of Year Balances are from December of the year previous to the Prior Year.</t>
  </si>
  <si>
    <t>End of Year Balances are from December of the Prior Year.</t>
  </si>
  <si>
    <t>Only projects that are in Rate Base in the year reported are included.</t>
  </si>
  <si>
    <t xml:space="preserve">Interest relates to refund of facility and one-time payments by generator.  For facility costs, pre-in-service date interest is  </t>
  </si>
  <si>
    <t>excluded.  For one-time costs, pre-in-service and post-in-service interest is included.</t>
  </si>
  <si>
    <t>One Time Adjustment for Revised 2012 True Up TRR</t>
  </si>
  <si>
    <t>2012</t>
  </si>
  <si>
    <t xml:space="preserve">One Time Adjustment for Revised 2012 True Up TRR </t>
  </si>
  <si>
    <t>Revised TO8 True Up TRR in TO10 Filing</t>
  </si>
  <si>
    <t>TO10 Filing - WP Schedule 3 - One Time Adj True Up Adj, Page 5, Line 45.</t>
  </si>
  <si>
    <t>Revised TO8 True Up TRR in TO11 Filing</t>
  </si>
  <si>
    <t>TO8 TUTRR</t>
  </si>
  <si>
    <t>Jan 1, 2012</t>
  </si>
  <si>
    <t>Dec 31, 2012</t>
  </si>
  <si>
    <t>(3) 2014 SONGS related Outside Services Adjustment</t>
  </si>
  <si>
    <t>(2) 2013 SONGS related Outside Services Adjustment</t>
  </si>
  <si>
    <t>(1) 2012 SONGS related Outside Services Adjustment</t>
  </si>
  <si>
    <t>Changes to 2012</t>
  </si>
  <si>
    <t>*  The TO11 One-Time Adjustment is equal to the TO8/TO9/TO10 TUTRR Change, plus interest through December 31, 2014.</t>
  </si>
  <si>
    <t>TO8/TO9/TO10</t>
  </si>
  <si>
    <t>Total One-Time Adjustment for 2012 Reflected in December TO11 Filing</t>
  </si>
  <si>
    <t>Total One-Time Adjustment for 2013 Reflected in December TO11 Filing</t>
  </si>
  <si>
    <t>Total One-Time Adjustment for 2014 Reflected in December TO11 Filing</t>
  </si>
  <si>
    <t>3.</t>
  </si>
  <si>
    <t>C</t>
  </si>
  <si>
    <t>D = B + C</t>
  </si>
  <si>
    <t>E</t>
  </si>
  <si>
    <t>F</t>
  </si>
  <si>
    <t>G</t>
  </si>
  <si>
    <t>H = E + F + G</t>
  </si>
  <si>
    <t>Total One-Time Adjustment for 2012 through 2014 Reflected in December TO11 Filing</t>
  </si>
  <si>
    <t>I = A + D + H</t>
  </si>
  <si>
    <t>6-PlantInService, Line 18</t>
  </si>
  <si>
    <t>6-PlantInService, Line 24</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</si>
  <si>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</si>
  <si>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</si>
  <si>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</si>
  <si>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</si>
  <si>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</si>
  <si>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</si>
  <si>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</si>
  <si>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</si>
  <si>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</si>
  <si>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</si>
  <si>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</si>
  <si>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</si>
  <si>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</si>
  <si>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</si>
  <si>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</si>
  <si>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</si>
  <si>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</si>
  <si>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</si>
  <si>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</si>
  <si>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</si>
  <si>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</si>
  <si>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</si>
  <si>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</si>
  <si>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</si>
  <si>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</si>
  <si>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</si>
  <si>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22-NUCs, Line 9</t>
  </si>
  <si>
    <t>34-UnfundedReserves, Line 7</t>
  </si>
  <si>
    <t>23-RegAssets, Line 15</t>
  </si>
  <si>
    <t>15-IncentiveAdder L 20</t>
  </si>
  <si>
    <t>28-FFU, L 5</t>
  </si>
  <si>
    <t>27-Allocators, Line 9</t>
  </si>
  <si>
    <t>27-Allocators, Line 22</t>
  </si>
  <si>
    <t>35-PBOPs L 14</t>
  </si>
  <si>
    <t>After filing the December 1 TO10 Annual Update, SCE discovered that the additional TO9 A&amp;G exclusions of $33,150,102 due to the approval for recovery of certain 2013 SONGS expenses as decommissioning costs by the California Public Utilities Commission in CPUC Resolution E-4678 and approval of Advice Letter 3285-E was incorrect.  The amount was overstated by $8,299,516 due to the inclusion of SONGS Participant Credits, which are cost that were recovered from SONGS co-owners and needed to be removed to correctly reflect SCE's share of the cost.  SCE has incorporated this correction that changes the TO9 A&amp;G exclusions and the impact of this change is an increase in the 2013 True Up TRR of $358,703.</t>
  </si>
  <si>
    <t xml:space="preserve">As discussed above, after filing the TO10 Annual Update, it was discovered that the additional TO10 A&amp;G exclusions of $29,215,280 due to the approval for recovery of certain 2014 SONGS expenses as decommissioning costs by the California Public Utilities Commission in CPUC Resolution E-4678 and approval of Advice Letter 3285-E was incorrect.  The amount was overstated by $6,498,670 due to the inclusion of the SONGS Participant Credits.  SCE has incoporated this correction that changes the TO10 A&amp;G exclusions and the impact of this change is an increase in the 2014 True Up TRR of $360,113.  </t>
  </si>
  <si>
    <r>
      <t>TO11 Filing - WP Schedule 3 - One Time Adj True Up Adj, Page</t>
    </r>
    <r>
      <rPr>
        <sz val="11"/>
        <rFont val="Calibri"/>
        <family val="2"/>
        <scheme val="minor"/>
      </rPr>
      <t xml:space="preserve"> 6</t>
    </r>
    <r>
      <rPr>
        <sz val="11"/>
        <color theme="1"/>
        <rFont val="Calibri"/>
        <family val="2"/>
        <scheme val="minor"/>
      </rPr>
      <t>, Line 45.</t>
    </r>
  </si>
  <si>
    <r>
      <t>TO11 Filing - WP Schedule 3 - One Time Adj True Up Adj, Page</t>
    </r>
    <r>
      <rPr>
        <sz val="11"/>
        <rFont val="Calibri"/>
        <family val="2"/>
        <scheme val="minor"/>
      </rPr>
      <t xml:space="preserve"> 13</t>
    </r>
    <r>
      <rPr>
        <sz val="11"/>
        <color theme="1"/>
        <rFont val="Calibri"/>
        <family val="2"/>
        <scheme val="minor"/>
      </rPr>
      <t>, Line 45.</t>
    </r>
  </si>
  <si>
    <r>
      <t>TO11 Filing - WP Schedule 3 - One Time Adj True Up Adj, Page 20</t>
    </r>
    <r>
      <rPr>
        <sz val="11"/>
        <color theme="1"/>
        <rFont val="Calibri"/>
        <family val="2"/>
        <scheme val="minor"/>
      </rPr>
      <t>, Line 45.</t>
    </r>
  </si>
  <si>
    <t>After posting the June 15 TO11 Draft Annual Update, SCE discovered that it incorrectly included 2012 SONGS expenses related to the Nuclear Electric Insurance Limited (NEIL) Litigation and Mitsubishi Heavy Industries (MHI) Arbitration.  Therefore, SCE is including an additional TO8 A&amp;G exclusions of $5,547,186 to remove these 2012 SONGS expenses.  SCE has incorporated this correction that changes the TO8 A&amp;G exclusions and the impact of this change is a decrease in the 2012 True Up TRR of $210,049.</t>
  </si>
  <si>
    <t>After posting the June 15 TO11 Draft Annual Update, SCE discovered that it incorrectly included 2013 SONGS expenses related to the Nuclear Electric Insurance Limited (NEIL) Litigation and Mitsubishi Heavy Industries (MHI) Arbitration.  Therefore, SCE is including an additional TO9 A&amp;G exclusions of $4,807,665 to remove these 2013 SONGS expenses.  SCE has incorporated this correction that changes the TO9 A&amp;G exclusions and the impact of this change is a decrease in the 2013 True Up TRR of $207,786.</t>
  </si>
  <si>
    <t>After posting the June 15 TO11 Draft Annual Update, SCE discovered that it incorrectly included 2014 SONGS expenses related to the Nuclear Electric Insurance Limited (NEIL) Litigation and Mitsubishi Heavy Industries (MHI) Arbitration.  Therefore, SCE is including an additional TO10 A&amp;G exclusions of $10,153,172 to remove these 2014 SONGS expenses.  SCE has incorporated this correction that changes the TO10 A&amp;G exclusions and the impact of this change is a decrease in the 2014 True Up TRR of $654,935.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</si>
</sst>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quot;$&quot;* #,##0_);_(&quot;$&quot;* \(#,##0\);_(&quot;$&quot;* &quot;-&quot;_);_(@_)"/>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s>
  <fonts count="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1"/>
      <name val="Calibri"/>
      <family val="2"/>
      <scheme val="minor"/>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rgb="FFCCFFCC"/>
        <bgColor indexed="64"/>
      </patternFill>
    </fill>
  </fills>
  <borders count="3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diagonal/>
    </border>
    <border>
      <left/>
      <right style="medium">
        <color rgb="FFFF0000"/>
      </right>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right/>
      <top/>
      <bottom style="medium">
        <color rgb="FFFF0000"/>
      </bottom>
      <diagonal/>
    </border>
    <border>
      <left style="medium">
        <color rgb="FFFF0000"/>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style="thick">
        <color rgb="FFFF0000"/>
      </left>
      <right style="thick">
        <color rgb="FFFF0000"/>
      </right>
      <top style="medium">
        <color rgb="FFFF0000"/>
      </top>
      <bottom style="thick">
        <color rgb="FFFF0000"/>
      </bottom>
      <diagonal/>
    </border>
  </borders>
  <cellStyleXfs count="221">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9"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2" fillId="0" borderId="0"/>
    <xf numFmtId="0" fontId="12" fillId="0" borderId="0"/>
    <xf numFmtId="0" fontId="45" fillId="0" borderId="0"/>
    <xf numFmtId="43" fontId="24" fillId="0" borderId="0" applyFont="0" applyFill="0" applyBorder="0" applyAlignment="0" applyProtection="0"/>
    <xf numFmtId="43" fontId="48" fillId="0" borderId="0" applyFont="0" applyFill="0" applyBorder="0" applyAlignment="0" applyProtection="0"/>
    <xf numFmtId="0" fontId="11" fillId="0" borderId="0"/>
    <xf numFmtId="43" fontId="11" fillId="0" borderId="0" applyFont="0" applyFill="0" applyBorder="0" applyAlignment="0" applyProtection="0"/>
    <xf numFmtId="0" fontId="11" fillId="0" borderId="0"/>
    <xf numFmtId="0" fontId="11" fillId="0" borderId="0"/>
    <xf numFmtId="44" fontId="57" fillId="0" borderId="0" applyFont="0" applyFill="0" applyBorder="0" applyAlignment="0" applyProtection="0"/>
    <xf numFmtId="0" fontId="6" fillId="0" borderId="0"/>
    <xf numFmtId="9" fontId="6" fillId="0" borderId="0" applyFont="0" applyFill="0" applyBorder="0" applyAlignment="0" applyProtection="0"/>
    <xf numFmtId="43" fontId="6" fillId="0" borderId="0" applyFont="0" applyFill="0" applyBorder="0" applyAlignment="0" applyProtection="0"/>
    <xf numFmtId="44" fontId="24" fillId="0" borderId="0" applyFont="0" applyFill="0" applyBorder="0" applyAlignment="0" applyProtection="0"/>
  </cellStyleXfs>
  <cellXfs count="460">
    <xf numFmtId="0" fontId="0" fillId="0" borderId="0" xfId="0"/>
    <xf numFmtId="0" fontId="15" fillId="0" borderId="0" xfId="157"/>
    <xf numFmtId="0" fontId="40" fillId="35" borderId="4" xfId="157" applyFont="1" applyFill="1" applyBorder="1"/>
    <xf numFmtId="0" fontId="15" fillId="35" borderId="5" xfId="157" applyFill="1" applyBorder="1"/>
    <xf numFmtId="0" fontId="15" fillId="35" borderId="6" xfId="157" applyFill="1" applyBorder="1"/>
    <xf numFmtId="0" fontId="15" fillId="0" borderId="0" xfId="157" applyBorder="1"/>
    <xf numFmtId="0" fontId="25" fillId="0" borderId="0" xfId="157" applyFont="1" applyBorder="1" applyAlignment="1">
      <alignment horizontal="center"/>
    </xf>
    <xf numFmtId="0" fontId="27" fillId="0" borderId="0" xfId="157" quotePrefix="1" applyFont="1" applyBorder="1" applyAlignment="1">
      <alignment horizontal="center"/>
    </xf>
    <xf numFmtId="0" fontId="27" fillId="0" borderId="8" xfId="157" quotePrefix="1" applyFont="1" applyBorder="1" applyAlignment="1">
      <alignment horizontal="center"/>
    </xf>
    <xf numFmtId="0" fontId="40" fillId="0" borderId="0" xfId="157" applyFont="1" applyBorder="1" applyAlignment="1">
      <alignment horizontal="center" vertical="top" wrapText="1"/>
    </xf>
    <xf numFmtId="0" fontId="41" fillId="0" borderId="0" xfId="157" applyFont="1" applyBorder="1"/>
    <xf numFmtId="0" fontId="25" fillId="0" borderId="8" xfId="157" applyFont="1" applyBorder="1" applyAlignment="1">
      <alignment horizontal="center"/>
    </xf>
    <xf numFmtId="0" fontId="40" fillId="0" borderId="0" xfId="157" applyFont="1" applyBorder="1" applyAlignment="1">
      <alignment horizontal="center"/>
    </xf>
    <xf numFmtId="0" fontId="42" fillId="0" borderId="0" xfId="157" applyFont="1" applyBorder="1" applyAlignment="1">
      <alignment horizontal="center"/>
    </xf>
    <xf numFmtId="0" fontId="15" fillId="0" borderId="7" xfId="157" applyBorder="1"/>
    <xf numFmtId="10" fontId="0" fillId="0" borderId="0" xfId="159" applyNumberFormat="1" applyFont="1" applyBorder="1"/>
    <xf numFmtId="164" fontId="41" fillId="34" borderId="0" xfId="157" applyNumberFormat="1" applyFont="1" applyFill="1" applyBorder="1"/>
    <xf numFmtId="164" fontId="41" fillId="0" borderId="0" xfId="157" applyNumberFormat="1" applyFont="1" applyBorder="1" applyAlignment="1">
      <alignment horizontal="right"/>
    </xf>
    <xf numFmtId="164" fontId="41" fillId="0" borderId="0" xfId="157" applyNumberFormat="1" applyFont="1" applyFill="1" applyBorder="1" applyAlignment="1">
      <alignment horizontal="right"/>
    </xf>
    <xf numFmtId="164" fontId="41" fillId="0" borderId="8" xfId="157" applyNumberFormat="1" applyFont="1" applyBorder="1" applyAlignment="1">
      <alignment horizontal="right"/>
    </xf>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0" fontId="27" fillId="0" borderId="0" xfId="157" applyFont="1" applyBorder="1" applyAlignment="1">
      <alignment horizontal="center" vertical="top"/>
    </xf>
    <xf numFmtId="0" fontId="43" fillId="0" borderId="0" xfId="157" applyFont="1" applyBorder="1" applyAlignment="1">
      <alignment horizontal="center" vertical="top"/>
    </xf>
    <xf numFmtId="0" fontId="43" fillId="0" borderId="7" xfId="157" applyFont="1" applyBorder="1" applyAlignment="1">
      <alignment horizontal="center" vertical="top"/>
    </xf>
    <xf numFmtId="0" fontId="27" fillId="0" borderId="8" xfId="157" applyFont="1" applyBorder="1" applyAlignment="1">
      <alignment horizontal="center" vertical="top"/>
    </xf>
    <xf numFmtId="0" fontId="40" fillId="35" borderId="13" xfId="157" applyFont="1" applyFill="1" applyBorder="1"/>
    <xf numFmtId="0" fontId="15" fillId="35" borderId="14" xfId="157" applyFill="1" applyBorder="1"/>
    <xf numFmtId="0" fontId="15" fillId="35" borderId="15" xfId="157" applyFill="1" applyBorder="1"/>
    <xf numFmtId="0" fontId="13" fillId="0" borderId="0" xfId="157" quotePrefix="1" applyFont="1" applyBorder="1" applyAlignment="1">
      <alignment horizontal="center"/>
    </xf>
    <xf numFmtId="0" fontId="47" fillId="36" borderId="0" xfId="209" applyFont="1" applyFill="1" applyBorder="1" applyAlignment="1">
      <alignment horizontal="left" vertical="top" wrapText="1"/>
    </xf>
    <xf numFmtId="0" fontId="50" fillId="36" borderId="0" xfId="209" applyFont="1" applyFill="1" applyBorder="1" applyAlignment="1">
      <alignment vertical="top"/>
    </xf>
    <xf numFmtId="0" fontId="49" fillId="0" borderId="10" xfId="157" applyFont="1" applyBorder="1" applyAlignment="1"/>
    <xf numFmtId="0" fontId="49" fillId="0" borderId="11" xfId="157" applyFont="1" applyBorder="1" applyAlignment="1"/>
    <xf numFmtId="0" fontId="15" fillId="0" borderId="13" xfId="157" applyBorder="1"/>
    <xf numFmtId="0" fontId="15" fillId="0" borderId="14" xfId="157" applyBorder="1"/>
    <xf numFmtId="0" fontId="25" fillId="0" borderId="14" xfId="157" applyFont="1" applyBorder="1" applyAlignment="1">
      <alignment horizontal="center"/>
    </xf>
    <xf numFmtId="0" fontId="27" fillId="0" borderId="14" xfId="157" quotePrefix="1" applyFont="1" applyBorder="1" applyAlignment="1">
      <alignment horizontal="center"/>
    </xf>
    <xf numFmtId="0" fontId="27" fillId="0" borderId="15" xfId="157" quotePrefix="1" applyFont="1" applyBorder="1" applyAlignment="1">
      <alignment horizontal="center"/>
    </xf>
    <xf numFmtId="166" fontId="15" fillId="0" borderId="0" xfId="211" applyNumberFormat="1" applyFont="1"/>
    <xf numFmtId="0" fontId="11" fillId="0" borderId="0" xfId="212"/>
    <xf numFmtId="0" fontId="40" fillId="38" borderId="3" xfId="212" applyFont="1" applyFill="1" applyBorder="1" applyAlignment="1">
      <alignment horizontal="center"/>
    </xf>
    <xf numFmtId="0" fontId="11" fillId="0" borderId="0" xfId="212" applyFill="1"/>
    <xf numFmtId="166" fontId="11" fillId="0" borderId="24" xfId="212" applyNumberFormat="1" applyBorder="1"/>
    <xf numFmtId="166" fontId="0" fillId="0" borderId="25" xfId="213" applyNumberFormat="1" applyFont="1" applyFill="1" applyBorder="1"/>
    <xf numFmtId="166" fontId="40" fillId="0" borderId="29" xfId="212" applyNumberFormat="1" applyFont="1" applyFill="1" applyBorder="1"/>
    <xf numFmtId="0" fontId="25" fillId="0" borderId="0" xfId="93" applyNumberFormat="1" applyFont="1" applyFill="1" applyBorder="1" applyAlignment="1">
      <alignment horizontal="left"/>
    </xf>
    <xf numFmtId="0" fontId="24" fillId="0" borderId="0" xfId="93" applyFont="1" applyFill="1" applyBorder="1" applyAlignment="1">
      <alignment horizontal="left" indent="1"/>
    </xf>
    <xf numFmtId="0" fontId="24" fillId="0" borderId="0" xfId="101" applyFont="1" applyFill="1"/>
    <xf numFmtId="0" fontId="24" fillId="0" borderId="0" xfId="101" applyFill="1"/>
    <xf numFmtId="0" fontId="24" fillId="0" borderId="0" xfId="93" applyFill="1"/>
    <xf numFmtId="0" fontId="24" fillId="0" borderId="0" xfId="93" applyNumberFormat="1" applyFont="1" applyFill="1" applyBorder="1" applyAlignment="1">
      <alignment horizontal="left"/>
    </xf>
    <xf numFmtId="1" fontId="24" fillId="0" borderId="0" xfId="93" applyNumberFormat="1" applyFont="1" applyFill="1" applyBorder="1" applyAlignment="1">
      <alignment horizontal="center"/>
    </xf>
    <xf numFmtId="0" fontId="27" fillId="0" borderId="0" xfId="93" applyFont="1" applyFill="1" applyBorder="1" applyAlignment="1">
      <alignment horizontal="center"/>
    </xf>
    <xf numFmtId="0" fontId="24" fillId="0" borderId="0" xfId="93" applyNumberFormat="1" applyFont="1" applyFill="1" applyBorder="1" applyAlignment="1">
      <alignment horizontal="right"/>
    </xf>
    <xf numFmtId="0" fontId="27" fillId="0" borderId="0" xfId="93" applyFont="1" applyBorder="1" applyAlignment="1">
      <alignment horizontal="center"/>
    </xf>
    <xf numFmtId="0" fontId="24" fillId="0" borderId="0" xfId="93" applyFont="1" applyBorder="1" applyAlignment="1">
      <alignment horizontal="left"/>
    </xf>
    <xf numFmtId="1" fontId="24" fillId="0" borderId="0" xfId="93" applyNumberFormat="1" applyFont="1" applyFill="1" applyBorder="1" applyAlignment="1">
      <alignment horizontal="right"/>
    </xf>
    <xf numFmtId="164" fontId="24" fillId="34" borderId="0" xfId="93" applyNumberFormat="1" applyFont="1" applyFill="1"/>
    <xf numFmtId="0" fontId="24" fillId="0" borderId="0" xfId="93" applyFont="1" applyFill="1"/>
    <xf numFmtId="0" fontId="25" fillId="0" borderId="0" xfId="93" applyFont="1" applyAlignment="1">
      <alignment horizontal="center"/>
    </xf>
    <xf numFmtId="0" fontId="27" fillId="0" borderId="0" xfId="118" applyFont="1" applyFill="1" applyAlignment="1">
      <alignment horizontal="center"/>
    </xf>
    <xf numFmtId="0" fontId="24" fillId="0" borderId="0" xfId="118"/>
    <xf numFmtId="3" fontId="11" fillId="0" borderId="3" xfId="212" applyNumberFormat="1" applyBorder="1" applyAlignment="1">
      <alignment horizontal="center"/>
    </xf>
    <xf numFmtId="164" fontId="55" fillId="0" borderId="0" xfId="93" applyNumberFormat="1" applyFont="1" applyFill="1"/>
    <xf numFmtId="164" fontId="52" fillId="34" borderId="0" xfId="93" applyNumberFormat="1" applyFont="1" applyFill="1"/>
    <xf numFmtId="0" fontId="24" fillId="0" borderId="0" xfId="93" applyFont="1" applyFill="1" applyAlignment="1">
      <alignment horizontal="left" indent="2"/>
    </xf>
    <xf numFmtId="0" fontId="24" fillId="0" borderId="0" xfId="93" applyFont="1" applyFill="1" applyAlignment="1">
      <alignment horizontal="left"/>
    </xf>
    <xf numFmtId="43" fontId="0" fillId="0" borderId="0" xfId="210" applyFont="1"/>
    <xf numFmtId="0" fontId="46" fillId="36" borderId="0" xfId="209" applyFont="1" applyFill="1" applyBorder="1" applyAlignment="1">
      <alignment horizontal="left" vertical="top" wrapText="1"/>
    </xf>
    <xf numFmtId="0" fontId="58" fillId="36" borderId="0" xfId="209" applyFont="1" applyFill="1" applyBorder="1" applyAlignment="1">
      <alignment horizontal="left" vertical="top"/>
    </xf>
    <xf numFmtId="0" fontId="58" fillId="36" borderId="0" xfId="209" applyFont="1" applyFill="1" applyBorder="1" applyAlignment="1">
      <alignment horizontal="left" vertical="top" wrapText="1"/>
    </xf>
    <xf numFmtId="0" fontId="58" fillId="36" borderId="0" xfId="209" applyFont="1" applyFill="1" applyBorder="1" applyAlignment="1">
      <alignment horizontal="center" vertical="center"/>
    </xf>
    <xf numFmtId="171" fontId="58" fillId="0" borderId="0" xfId="216" applyNumberFormat="1" applyFont="1" applyFill="1" applyBorder="1" applyAlignment="1">
      <alignment horizontal="left" vertical="center"/>
    </xf>
    <xf numFmtId="171" fontId="59" fillId="0" borderId="0" xfId="216" applyNumberFormat="1" applyFont="1" applyFill="1" applyBorder="1" applyAlignment="1">
      <alignment horizontal="center" vertical="center"/>
    </xf>
    <xf numFmtId="171" fontId="59" fillId="0" borderId="0" xfId="216" applyNumberFormat="1" applyFont="1" applyFill="1" applyBorder="1" applyAlignment="1">
      <alignment horizontal="center" vertical="center" wrapText="1"/>
    </xf>
    <xf numFmtId="0" fontId="47" fillId="36" borderId="0" xfId="209" applyFont="1" applyFill="1" applyBorder="1" applyAlignment="1">
      <alignment horizontal="left" vertical="top"/>
    </xf>
    <xf numFmtId="0" fontId="47" fillId="36" borderId="0" xfId="209" applyFont="1" applyFill="1" applyBorder="1" applyAlignment="1">
      <alignment horizontal="center" vertical="top" wrapText="1"/>
    </xf>
    <xf numFmtId="0" fontId="47" fillId="36" borderId="0" xfId="209" quotePrefix="1" applyFont="1" applyFill="1" applyBorder="1" applyAlignment="1">
      <alignment horizontal="right" vertical="top"/>
    </xf>
    <xf numFmtId="164" fontId="24" fillId="0" borderId="0" xfId="157" applyNumberFormat="1" applyFont="1" applyFill="1" applyBorder="1" applyAlignment="1">
      <alignment horizontal="center" vertical="center"/>
    </xf>
    <xf numFmtId="0" fontId="47" fillId="36" borderId="0" xfId="209" applyFont="1" applyFill="1" applyBorder="1" applyAlignment="1">
      <alignment vertical="top" wrapText="1"/>
    </xf>
    <xf numFmtId="0" fontId="58" fillId="36" borderId="11" xfId="209" applyFont="1" applyFill="1" applyBorder="1" applyAlignment="1">
      <alignment horizontal="left" vertical="top"/>
    </xf>
    <xf numFmtId="164" fontId="41" fillId="34" borderId="7" xfId="157" applyNumberFormat="1" applyFont="1" applyFill="1" applyBorder="1"/>
    <xf numFmtId="164" fontId="41" fillId="0" borderId="8" xfId="157" applyNumberFormat="1" applyFont="1" applyFill="1" applyBorder="1" applyAlignment="1">
      <alignment horizontal="right"/>
    </xf>
    <xf numFmtId="0" fontId="40" fillId="0" borderId="0" xfId="157" applyFont="1" applyFill="1" applyBorder="1" applyAlignment="1">
      <alignment horizontal="right"/>
    </xf>
    <xf numFmtId="164" fontId="40" fillId="0" borderId="8" xfId="157" applyNumberFormat="1" applyFont="1" applyFill="1" applyBorder="1"/>
    <xf numFmtId="0" fontId="15" fillId="0" borderId="0" xfId="157" applyFill="1"/>
    <xf numFmtId="0" fontId="11" fillId="0" borderId="0" xfId="212" applyAlignment="1">
      <alignment horizontal="left" wrapText="1"/>
    </xf>
    <xf numFmtId="0" fontId="10" fillId="0" borderId="0" xfId="212" applyFont="1"/>
    <xf numFmtId="0" fontId="24" fillId="39" borderId="0" xfId="118" applyFill="1"/>
    <xf numFmtId="0" fontId="24" fillId="34" borderId="0" xfId="118" applyFill="1"/>
    <xf numFmtId="0" fontId="24" fillId="0" borderId="0" xfId="118" applyAlignment="1">
      <alignment horizontal="center"/>
    </xf>
    <xf numFmtId="0" fontId="27" fillId="0" borderId="0" xfId="118" quotePrefix="1" applyFont="1" applyAlignment="1">
      <alignment horizontal="center"/>
    </xf>
    <xf numFmtId="0" fontId="25" fillId="0" borderId="0" xfId="118" applyFont="1" applyAlignment="1">
      <alignment horizontal="center"/>
    </xf>
    <xf numFmtId="0" fontId="27" fillId="0" borderId="0" xfId="118" applyFont="1" applyAlignment="1">
      <alignment horizontal="left"/>
    </xf>
    <xf numFmtId="0" fontId="27" fillId="0" borderId="0" xfId="118" applyFont="1" applyAlignment="1">
      <alignment horizontal="center"/>
    </xf>
    <xf numFmtId="164" fontId="24" fillId="39" borderId="0" xfId="118" applyNumberFormat="1" applyFill="1" applyAlignment="1"/>
    <xf numFmtId="164" fontId="24" fillId="0" borderId="0" xfId="118" applyNumberFormat="1" applyFill="1"/>
    <xf numFmtId="164" fontId="24" fillId="0" borderId="0" xfId="118" applyNumberFormat="1"/>
    <xf numFmtId="0" fontId="24" fillId="0" borderId="0" xfId="118" applyFont="1"/>
    <xf numFmtId="0" fontId="24" fillId="0" borderId="0" xfId="118" applyFill="1" applyAlignment="1">
      <alignment horizontal="left" indent="1"/>
    </xf>
    <xf numFmtId="164" fontId="52" fillId="39" borderId="0" xfId="118" applyNumberFormat="1" applyFont="1" applyFill="1" applyAlignment="1"/>
    <xf numFmtId="164" fontId="52" fillId="0" borderId="0" xfId="118" applyNumberFormat="1" applyFont="1"/>
    <xf numFmtId="0" fontId="24" fillId="0" borderId="0" xfId="118" applyAlignment="1">
      <alignment horizontal="right"/>
    </xf>
    <xf numFmtId="0" fontId="24" fillId="0" borderId="0" xfId="118" applyFont="1" applyFill="1" applyAlignment="1">
      <alignment horizontal="right"/>
    </xf>
    <xf numFmtId="0" fontId="24" fillId="0" borderId="0" xfId="118" applyFont="1" applyFill="1" applyAlignment="1">
      <alignment horizontal="left" indent="1"/>
    </xf>
    <xf numFmtId="0" fontId="24" fillId="0" borderId="0" xfId="118" applyFill="1"/>
    <xf numFmtId="164" fontId="52" fillId="0" borderId="0" xfId="118" applyNumberFormat="1" applyFont="1" applyFill="1"/>
    <xf numFmtId="0" fontId="24" fillId="0" borderId="0" xfId="118" applyFill="1" applyAlignment="1">
      <alignment horizontal="right"/>
    </xf>
    <xf numFmtId="167" fontId="52" fillId="0" borderId="0" xfId="118" applyNumberFormat="1" applyFont="1" applyFill="1"/>
    <xf numFmtId="167" fontId="24" fillId="0" borderId="0" xfId="118" applyNumberFormat="1" applyFill="1"/>
    <xf numFmtId="0" fontId="25" fillId="0" borderId="0" xfId="118" applyFont="1"/>
    <xf numFmtId="0" fontId="27" fillId="0" borderId="0" xfId="118" quotePrefix="1" applyFont="1" applyFill="1" applyAlignment="1">
      <alignment horizontal="center"/>
    </xf>
    <xf numFmtId="0" fontId="25" fillId="0" borderId="0" xfId="118" applyFont="1" applyFill="1" applyAlignment="1">
      <alignment horizontal="center"/>
    </xf>
    <xf numFmtId="164" fontId="24" fillId="0" borderId="0" xfId="118" applyNumberFormat="1" applyAlignment="1">
      <alignment horizontal="right" indent="1"/>
    </xf>
    <xf numFmtId="164" fontId="24" fillId="34" borderId="0" xfId="118" applyNumberFormat="1" applyFont="1" applyFill="1"/>
    <xf numFmtId="164" fontId="24" fillId="34" borderId="0" xfId="118" applyNumberFormat="1" applyFill="1"/>
    <xf numFmtId="0" fontId="24" fillId="0" borderId="0" xfId="118" applyAlignment="1">
      <alignment horizontal="left" indent="1"/>
    </xf>
    <xf numFmtId="0" fontId="24" fillId="0" borderId="0" xfId="118" applyFont="1" applyAlignment="1">
      <alignment horizontal="left" indent="1"/>
    </xf>
    <xf numFmtId="164" fontId="24" fillId="0" borderId="0" xfId="118" applyNumberFormat="1" applyFill="1" applyAlignment="1"/>
    <xf numFmtId="164" fontId="24" fillId="0" borderId="0" xfId="118" applyNumberFormat="1" applyFont="1"/>
    <xf numFmtId="0" fontId="25" fillId="0" borderId="0" xfId="118" applyFont="1" applyFill="1"/>
    <xf numFmtId="0" fontId="24" fillId="0" borderId="0" xfId="118" applyFont="1" applyFill="1"/>
    <xf numFmtId="0" fontId="24" fillId="0" borderId="0" xfId="118" applyFont="1" applyAlignment="1">
      <alignment horizontal="right"/>
    </xf>
    <xf numFmtId="0" fontId="27" fillId="0" borderId="0" xfId="118" applyFont="1"/>
    <xf numFmtId="0" fontId="27" fillId="0" borderId="0" xfId="118" applyFont="1" applyBorder="1" applyAlignment="1">
      <alignment horizontal="center"/>
    </xf>
    <xf numFmtId="0" fontId="24" fillId="0" borderId="0" xfId="118" applyBorder="1"/>
    <xf numFmtId="0" fontId="24" fillId="0" borderId="0" xfId="118" applyFill="1" applyBorder="1"/>
    <xf numFmtId="164" fontId="24" fillId="0" borderId="0" xfId="118" applyNumberFormat="1" applyAlignment="1"/>
    <xf numFmtId="0" fontId="56" fillId="0" borderId="0" xfId="118" applyFont="1" applyFill="1"/>
    <xf numFmtId="0" fontId="24" fillId="0" borderId="0" xfId="118" applyFont="1" applyFill="1" applyAlignment="1">
      <alignment horizontal="left" indent="2"/>
    </xf>
    <xf numFmtId="3" fontId="40" fillId="0" borderId="3" xfId="212" applyNumberFormat="1" applyFont="1" applyFill="1" applyBorder="1" applyAlignment="1">
      <alignment horizontal="center"/>
    </xf>
    <xf numFmtId="0" fontId="9" fillId="0" borderId="0" xfId="157" quotePrefix="1" applyFont="1" applyBorder="1" applyAlignment="1">
      <alignment horizontal="center"/>
    </xf>
    <xf numFmtId="0" fontId="49" fillId="0" borderId="10" xfId="157" applyFont="1" applyFill="1" applyBorder="1" applyAlignment="1">
      <alignment horizontal="right"/>
    </xf>
    <xf numFmtId="164" fontId="49" fillId="0" borderId="12" xfId="157" applyNumberFormat="1" applyFont="1" applyFill="1" applyBorder="1" applyAlignment="1"/>
    <xf numFmtId="3" fontId="0" fillId="0" borderId="21" xfId="213" applyNumberFormat="1" applyFont="1" applyFill="1" applyBorder="1" applyAlignment="1">
      <alignment horizontal="center"/>
    </xf>
    <xf numFmtId="0" fontId="47" fillId="36" borderId="0" xfId="209" applyFont="1" applyFill="1" applyBorder="1" applyAlignment="1">
      <alignment horizontal="left" vertical="top" wrapText="1"/>
    </xf>
    <xf numFmtId="0" fontId="7" fillId="0" borderId="0" xfId="212" applyFont="1" applyAlignment="1">
      <alignment horizontal="left"/>
    </xf>
    <xf numFmtId="0" fontId="25" fillId="0" borderId="0" xfId="118" applyFont="1" applyAlignment="1">
      <alignment horizontal="left"/>
    </xf>
    <xf numFmtId="0" fontId="25" fillId="0" borderId="0" xfId="118" applyFont="1" applyAlignment="1">
      <alignment horizontal="left" indent="1"/>
    </xf>
    <xf numFmtId="0" fontId="24" fillId="0" borderId="0" xfId="118" applyFont="1" applyFill="1" applyAlignment="1">
      <alignment horizontal="left"/>
    </xf>
    <xf numFmtId="0" fontId="52" fillId="0" borderId="0" xfId="118" applyFont="1" applyFill="1"/>
    <xf numFmtId="0" fontId="52" fillId="0" borderId="0" xfId="118" applyFont="1" applyFill="1" applyAlignment="1">
      <alignment horizontal="left"/>
    </xf>
    <xf numFmtId="0" fontId="24" fillId="0" borderId="0" xfId="118" applyFill="1" applyAlignment="1">
      <alignment horizontal="left"/>
    </xf>
    <xf numFmtId="0" fontId="27" fillId="0" borderId="0" xfId="118" applyFont="1" applyFill="1" applyAlignment="1">
      <alignment horizontal="left"/>
    </xf>
    <xf numFmtId="167" fontId="24" fillId="0" borderId="0" xfId="118" applyNumberFormat="1" applyFont="1" applyFill="1"/>
    <xf numFmtId="0" fontId="24" fillId="0" borderId="0" xfId="118" applyFont="1" applyFill="1" applyBorder="1"/>
    <xf numFmtId="164" fontId="24" fillId="0" borderId="0" xfId="118" applyNumberFormat="1" applyFill="1" applyBorder="1"/>
    <xf numFmtId="164" fontId="24" fillId="37" borderId="0" xfId="118" applyNumberFormat="1" applyFill="1" applyBorder="1"/>
    <xf numFmtId="0" fontId="25" fillId="0" borderId="0" xfId="118" applyFont="1" applyFill="1" applyAlignment="1">
      <alignment horizontal="left"/>
    </xf>
    <xf numFmtId="0" fontId="24" fillId="0" borderId="0" xfId="118" applyAlignment="1">
      <alignment horizontal="left"/>
    </xf>
    <xf numFmtId="0" fontId="25" fillId="37" borderId="17" xfId="118" applyFont="1" applyFill="1" applyBorder="1" applyAlignment="1">
      <alignment horizontal="center"/>
    </xf>
    <xf numFmtId="0" fontId="25" fillId="37" borderId="19" xfId="118" applyFont="1" applyFill="1" applyBorder="1" applyAlignment="1">
      <alignment horizontal="center"/>
    </xf>
    <xf numFmtId="170" fontId="24" fillId="0" borderId="0" xfId="118" applyNumberFormat="1"/>
    <xf numFmtId="164" fontId="24" fillId="37" borderId="19" xfId="118" applyNumberFormat="1" applyFont="1" applyFill="1" applyBorder="1"/>
    <xf numFmtId="169" fontId="52" fillId="37" borderId="19" xfId="118" applyNumberFormat="1" applyFont="1" applyFill="1" applyBorder="1"/>
    <xf numFmtId="164" fontId="41" fillId="37" borderId="20" xfId="118" applyNumberFormat="1" applyFont="1" applyFill="1" applyBorder="1"/>
    <xf numFmtId="0" fontId="25" fillId="0" borderId="0" xfId="118" applyNumberFormat="1" applyFont="1" applyFill="1" applyAlignment="1">
      <alignment horizontal="left"/>
    </xf>
    <xf numFmtId="0" fontId="27" fillId="0" borderId="0" xfId="118" applyFont="1" applyFill="1"/>
    <xf numFmtId="0" fontId="25" fillId="0" borderId="0" xfId="118" quotePrefix="1" applyFont="1" applyFill="1" applyAlignment="1">
      <alignment horizontal="center"/>
    </xf>
    <xf numFmtId="10" fontId="24" fillId="0" borderId="0" xfId="118" applyNumberFormat="1" applyFill="1"/>
    <xf numFmtId="15" fontId="24" fillId="34" borderId="0" xfId="118" quotePrefix="1" applyNumberFormat="1" applyFont="1" applyFill="1" applyAlignment="1">
      <alignment horizontal="center"/>
    </xf>
    <xf numFmtId="0" fontId="24" fillId="34" borderId="0" xfId="118" quotePrefix="1" applyFont="1" applyFill="1" applyAlignment="1">
      <alignment horizontal="center"/>
    </xf>
    <xf numFmtId="0" fontId="24" fillId="34" borderId="0" xfId="118" applyFont="1" applyFill="1"/>
    <xf numFmtId="10" fontId="24" fillId="34" borderId="0" xfId="118" quotePrefix="1" applyNumberFormat="1" applyFont="1" applyFill="1" applyAlignment="1">
      <alignment horizontal="right"/>
    </xf>
    <xf numFmtId="0" fontId="24" fillId="0" borderId="0" xfId="118" applyFont="1" applyFill="1" applyAlignment="1"/>
    <xf numFmtId="10" fontId="24" fillId="0" borderId="0" xfId="118" quotePrefix="1" applyNumberFormat="1" applyFont="1" applyFill="1" applyAlignment="1">
      <alignment horizontal="right"/>
    </xf>
    <xf numFmtId="0" fontId="24" fillId="0" borderId="0" xfId="118" quotePrefix="1" applyFont="1" applyFill="1" applyAlignment="1">
      <alignment horizontal="center"/>
    </xf>
    <xf numFmtId="0" fontId="24" fillId="0" borderId="0" xfId="118" applyFont="1" applyFill="1" applyAlignment="1">
      <alignment horizontal="center"/>
    </xf>
    <xf numFmtId="3" fontId="24" fillId="0" borderId="0" xfId="118" applyNumberFormat="1" applyFill="1" applyAlignment="1">
      <alignment horizontal="center"/>
    </xf>
    <xf numFmtId="3" fontId="24" fillId="0" borderId="0" xfId="118" applyNumberFormat="1" applyAlignment="1">
      <alignment horizontal="center"/>
    </xf>
    <xf numFmtId="0" fontId="25" fillId="0" borderId="0" xfId="118" quotePrefix="1" applyFont="1" applyAlignment="1">
      <alignment horizontal="center"/>
    </xf>
    <xf numFmtId="170" fontId="24" fillId="0" borderId="0" xfId="118" applyNumberFormat="1" applyFill="1"/>
    <xf numFmtId="170" fontId="24" fillId="0" borderId="0" xfId="118" applyNumberFormat="1" applyFont="1" applyFill="1" applyAlignment="1">
      <alignment horizontal="left" indent="1"/>
    </xf>
    <xf numFmtId="170" fontId="24" fillId="0" borderId="0" xfId="118" applyNumberFormat="1" applyFont="1" applyAlignment="1">
      <alignment horizontal="left" indent="1"/>
    </xf>
    <xf numFmtId="167" fontId="53" fillId="0" borderId="0" xfId="118" applyNumberFormat="1" applyFont="1"/>
    <xf numFmtId="167" fontId="24" fillId="0" borderId="0" xfId="118" applyNumberFormat="1"/>
    <xf numFmtId="167" fontId="54" fillId="0" borderId="0" xfId="118" applyNumberFormat="1" applyFont="1"/>
    <xf numFmtId="167" fontId="52" fillId="0" borderId="0" xfId="118" applyNumberFormat="1" applyFont="1"/>
    <xf numFmtId="42" fontId="24" fillId="0" borderId="0" xfId="91" applyNumberFormat="1" applyFont="1"/>
    <xf numFmtId="164" fontId="24" fillId="34" borderId="32" xfId="118" applyNumberFormat="1" applyFont="1" applyFill="1" applyBorder="1"/>
    <xf numFmtId="164" fontId="24" fillId="34" borderId="16" xfId="118" applyNumberFormat="1" applyFont="1" applyFill="1" applyBorder="1"/>
    <xf numFmtId="164" fontId="24" fillId="34" borderId="33" xfId="118" applyNumberFormat="1" applyFont="1" applyFill="1" applyBorder="1"/>
    <xf numFmtId="164" fontId="24" fillId="34" borderId="0" xfId="93" applyNumberFormat="1" applyFont="1" applyFill="1" applyBorder="1"/>
    <xf numFmtId="164" fontId="52" fillId="34" borderId="0" xfId="93" applyNumberFormat="1" applyFont="1" applyFill="1" applyBorder="1"/>
    <xf numFmtId="0" fontId="63" fillId="36" borderId="0" xfId="209" applyFont="1" applyFill="1" applyBorder="1" applyAlignment="1">
      <alignment horizontal="center" vertical="center"/>
    </xf>
    <xf numFmtId="0" fontId="58" fillId="36" borderId="0" xfId="209" applyFont="1" applyFill="1" applyBorder="1" applyAlignment="1">
      <alignment horizontal="center" vertical="center" wrapText="1"/>
    </xf>
    <xf numFmtId="0" fontId="47" fillId="0" borderId="0" xfId="209" applyFont="1" applyFill="1" applyBorder="1" applyAlignment="1">
      <alignment horizontal="left" vertical="top" wrapText="1"/>
    </xf>
    <xf numFmtId="0" fontId="6" fillId="0" borderId="0" xfId="217"/>
    <xf numFmtId="0" fontId="40" fillId="40" borderId="3" xfId="217" applyFont="1" applyFill="1" applyBorder="1" applyAlignment="1">
      <alignment horizontal="center"/>
    </xf>
    <xf numFmtId="0" fontId="40" fillId="40" borderId="0" xfId="217" applyFont="1" applyFill="1" applyBorder="1" applyAlignment="1">
      <alignment horizontal="center" wrapText="1"/>
    </xf>
    <xf numFmtId="0" fontId="40" fillId="40" borderId="3" xfId="217" applyFont="1" applyFill="1" applyBorder="1" applyAlignment="1">
      <alignment horizontal="center" wrapText="1"/>
    </xf>
    <xf numFmtId="0" fontId="6" fillId="0" borderId="3" xfId="217" applyFont="1" applyFill="1" applyBorder="1" applyAlignment="1">
      <alignment horizontal="center" wrapText="1"/>
    </xf>
    <xf numFmtId="0" fontId="6" fillId="0" borderId="3" xfId="217" applyBorder="1" applyAlignment="1">
      <alignment horizontal="center"/>
    </xf>
    <xf numFmtId="0" fontId="6" fillId="0" borderId="3" xfId="217" applyFill="1" applyBorder="1" applyAlignment="1">
      <alignment horizontal="center"/>
    </xf>
    <xf numFmtId="166" fontId="6" fillId="0" borderId="3" xfId="217" applyNumberFormat="1" applyFill="1" applyBorder="1"/>
    <xf numFmtId="166" fontId="0" fillId="37" borderId="3" xfId="219" applyNumberFormat="1" applyFont="1" applyFill="1" applyBorder="1"/>
    <xf numFmtId="0" fontId="6" fillId="0" borderId="3" xfId="217" applyBorder="1" applyAlignment="1">
      <alignment horizontal="center" wrapText="1"/>
    </xf>
    <xf numFmtId="166" fontId="6" fillId="37" borderId="3" xfId="217" applyNumberFormat="1" applyFill="1" applyBorder="1"/>
    <xf numFmtId="0" fontId="6" fillId="0" borderId="23" xfId="217" applyFill="1" applyBorder="1" applyAlignment="1">
      <alignment horizontal="center"/>
    </xf>
    <xf numFmtId="0" fontId="6" fillId="0" borderId="23" xfId="217" applyFill="1" applyBorder="1" applyAlignment="1">
      <alignment horizontal="center" wrapText="1"/>
    </xf>
    <xf numFmtId="166" fontId="40" fillId="40" borderId="3" xfId="217" applyNumberFormat="1" applyFont="1" applyFill="1" applyBorder="1"/>
    <xf numFmtId="0" fontId="6" fillId="0" borderId="0" xfId="217" applyAlignment="1">
      <alignment horizontal="left" vertical="top"/>
    </xf>
    <xf numFmtId="0" fontId="0" fillId="0" borderId="3" xfId="0" applyFont="1" applyFill="1" applyBorder="1" applyAlignment="1">
      <alignment horizontal="center"/>
    </xf>
    <xf numFmtId="0" fontId="0" fillId="0" borderId="3" xfId="0" applyFont="1" applyFill="1" applyBorder="1" applyAlignment="1">
      <alignment horizontal="center" wrapText="1"/>
    </xf>
    <xf numFmtId="166" fontId="0" fillId="0" borderId="3" xfId="0" applyNumberFormat="1" applyFont="1" applyFill="1" applyBorder="1"/>
    <xf numFmtId="166" fontId="0" fillId="37" borderId="27" xfId="0" applyNumberFormat="1" applyFont="1" applyFill="1" applyBorder="1"/>
    <xf numFmtId="166" fontId="0" fillId="0" borderId="27" xfId="0" applyNumberFormat="1" applyBorder="1"/>
    <xf numFmtId="0" fontId="0" fillId="0" borderId="27" xfId="0" applyBorder="1" applyAlignment="1">
      <alignment horizontal="center"/>
    </xf>
    <xf numFmtId="0" fontId="0" fillId="0" borderId="27" xfId="0" applyBorder="1" applyAlignment="1">
      <alignment horizontal="center" wrapText="1"/>
    </xf>
    <xf numFmtId="166" fontId="0" fillId="0" borderId="3" xfId="219" applyNumberFormat="1" applyFont="1" applyFill="1" applyBorder="1" applyAlignment="1"/>
    <xf numFmtId="0" fontId="0" fillId="0" borderId="3" xfId="0" applyBorder="1" applyAlignment="1">
      <alignment horizontal="center"/>
    </xf>
    <xf numFmtId="0" fontId="0" fillId="0" borderId="3" xfId="0" applyFill="1" applyBorder="1" applyAlignment="1">
      <alignment horizontal="center"/>
    </xf>
    <xf numFmtId="0" fontId="0" fillId="0" borderId="23" xfId="0" applyFill="1" applyBorder="1" applyAlignment="1">
      <alignment horizontal="center" wrapText="1"/>
    </xf>
    <xf numFmtId="166" fontId="0" fillId="0" borderId="3" xfId="0" applyNumberFormat="1" applyFill="1" applyBorder="1"/>
    <xf numFmtId="166" fontId="0" fillId="37" borderId="3" xfId="0" applyNumberFormat="1" applyFill="1" applyBorder="1"/>
    <xf numFmtId="0" fontId="40" fillId="40" borderId="23" xfId="0" applyFont="1" applyFill="1" applyBorder="1" applyAlignment="1">
      <alignment horizontal="center"/>
    </xf>
    <xf numFmtId="166" fontId="40" fillId="40" borderId="3" xfId="0" applyNumberFormat="1" applyFont="1" applyFill="1" applyBorder="1"/>
    <xf numFmtId="0" fontId="5" fillId="0" borderId="0" xfId="212" applyFont="1" applyAlignment="1">
      <alignment horizontal="left"/>
    </xf>
    <xf numFmtId="49" fontId="24" fillId="0" borderId="0" xfId="118" applyNumberFormat="1" applyAlignment="1">
      <alignment horizontal="center"/>
    </xf>
    <xf numFmtId="0" fontId="41" fillId="0" borderId="0" xfId="118" applyFont="1" applyFill="1" applyAlignment="1">
      <alignment horizontal="right"/>
    </xf>
    <xf numFmtId="0" fontId="41" fillId="34" borderId="0" xfId="118" applyFont="1" applyFill="1"/>
    <xf numFmtId="49" fontId="43" fillId="0" borderId="0" xfId="118" applyNumberFormat="1" applyFont="1" applyAlignment="1">
      <alignment horizontal="center"/>
    </xf>
    <xf numFmtId="0" fontId="40" fillId="0" borderId="0" xfId="118" applyFont="1" applyAlignment="1">
      <alignment horizontal="center"/>
    </xf>
    <xf numFmtId="0" fontId="24" fillId="0" borderId="0" xfId="118" applyFont="1" applyAlignment="1">
      <alignment horizontal="left"/>
    </xf>
    <xf numFmtId="164" fontId="24" fillId="34" borderId="0" xfId="91" applyNumberFormat="1" applyFont="1" applyFill="1" applyAlignment="1">
      <alignment horizontal="right"/>
    </xf>
    <xf numFmtId="49" fontId="24" fillId="0" borderId="0" xfId="118" applyNumberFormat="1" applyAlignment="1">
      <alignment horizontal="left" indent="1"/>
    </xf>
    <xf numFmtId="164" fontId="52" fillId="34" borderId="0" xfId="118" applyNumberFormat="1" applyFont="1" applyFill="1" applyAlignment="1">
      <alignment horizontal="right"/>
    </xf>
    <xf numFmtId="164" fontId="24" fillId="0" borderId="0" xfId="118" applyNumberFormat="1" applyFont="1" applyAlignment="1">
      <alignment horizontal="right"/>
    </xf>
    <xf numFmtId="0" fontId="64" fillId="0" borderId="0" xfId="118" applyFont="1" applyAlignment="1">
      <alignment horizontal="center" vertical="top"/>
    </xf>
    <xf numFmtId="49" fontId="62" fillId="0" borderId="0" xfId="118" applyNumberFormat="1" applyFont="1" applyAlignment="1">
      <alignment horizontal="left" indent="1"/>
    </xf>
    <xf numFmtId="0" fontId="62" fillId="0" borderId="0" xfId="118" applyFont="1"/>
    <xf numFmtId="0" fontId="24" fillId="0" borderId="0" xfId="118" applyFont="1" applyAlignment="1">
      <alignment horizontal="left" wrapText="1"/>
    </xf>
    <xf numFmtId="0" fontId="62" fillId="0" borderId="0" xfId="118" applyFont="1" applyAlignment="1">
      <alignment horizontal="left" wrapText="1"/>
    </xf>
    <xf numFmtId="164" fontId="24" fillId="0" borderId="0" xfId="91" applyNumberFormat="1" applyFont="1" applyFill="1" applyAlignment="1">
      <alignment horizontal="right"/>
    </xf>
    <xf numFmtId="49" fontId="62" fillId="0" borderId="0" xfId="118" quotePrefix="1" applyNumberFormat="1" applyFont="1" applyAlignment="1">
      <alignment horizontal="left" indent="1"/>
    </xf>
    <xf numFmtId="0" fontId="64" fillId="0" borderId="0" xfId="118" applyFont="1" applyAlignment="1">
      <alignment horizontal="center"/>
    </xf>
    <xf numFmtId="164" fontId="24" fillId="34" borderId="34" xfId="220" applyNumberFormat="1" applyFont="1" applyFill="1" applyBorder="1" applyAlignment="1">
      <alignment horizontal="right"/>
    </xf>
    <xf numFmtId="164" fontId="24" fillId="37" borderId="0" xfId="118" applyNumberFormat="1" applyFont="1" applyFill="1" applyAlignment="1">
      <alignment horizontal="right"/>
    </xf>
    <xf numFmtId="171" fontId="0" fillId="0" borderId="0" xfId="91" applyNumberFormat="1" applyFont="1"/>
    <xf numFmtId="0" fontId="24" fillId="0" borderId="0" xfId="118" applyFont="1" applyBorder="1"/>
    <xf numFmtId="164" fontId="32" fillId="0" borderId="0" xfId="118" applyNumberFormat="1" applyFont="1" applyBorder="1"/>
    <xf numFmtId="164" fontId="4" fillId="34" borderId="0" xfId="91" applyNumberFormat="1" applyFont="1" applyFill="1" applyAlignment="1">
      <alignment horizontal="right"/>
    </xf>
    <xf numFmtId="49" fontId="24" fillId="0" borderId="0" xfId="118" applyNumberFormat="1" applyFont="1" applyAlignment="1">
      <alignment horizontal="left" indent="1"/>
    </xf>
    <xf numFmtId="164" fontId="24" fillId="0" borderId="0" xfId="118" applyNumberFormat="1" applyFont="1" applyFill="1" applyAlignment="1">
      <alignment horizontal="right"/>
    </xf>
    <xf numFmtId="3" fontId="0" fillId="0" borderId="0" xfId="91" applyNumberFormat="1" applyFont="1" applyBorder="1" applyAlignment="1">
      <alignment horizontal="right"/>
    </xf>
    <xf numFmtId="3" fontId="24" fillId="0" borderId="0" xfId="118" applyNumberFormat="1"/>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0" fillId="38" borderId="3" xfId="212" applyFont="1" applyFill="1" applyBorder="1" applyAlignment="1">
      <alignment horizontal="center"/>
    </xf>
    <xf numFmtId="0" fontId="47" fillId="36" borderId="0" xfId="209" applyFont="1" applyFill="1" applyBorder="1" applyAlignment="1">
      <alignment horizontal="left" vertical="top" wrapText="1"/>
    </xf>
    <xf numFmtId="0" fontId="3" fillId="0" borderId="0" xfId="157" quotePrefix="1" applyFont="1" applyBorder="1" applyAlignment="1">
      <alignment horizontal="center"/>
    </xf>
    <xf numFmtId="0" fontId="25" fillId="0" borderId="7" xfId="157" applyFont="1" applyBorder="1" applyAlignment="1">
      <alignment horizontal="center"/>
    </xf>
    <xf numFmtId="0" fontId="27" fillId="0" borderId="7" xfId="157" applyFont="1" applyBorder="1" applyAlignment="1">
      <alignment horizontal="center" vertical="top"/>
    </xf>
    <xf numFmtId="164" fontId="40" fillId="0" borderId="0" xfId="157" applyNumberFormat="1" applyFont="1" applyBorder="1"/>
    <xf numFmtId="0" fontId="40" fillId="0" borderId="0" xfId="157" applyFont="1" applyBorder="1"/>
    <xf numFmtId="0" fontId="40" fillId="0" borderId="0" xfId="157" applyFont="1" applyBorder="1" applyAlignment="1">
      <alignment horizontal="right"/>
    </xf>
    <xf numFmtId="164" fontId="40" fillId="0" borderId="7" xfId="157" applyNumberFormat="1" applyFont="1" applyFill="1" applyBorder="1"/>
    <xf numFmtId="0" fontId="40" fillId="0" borderId="0" xfId="157" applyFont="1" applyFill="1" applyBorder="1"/>
    <xf numFmtId="0" fontId="15" fillId="0" borderId="11" xfId="157" applyBorder="1"/>
    <xf numFmtId="0" fontId="49" fillId="0" borderId="11" xfId="157" applyFont="1" applyFill="1" applyBorder="1" applyAlignment="1"/>
    <xf numFmtId="166" fontId="11" fillId="0" borderId="24" xfId="212" applyNumberFormat="1" applyFill="1" applyBorder="1"/>
    <xf numFmtId="164" fontId="52" fillId="0" borderId="0" xfId="118" applyNumberFormat="1" applyFont="1" applyFill="1" applyBorder="1"/>
    <xf numFmtId="167" fontId="24" fillId="0" borderId="0" xfId="118" applyNumberFormat="1" applyFont="1" applyFill="1" applyBorder="1"/>
    <xf numFmtId="164" fontId="24" fillId="37" borderId="0" xfId="118" applyNumberFormat="1" applyFont="1" applyFill="1" applyBorder="1"/>
    <xf numFmtId="167" fontId="24" fillId="0" borderId="0" xfId="118" applyNumberFormat="1" applyFill="1" applyBorder="1"/>
    <xf numFmtId="164" fontId="24" fillId="0" borderId="0" xfId="118" applyNumberFormat="1" applyFont="1" applyFill="1" applyBorder="1"/>
    <xf numFmtId="168" fontId="24" fillId="0" borderId="0" xfId="118" applyNumberFormat="1" applyFill="1" applyBorder="1"/>
    <xf numFmtId="167" fontId="52" fillId="0" borderId="0" xfId="118" applyNumberFormat="1" applyFont="1" applyFill="1" applyBorder="1"/>
    <xf numFmtId="164" fontId="24" fillId="0" borderId="32" xfId="118" applyNumberFormat="1" applyFill="1" applyBorder="1"/>
    <xf numFmtId="164" fontId="52" fillId="34" borderId="0" xfId="118" applyNumberFormat="1" applyFont="1" applyFill="1" applyAlignment="1"/>
    <xf numFmtId="0" fontId="25" fillId="0" borderId="0" xfId="0" applyFont="1"/>
    <xf numFmtId="0" fontId="0" fillId="0" borderId="0" xfId="0" applyFill="1"/>
    <xf numFmtId="0" fontId="25" fillId="0" borderId="0" xfId="0" applyFont="1" applyAlignment="1">
      <alignment horizontal="left"/>
    </xf>
    <xf numFmtId="0" fontId="25" fillId="0" borderId="0" xfId="0" applyFont="1" applyAlignment="1">
      <alignment horizontal="left" indent="1"/>
    </xf>
    <xf numFmtId="0" fontId="25" fillId="0" borderId="0" xfId="0" applyFont="1" applyAlignment="1">
      <alignment horizontal="center"/>
    </xf>
    <xf numFmtId="0" fontId="27" fillId="0" borderId="0" xfId="0" applyFont="1" applyAlignment="1">
      <alignment horizontal="left"/>
    </xf>
    <xf numFmtId="0" fontId="0" fillId="0" borderId="0" xfId="0" applyAlignment="1">
      <alignment horizontal="left" indent="1"/>
    </xf>
    <xf numFmtId="0" fontId="27" fillId="0" borderId="0" xfId="0" applyFont="1"/>
    <xf numFmtId="0" fontId="27" fillId="0" borderId="0" xfId="0" applyFont="1" applyAlignment="1">
      <alignment horizontal="center"/>
    </xf>
    <xf numFmtId="0" fontId="25" fillId="0" borderId="0" xfId="0" applyFont="1" applyFill="1" applyAlignment="1">
      <alignment horizontal="center"/>
    </xf>
    <xf numFmtId="0" fontId="24" fillId="0" borderId="0" xfId="0" applyFont="1" applyFill="1" applyAlignment="1">
      <alignment horizontal="left"/>
    </xf>
    <xf numFmtId="164" fontId="0" fillId="0" borderId="0" xfId="0" applyNumberFormat="1" applyFill="1"/>
    <xf numFmtId="0" fontId="24" fillId="0" borderId="0" xfId="0" applyFont="1" applyFill="1"/>
    <xf numFmtId="0" fontId="52" fillId="0" borderId="0" xfId="0" applyFont="1" applyFill="1"/>
    <xf numFmtId="0" fontId="24" fillId="0" borderId="0" xfId="0" applyFont="1" applyFill="1" applyAlignment="1">
      <alignment horizontal="left" indent="1"/>
    </xf>
    <xf numFmtId="0" fontId="0" fillId="0" borderId="0" xfId="0" applyFill="1" applyAlignment="1">
      <alignment horizontal="left" indent="1"/>
    </xf>
    <xf numFmtId="164" fontId="52" fillId="37" borderId="0" xfId="0" applyNumberFormat="1" applyFont="1" applyFill="1"/>
    <xf numFmtId="164" fontId="0" fillId="37" borderId="0" xfId="0" applyNumberFormat="1" applyFill="1"/>
    <xf numFmtId="0" fontId="52" fillId="0" borderId="0" xfId="0" applyFont="1" applyFill="1" applyAlignment="1">
      <alignment horizontal="left"/>
    </xf>
    <xf numFmtId="164" fontId="52" fillId="0" borderId="0" xfId="0" applyNumberFormat="1" applyFont="1" applyFill="1"/>
    <xf numFmtId="0" fontId="0" fillId="0" borderId="0" xfId="0" applyFill="1" applyAlignment="1">
      <alignment horizontal="left"/>
    </xf>
    <xf numFmtId="0" fontId="25" fillId="0" borderId="0" xfId="0" applyFont="1" applyFill="1"/>
    <xf numFmtId="0" fontId="27" fillId="0" borderId="0" xfId="0" applyFont="1" applyFill="1" applyAlignment="1">
      <alignment horizontal="left"/>
    </xf>
    <xf numFmtId="167" fontId="24" fillId="0" borderId="0" xfId="0" applyNumberFormat="1" applyFont="1" applyFill="1"/>
    <xf numFmtId="164" fontId="24" fillId="37" borderId="0" xfId="0" applyNumberFormat="1" applyFont="1" applyFill="1"/>
    <xf numFmtId="167" fontId="0" fillId="0" borderId="0" xfId="0" applyNumberFormat="1" applyFill="1"/>
    <xf numFmtId="164" fontId="24" fillId="0" borderId="0" xfId="0" applyNumberFormat="1" applyFont="1" applyFill="1"/>
    <xf numFmtId="0" fontId="25" fillId="0" borderId="0" xfId="0" applyFont="1" applyFill="1" applyBorder="1" applyAlignment="1">
      <alignment horizontal="center"/>
    </xf>
    <xf numFmtId="0" fontId="0" fillId="0" borderId="0" xfId="0" applyFill="1" applyBorder="1" applyAlignment="1">
      <alignment horizontal="left" indent="1"/>
    </xf>
    <xf numFmtId="0" fontId="24" fillId="0" borderId="0" xfId="0" applyFont="1" applyFill="1" applyBorder="1"/>
    <xf numFmtId="0" fontId="0" fillId="0" borderId="0" xfId="0" applyFill="1" applyBorder="1"/>
    <xf numFmtId="164" fontId="0" fillId="0" borderId="0" xfId="0" applyNumberFormat="1" applyFill="1" applyBorder="1"/>
    <xf numFmtId="164" fontId="0" fillId="37" borderId="0" xfId="0" applyNumberFormat="1" applyFill="1" applyBorder="1"/>
    <xf numFmtId="0" fontId="25" fillId="0" borderId="0" xfId="0" applyFont="1" applyFill="1" applyAlignment="1">
      <alignment horizontal="left"/>
    </xf>
    <xf numFmtId="0" fontId="0" fillId="0" borderId="0" xfId="0" applyAlignment="1">
      <alignment horizontal="left"/>
    </xf>
    <xf numFmtId="0" fontId="24" fillId="0" borderId="0" xfId="0" applyFont="1" applyFill="1" applyAlignment="1">
      <alignment horizontal="right"/>
    </xf>
    <xf numFmtId="0" fontId="25" fillId="37" borderId="17" xfId="0" applyFont="1" applyFill="1" applyBorder="1" applyAlignment="1">
      <alignment horizontal="center"/>
    </xf>
    <xf numFmtId="168" fontId="0" fillId="0" borderId="0" xfId="0" applyNumberFormat="1" applyFill="1"/>
    <xf numFmtId="0" fontId="25" fillId="37" borderId="19" xfId="0" applyFont="1" applyFill="1" applyBorder="1" applyAlignment="1">
      <alignment horizontal="center"/>
    </xf>
    <xf numFmtId="170" fontId="0" fillId="0" borderId="0" xfId="0" applyNumberFormat="1"/>
    <xf numFmtId="0" fontId="0" fillId="0" borderId="0" xfId="0" applyFill="1" applyAlignment="1">
      <alignment horizontal="right"/>
    </xf>
    <xf numFmtId="164" fontId="24" fillId="37" borderId="19" xfId="0" applyNumberFormat="1" applyFont="1" applyFill="1" applyBorder="1"/>
    <xf numFmtId="169" fontId="52" fillId="37" borderId="19" xfId="0" applyNumberFormat="1" applyFont="1" applyFill="1" applyBorder="1"/>
    <xf numFmtId="164" fontId="41" fillId="37" borderId="20" xfId="0" applyNumberFormat="1" applyFont="1" applyFill="1" applyBorder="1"/>
    <xf numFmtId="0" fontId="25" fillId="0" borderId="0" xfId="0" applyNumberFormat="1" applyFont="1" applyFill="1" applyAlignment="1">
      <alignment horizontal="left"/>
    </xf>
    <xf numFmtId="0" fontId="27" fillId="0" borderId="0" xfId="0" applyFont="1" applyFill="1" applyAlignment="1">
      <alignment horizontal="center"/>
    </xf>
    <xf numFmtId="0" fontId="27" fillId="0" borderId="0" xfId="0" applyFont="1" applyFill="1"/>
    <xf numFmtId="0" fontId="25" fillId="0" borderId="0" xfId="0" quotePrefix="1" applyFont="1" applyFill="1" applyAlignment="1">
      <alignment horizontal="center"/>
    </xf>
    <xf numFmtId="10" fontId="0" fillId="0" borderId="0" xfId="0" applyNumberFormat="1" applyFill="1"/>
    <xf numFmtId="15" fontId="24" fillId="34" borderId="0" xfId="0" quotePrefix="1" applyNumberFormat="1" applyFont="1" applyFill="1" applyAlignment="1">
      <alignment horizontal="center"/>
    </xf>
    <xf numFmtId="0" fontId="24" fillId="34" borderId="0" xfId="0" quotePrefix="1" applyFont="1" applyFill="1" applyAlignment="1">
      <alignment horizontal="center"/>
    </xf>
    <xf numFmtId="0" fontId="24" fillId="34" borderId="0" xfId="0" applyFont="1" applyFill="1"/>
    <xf numFmtId="10" fontId="24" fillId="34" borderId="0" xfId="0" quotePrefix="1" applyNumberFormat="1" applyFont="1" applyFill="1" applyAlignment="1">
      <alignment horizontal="right"/>
    </xf>
    <xf numFmtId="0" fontId="24" fillId="0" borderId="0" xfId="0" applyFont="1" applyFill="1" applyAlignment="1"/>
    <xf numFmtId="10" fontId="24" fillId="0" borderId="0" xfId="0" quotePrefix="1" applyNumberFormat="1" applyFont="1" applyFill="1" applyAlignment="1">
      <alignment horizontal="right"/>
    </xf>
    <xf numFmtId="0" fontId="24" fillId="0" borderId="0" xfId="0" quotePrefix="1" applyFont="1" applyFill="1" applyAlignment="1">
      <alignment horizontal="center"/>
    </xf>
    <xf numFmtId="0" fontId="0" fillId="34" borderId="0" xfId="0" applyFill="1"/>
    <xf numFmtId="167" fontId="52" fillId="0" borderId="0" xfId="0" applyNumberFormat="1" applyFont="1" applyFill="1"/>
    <xf numFmtId="0" fontId="24"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4" fillId="0" borderId="0" xfId="0" applyFont="1"/>
    <xf numFmtId="0" fontId="24" fillId="0" borderId="0" xfId="0" applyFont="1" applyAlignment="1">
      <alignment horizontal="right"/>
    </xf>
    <xf numFmtId="164" fontId="52" fillId="0" borderId="0" xfId="0" applyNumberFormat="1" applyFont="1"/>
    <xf numFmtId="0" fontId="25" fillId="0" borderId="0" xfId="0" quotePrefix="1" applyFont="1" applyAlignment="1">
      <alignment horizontal="center"/>
    </xf>
    <xf numFmtId="0" fontId="27" fillId="0" borderId="0" xfId="0" quotePrefix="1" applyFont="1" applyAlignment="1">
      <alignment horizontal="center"/>
    </xf>
    <xf numFmtId="170" fontId="0" fillId="0" borderId="0" xfId="0" applyNumberFormat="1" applyFill="1"/>
    <xf numFmtId="170" fontId="24" fillId="0" borderId="0" xfId="0" applyNumberFormat="1" applyFont="1" applyFill="1" applyAlignment="1">
      <alignment horizontal="left" indent="1"/>
    </xf>
    <xf numFmtId="0" fontId="0" fillId="0" borderId="0" xfId="0" applyAlignment="1">
      <alignment horizontal="right"/>
    </xf>
    <xf numFmtId="170" fontId="24" fillId="0" borderId="0" xfId="0" applyNumberFormat="1" applyFont="1" applyAlignment="1">
      <alignment horizontal="left" indent="1"/>
    </xf>
    <xf numFmtId="167" fontId="53" fillId="0" borderId="0" xfId="0" applyNumberFormat="1" applyFont="1"/>
    <xf numFmtId="167" fontId="0" fillId="0" borderId="0" xfId="0" applyNumberFormat="1"/>
    <xf numFmtId="167" fontId="54" fillId="0" borderId="0" xfId="0" applyNumberFormat="1" applyFont="1"/>
    <xf numFmtId="167" fontId="52" fillId="0" borderId="0" xfId="0" applyNumberFormat="1" applyFont="1"/>
    <xf numFmtId="164" fontId="25" fillId="0" borderId="0" xfId="0" applyNumberFormat="1" applyFont="1" applyFill="1" applyAlignment="1">
      <alignment horizontal="left"/>
    </xf>
    <xf numFmtId="0" fontId="0" fillId="39" borderId="0" xfId="0" applyFill="1"/>
    <xf numFmtId="0" fontId="0" fillId="0" borderId="0" xfId="0" applyAlignment="1">
      <alignment horizontal="center"/>
    </xf>
    <xf numFmtId="164" fontId="0" fillId="39" borderId="0" xfId="0" applyNumberFormat="1" applyFill="1" applyAlignment="1"/>
    <xf numFmtId="164" fontId="52" fillId="39" borderId="0" xfId="0" applyNumberFormat="1" applyFont="1" applyFill="1" applyAlignment="1"/>
    <xf numFmtId="0" fontId="27" fillId="0" borderId="0" xfId="0" quotePrefix="1" applyFont="1" applyFill="1" applyAlignment="1">
      <alignment horizontal="center"/>
    </xf>
    <xf numFmtId="164" fontId="0" fillId="0" borderId="0" xfId="0" applyNumberFormat="1" applyAlignment="1">
      <alignment horizontal="right" indent="1"/>
    </xf>
    <xf numFmtId="164" fontId="24" fillId="34" borderId="0" xfId="0" applyNumberFormat="1" applyFont="1" applyFill="1"/>
    <xf numFmtId="164" fontId="0" fillId="34" borderId="0" xfId="0" applyNumberFormat="1" applyFill="1"/>
    <xf numFmtId="164" fontId="0" fillId="37" borderId="0" xfId="0" applyNumberFormat="1" applyFill="1" applyAlignment="1">
      <alignment horizontal="right" indent="1"/>
    </xf>
    <xf numFmtId="164" fontId="24" fillId="34" borderId="33" xfId="0" applyNumberFormat="1" applyFont="1" applyFill="1" applyBorder="1"/>
    <xf numFmtId="0" fontId="24" fillId="0" borderId="0" xfId="0" applyFont="1" applyAlignment="1">
      <alignment horizontal="left" indent="1"/>
    </xf>
    <xf numFmtId="164" fontId="0" fillId="0" borderId="0" xfId="0" applyNumberFormat="1" applyFill="1" applyAlignment="1"/>
    <xf numFmtId="164" fontId="0" fillId="37" borderId="18" xfId="0" applyNumberFormat="1" applyFill="1" applyBorder="1" applyAlignment="1">
      <alignment horizontal="right" indent="1"/>
    </xf>
    <xf numFmtId="164" fontId="24" fillId="34" borderId="16" xfId="0" applyNumberFormat="1" applyFont="1" applyFill="1" applyBorder="1"/>
    <xf numFmtId="164" fontId="24" fillId="0" borderId="0" xfId="0" applyNumberFormat="1" applyFont="1"/>
    <xf numFmtId="0" fontId="27" fillId="0" borderId="0" xfId="0" applyFont="1" applyBorder="1" applyAlignment="1">
      <alignment horizontal="center"/>
    </xf>
    <xf numFmtId="0" fontId="25" fillId="0" borderId="0" xfId="0" applyFont="1" applyBorder="1"/>
    <xf numFmtId="0" fontId="0" fillId="0" borderId="0" xfId="0" applyBorder="1"/>
    <xf numFmtId="0" fontId="27" fillId="0" borderId="0" xfId="0" applyFont="1" applyFill="1" applyBorder="1"/>
    <xf numFmtId="0" fontId="25" fillId="0" borderId="0" xfId="0" applyFont="1" applyBorder="1" applyAlignment="1">
      <alignment horizontal="center"/>
    </xf>
    <xf numFmtId="0" fontId="24" fillId="0" borderId="0" xfId="0" applyFont="1" applyBorder="1" applyAlignment="1">
      <alignment horizontal="right"/>
    </xf>
    <xf numFmtId="164" fontId="24" fillId="0" borderId="0" xfId="0" applyNumberFormat="1" applyFont="1" applyFill="1" applyBorder="1" applyAlignment="1">
      <alignment horizontal="right"/>
    </xf>
    <xf numFmtId="0" fontId="24" fillId="0" borderId="0" xfId="0" applyFont="1" applyFill="1" applyBorder="1" applyAlignment="1">
      <alignment horizontal="left" indent="1"/>
    </xf>
    <xf numFmtId="164" fontId="52" fillId="34" borderId="0" xfId="0" applyNumberFormat="1" applyFont="1" applyFill="1" applyBorder="1" applyAlignment="1"/>
    <xf numFmtId="164" fontId="0" fillId="0" borderId="0" xfId="0" applyNumberFormat="1" applyBorder="1" applyAlignment="1"/>
    <xf numFmtId="0" fontId="24" fillId="0" borderId="0" xfId="0" applyFont="1" applyBorder="1" applyAlignment="1">
      <alignment horizontal="left" indent="1"/>
    </xf>
    <xf numFmtId="164" fontId="0" fillId="0" borderId="0" xfId="0" applyNumberFormat="1" applyAlignment="1"/>
    <xf numFmtId="0" fontId="56" fillId="0" borderId="0" xfId="0" applyFont="1" applyFill="1"/>
    <xf numFmtId="0" fontId="24" fillId="0" borderId="0" xfId="0" applyFont="1" applyFill="1" applyAlignment="1">
      <alignment horizontal="left" indent="2"/>
    </xf>
    <xf numFmtId="0" fontId="24" fillId="34" borderId="0" xfId="0" applyFont="1" applyFill="1" applyBorder="1"/>
    <xf numFmtId="0" fontId="0" fillId="34" borderId="0" xfId="0" applyFill="1" applyBorder="1"/>
    <xf numFmtId="0" fontId="3" fillId="0" borderId="0" xfId="212" applyFont="1"/>
    <xf numFmtId="164" fontId="41" fillId="0" borderId="0" xfId="0" applyNumberFormat="1" applyFont="1" applyFill="1" applyBorder="1"/>
    <xf numFmtId="42" fontId="24" fillId="0" borderId="0" xfId="0" applyNumberFormat="1" applyFont="1"/>
    <xf numFmtId="42" fontId="52" fillId="0" borderId="0" xfId="0" applyNumberFormat="1" applyFont="1"/>
    <xf numFmtId="164" fontId="0" fillId="0" borderId="0" xfId="0" applyNumberFormat="1" applyFill="1" applyAlignment="1">
      <alignment horizontal="right" indent="1"/>
    </xf>
    <xf numFmtId="164" fontId="24" fillId="34" borderId="0" xfId="0" applyNumberFormat="1" applyFont="1" applyFill="1" applyBorder="1"/>
    <xf numFmtId="164" fontId="24" fillId="34" borderId="32" xfId="0" applyNumberFormat="1" applyFont="1" applyFill="1" applyBorder="1"/>
    <xf numFmtId="164" fontId="0" fillId="37" borderId="0" xfId="0" applyNumberFormat="1" applyFill="1" applyBorder="1" applyAlignment="1">
      <alignment horizontal="right" indent="1"/>
    </xf>
    <xf numFmtId="164" fontId="0" fillId="0" borderId="0" xfId="0" applyNumberFormat="1" applyFill="1" applyBorder="1" applyAlignment="1">
      <alignment horizontal="right" indent="1"/>
    </xf>
    <xf numFmtId="0" fontId="58" fillId="0" borderId="0" xfId="209" applyFont="1" applyFill="1" applyBorder="1" applyAlignment="1">
      <alignment horizontal="left" vertical="top"/>
    </xf>
    <xf numFmtId="166" fontId="58" fillId="36" borderId="0" xfId="211" applyNumberFormat="1" applyFont="1" applyFill="1" applyBorder="1" applyAlignment="1">
      <alignment horizontal="left" vertical="center"/>
    </xf>
    <xf numFmtId="0" fontId="58" fillId="0" borderId="0" xfId="209" applyFont="1" applyFill="1" applyBorder="1" applyAlignment="1">
      <alignment horizontal="center" vertical="center"/>
    </xf>
    <xf numFmtId="0" fontId="47" fillId="0" borderId="0" xfId="209" quotePrefix="1" applyFont="1" applyFill="1" applyBorder="1" applyAlignment="1">
      <alignment horizontal="right" vertical="top"/>
    </xf>
    <xf numFmtId="0" fontId="47" fillId="0" borderId="0" xfId="209" applyFont="1" applyFill="1" applyBorder="1" applyAlignment="1">
      <alignment vertical="top" wrapText="1"/>
    </xf>
    <xf numFmtId="0" fontId="59" fillId="0" borderId="0" xfId="209" applyFont="1" applyFill="1" applyBorder="1" applyAlignment="1">
      <alignment horizontal="center" vertical="center" wrapText="1"/>
    </xf>
    <xf numFmtId="164" fontId="25" fillId="0" borderId="0" xfId="157" applyNumberFormat="1" applyFont="1" applyFill="1" applyBorder="1" applyAlignment="1">
      <alignment horizontal="center" vertical="center"/>
    </xf>
    <xf numFmtId="0" fontId="59" fillId="36" borderId="0" xfId="209" quotePrefix="1" applyFont="1" applyFill="1" applyBorder="1" applyAlignment="1">
      <alignment horizontal="center" vertical="center" wrapText="1"/>
    </xf>
    <xf numFmtId="0" fontId="59" fillId="36" borderId="0" xfId="209" applyFont="1" applyFill="1" applyBorder="1" applyAlignment="1">
      <alignment horizontal="left" vertical="top"/>
    </xf>
    <xf numFmtId="0" fontId="59" fillId="36" borderId="0" xfId="209" applyFont="1" applyFill="1" applyBorder="1" applyAlignment="1">
      <alignment horizontal="center" vertical="center"/>
    </xf>
    <xf numFmtId="0" fontId="59" fillId="36" borderId="11" xfId="209" applyFont="1" applyFill="1" applyBorder="1" applyAlignment="1">
      <alignment horizontal="center" vertical="center"/>
    </xf>
    <xf numFmtId="164" fontId="25" fillId="0" borderId="11" xfId="157" applyNumberFormat="1" applyFont="1" applyFill="1" applyBorder="1" applyAlignment="1">
      <alignment horizontal="center" vertical="center"/>
    </xf>
    <xf numFmtId="164" fontId="25" fillId="0" borderId="12" xfId="157" applyNumberFormat="1" applyFont="1" applyFill="1" applyBorder="1" applyAlignment="1">
      <alignment horizontal="center" vertical="center"/>
    </xf>
    <xf numFmtId="164" fontId="52" fillId="37" borderId="0" xfId="118" applyNumberFormat="1" applyFont="1" applyFill="1" applyBorder="1"/>
    <xf numFmtId="164" fontId="24" fillId="37" borderId="0" xfId="118" applyNumberFormat="1" applyFont="1" applyFill="1"/>
    <xf numFmtId="164" fontId="24" fillId="37" borderId="0" xfId="118" applyNumberFormat="1" applyFill="1"/>
    <xf numFmtId="164" fontId="24" fillId="37" borderId="18" xfId="118" applyNumberFormat="1" applyFill="1" applyBorder="1" applyAlignment="1">
      <alignment horizontal="right" indent="1"/>
    </xf>
    <xf numFmtId="164" fontId="52" fillId="34" borderId="35" xfId="220" applyNumberFormat="1" applyFont="1" applyFill="1" applyBorder="1" applyAlignment="1">
      <alignment horizontal="right"/>
    </xf>
    <xf numFmtId="0" fontId="46" fillId="36" borderId="10" xfId="209" applyFont="1" applyFill="1" applyBorder="1" applyAlignment="1">
      <alignment horizontal="left" vertical="top" wrapText="1"/>
    </xf>
    <xf numFmtId="0" fontId="47" fillId="36" borderId="11" xfId="209" applyFont="1" applyFill="1" applyBorder="1" applyAlignment="1">
      <alignment horizontal="left" vertical="top" wrapText="1"/>
    </xf>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6" fillId="36" borderId="0" xfId="209" applyFont="1" applyFill="1" applyBorder="1" applyAlignment="1">
      <alignment horizontal="center" vertical="top" wrapText="1"/>
    </xf>
    <xf numFmtId="0" fontId="47" fillId="36" borderId="0" xfId="209" applyFont="1" applyFill="1" applyBorder="1" applyAlignment="1">
      <alignment horizontal="center" vertical="top" wrapText="1"/>
    </xf>
    <xf numFmtId="0" fontId="46" fillId="0"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0" fillId="35" borderId="10" xfId="157" applyFont="1" applyFill="1" applyBorder="1" applyAlignment="1">
      <alignment horizontal="center"/>
    </xf>
    <xf numFmtId="0" fontId="40" fillId="35" borderId="11" xfId="157" applyFont="1" applyFill="1" applyBorder="1" applyAlignment="1">
      <alignment horizontal="center"/>
    </xf>
    <xf numFmtId="0" fontId="40" fillId="35" borderId="12" xfId="157" applyFont="1" applyFill="1" applyBorder="1" applyAlignment="1">
      <alignment horizontal="center"/>
    </xf>
    <xf numFmtId="0" fontId="40" fillId="40" borderId="3" xfId="217" applyFont="1" applyFill="1" applyBorder="1" applyAlignment="1">
      <alignment horizontal="center"/>
    </xf>
    <xf numFmtId="0" fontId="40" fillId="40" borderId="21" xfId="0" applyFont="1" applyFill="1" applyBorder="1" applyAlignment="1">
      <alignment horizontal="center"/>
    </xf>
    <xf numFmtId="0" fontId="40" fillId="40" borderId="23" xfId="0" applyFont="1" applyFill="1" applyBorder="1" applyAlignment="1">
      <alignment horizontal="center"/>
    </xf>
    <xf numFmtId="0" fontId="40" fillId="0" borderId="27" xfId="212" applyFont="1" applyBorder="1" applyAlignment="1">
      <alignment horizontal="right"/>
    </xf>
    <xf numFmtId="0" fontId="40" fillId="0" borderId="28" xfId="212" applyFont="1" applyBorder="1" applyAlignment="1">
      <alignment horizontal="right"/>
    </xf>
    <xf numFmtId="0" fontId="11" fillId="0" borderId="30" xfId="212" applyFill="1" applyBorder="1" applyAlignment="1">
      <alignment horizontal="left"/>
    </xf>
    <xf numFmtId="0" fontId="11" fillId="0" borderId="31" xfId="212" applyFill="1" applyBorder="1" applyAlignment="1">
      <alignment horizontal="left"/>
    </xf>
    <xf numFmtId="0" fontId="3" fillId="0" borderId="0" xfId="212" applyFont="1" applyAlignment="1">
      <alignment horizontal="left" wrapText="1"/>
    </xf>
    <xf numFmtId="0" fontId="11" fillId="0" borderId="0" xfId="212" applyAlignment="1">
      <alignment horizontal="left" wrapText="1"/>
    </xf>
    <xf numFmtId="0" fontId="51" fillId="38" borderId="3" xfId="212" applyFont="1" applyFill="1" applyBorder="1" applyAlignment="1">
      <alignment horizontal="center" vertical="center" wrapText="1"/>
    </xf>
    <xf numFmtId="0" fontId="40" fillId="38" borderId="3" xfId="212" quotePrefix="1" applyFont="1" applyFill="1" applyBorder="1" applyAlignment="1">
      <alignment horizontal="center"/>
    </xf>
    <xf numFmtId="0" fontId="40" fillId="38" borderId="3" xfId="212" applyFont="1" applyFill="1" applyBorder="1" applyAlignment="1">
      <alignment horizontal="center"/>
    </xf>
    <xf numFmtId="0" fontId="3" fillId="0" borderId="21" xfId="212" applyFont="1" applyFill="1" applyBorder="1" applyAlignment="1">
      <alignment horizontal="left"/>
    </xf>
    <xf numFmtId="0" fontId="11" fillId="0" borderId="22" xfId="212" applyFill="1" applyBorder="1" applyAlignment="1">
      <alignment horizontal="left"/>
    </xf>
    <xf numFmtId="0" fontId="11" fillId="0" borderId="23" xfId="212" applyFill="1" applyBorder="1" applyAlignment="1">
      <alignment horizontal="left"/>
    </xf>
    <xf numFmtId="0" fontId="3" fillId="0" borderId="25" xfId="212" applyFont="1" applyFill="1" applyBorder="1" applyAlignment="1">
      <alignment wrapText="1"/>
    </xf>
    <xf numFmtId="0" fontId="11" fillId="0" borderId="25" xfId="212" applyFill="1" applyBorder="1" applyAlignment="1">
      <alignment wrapText="1"/>
    </xf>
    <xf numFmtId="0" fontId="11" fillId="0" borderId="26" xfId="212" applyFill="1" applyBorder="1" applyAlignment="1">
      <alignment wrapText="1"/>
    </xf>
    <xf numFmtId="0" fontId="2" fillId="0" borderId="3" xfId="212" applyFont="1" applyFill="1" applyBorder="1" applyAlignment="1">
      <alignment wrapText="1"/>
    </xf>
    <xf numFmtId="0" fontId="11" fillId="0" borderId="3" xfId="212" applyFill="1" applyBorder="1" applyAlignment="1">
      <alignment wrapText="1"/>
    </xf>
    <xf numFmtId="0" fontId="7" fillId="0" borderId="0" xfId="212" applyFont="1" applyAlignment="1">
      <alignment horizontal="left" wrapText="1"/>
    </xf>
    <xf numFmtId="0" fontId="8" fillId="0" borderId="21" xfId="212" applyFont="1" applyBorder="1" applyAlignment="1">
      <alignment horizontal="left"/>
    </xf>
    <xf numFmtId="0" fontId="11" fillId="0" borderId="22" xfId="212" applyBorder="1" applyAlignment="1">
      <alignment horizontal="left"/>
    </xf>
    <xf numFmtId="0" fontId="11" fillId="0" borderId="23" xfId="212" applyBorder="1" applyAlignment="1">
      <alignment horizontal="left"/>
    </xf>
    <xf numFmtId="0" fontId="10" fillId="0" borderId="21" xfId="212" applyFont="1" applyBorder="1" applyAlignment="1">
      <alignment horizontal="left"/>
    </xf>
    <xf numFmtId="0" fontId="10" fillId="0" borderId="25" xfId="212" applyFont="1" applyFill="1" applyBorder="1" applyAlignment="1">
      <alignment wrapText="1"/>
    </xf>
    <xf numFmtId="0" fontId="2" fillId="0" borderId="3" xfId="212" applyFont="1" applyFill="1" applyBorder="1" applyAlignment="1">
      <alignment horizontal="left" wrapText="1"/>
    </xf>
    <xf numFmtId="0" fontId="11" fillId="0" borderId="3" xfId="212" applyFill="1" applyBorder="1" applyAlignment="1">
      <alignment horizontal="left" wrapText="1"/>
    </xf>
    <xf numFmtId="0" fontId="40" fillId="0" borderId="3" xfId="212" applyFont="1" applyBorder="1" applyAlignment="1">
      <alignment horizontal="right"/>
    </xf>
    <xf numFmtId="0" fontId="11" fillId="0" borderId="28" xfId="212" applyBorder="1" applyAlignment="1">
      <alignment horizontal="left"/>
    </xf>
    <xf numFmtId="0" fontId="11" fillId="0" borderId="30" xfId="212" applyBorder="1" applyAlignment="1">
      <alignment horizontal="left"/>
    </xf>
    <xf numFmtId="0" fontId="11" fillId="0" borderId="31" xfId="212" applyBorder="1" applyAlignment="1">
      <alignment horizontal="left"/>
    </xf>
    <xf numFmtId="0" fontId="9" fillId="0" borderId="21" xfId="212" applyFont="1" applyBorder="1" applyAlignment="1">
      <alignment horizontal="left"/>
    </xf>
    <xf numFmtId="0" fontId="9" fillId="0" borderId="24" xfId="212" applyFont="1" applyBorder="1" applyAlignment="1">
      <alignment wrapText="1"/>
    </xf>
    <xf numFmtId="0" fontId="11" fillId="0" borderId="24" xfId="212" applyBorder="1" applyAlignment="1">
      <alignment wrapText="1"/>
    </xf>
    <xf numFmtId="0" fontId="9" fillId="0" borderId="22" xfId="212" applyFont="1" applyBorder="1" applyAlignment="1">
      <alignment horizontal="left"/>
    </xf>
    <xf numFmtId="0" fontId="9" fillId="0" borderId="23" xfId="212" applyFont="1" applyBorder="1" applyAlignment="1">
      <alignment horizontal="left"/>
    </xf>
    <xf numFmtId="0" fontId="24" fillId="0" borderId="0" xfId="118" applyFont="1" applyAlignment="1">
      <alignment horizontal="left" wrapText="1"/>
    </xf>
    <xf numFmtId="0" fontId="62" fillId="0" borderId="0" xfId="118" applyFont="1" applyAlignment="1">
      <alignment horizontal="left" wrapText="1"/>
    </xf>
  </cellXfs>
  <cellStyles count="221">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0"/>
  <tableStyles count="0" defaultTableStyle="TableStyleMedium9" defaultPivotStyle="PivotStyleLight16"/>
  <colors>
    <mruColors>
      <color rgb="FFFFCCCC"/>
      <color rgb="FFCCFF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tabSelected="1" zoomScaleNormal="100" workbookViewId="0"/>
  </sheetViews>
  <sheetFormatPr defaultRowHeight="12.75" x14ac:dyDescent="0.2"/>
  <cols>
    <col min="1" max="1" width="5.28515625" style="75" customWidth="1"/>
    <col min="2" max="2" width="111.28515625" style="76" customWidth="1"/>
    <col min="3" max="3" width="5.42578125" style="75" customWidth="1"/>
    <col min="4" max="4" width="10.42578125" style="77" customWidth="1"/>
    <col min="5" max="5" width="13.5703125" style="78" bestFit="1" customWidth="1"/>
    <col min="6" max="6" width="13.5703125" style="78" customWidth="1"/>
    <col min="7" max="7" width="10.42578125" style="75" bestFit="1" customWidth="1"/>
    <col min="8" max="16384" width="9.140625" style="75"/>
  </cols>
  <sheetData>
    <row r="1" spans="1:7" ht="18" customHeight="1" x14ac:dyDescent="0.2"/>
    <row r="2" spans="1:7" ht="18" customHeight="1" x14ac:dyDescent="0.2">
      <c r="A2" s="414" t="s">
        <v>301</v>
      </c>
      <c r="B2" s="415"/>
    </row>
    <row r="3" spans="1:7" ht="18" customHeight="1" x14ac:dyDescent="0.2">
      <c r="A3" s="415" t="s">
        <v>31</v>
      </c>
      <c r="B3" s="415"/>
      <c r="E3" s="79" t="s">
        <v>356</v>
      </c>
      <c r="F3" s="80" t="s">
        <v>294</v>
      </c>
    </row>
    <row r="4" spans="1:7" ht="15.75" customHeight="1" x14ac:dyDescent="0.2">
      <c r="A4" s="81"/>
      <c r="B4" s="82"/>
      <c r="E4" s="79" t="s">
        <v>279</v>
      </c>
      <c r="F4" s="79" t="s">
        <v>282</v>
      </c>
    </row>
    <row r="5" spans="1:7" ht="20.25" customHeight="1" x14ac:dyDescent="0.2">
      <c r="A5" s="412" t="s">
        <v>354</v>
      </c>
      <c r="B5" s="413"/>
    </row>
    <row r="6" spans="1:7" ht="78.75" x14ac:dyDescent="0.2">
      <c r="A6" s="395" t="s">
        <v>30</v>
      </c>
      <c r="B6" s="192" t="s">
        <v>410</v>
      </c>
      <c r="C6" s="392"/>
      <c r="D6" s="394"/>
      <c r="E6" s="84">
        <f>'WP-2012 True Up TRR Adj'!D8</f>
        <v>-210048.96101903915</v>
      </c>
      <c r="F6" s="84">
        <f>(E6/E9)*F9</f>
        <v>-227756.19242931908</v>
      </c>
      <c r="G6" s="392"/>
    </row>
    <row r="7" spans="1:7" ht="15.75" x14ac:dyDescent="0.2">
      <c r="A7" s="395"/>
      <c r="B7" s="192"/>
      <c r="C7" s="392"/>
      <c r="D7" s="394"/>
      <c r="E7" s="84"/>
      <c r="F7" s="84"/>
    </row>
    <row r="8" spans="1:7" ht="15.75" x14ac:dyDescent="0.2">
      <c r="A8" s="395"/>
      <c r="B8" s="192"/>
      <c r="C8" s="392"/>
      <c r="D8" s="394"/>
      <c r="E8" s="84"/>
      <c r="F8" s="84"/>
    </row>
    <row r="9" spans="1:7" ht="15.75" customHeight="1" x14ac:dyDescent="0.2">
      <c r="A9" s="416" t="s">
        <v>357</v>
      </c>
      <c r="B9" s="417"/>
      <c r="C9" s="396"/>
      <c r="D9" s="397" t="s">
        <v>281</v>
      </c>
      <c r="E9" s="398">
        <f>SUM(E5:E8)</f>
        <v>-210048.96101903915</v>
      </c>
      <c r="F9" s="398">
        <f>'WP-Total Adj with Int'!G48</f>
        <v>-227756.19242931908</v>
      </c>
    </row>
    <row r="10" spans="1:7" ht="15.75" customHeight="1" x14ac:dyDescent="0.2">
      <c r="A10" s="252"/>
      <c r="B10" s="253"/>
      <c r="C10" s="85"/>
      <c r="D10" s="191"/>
      <c r="E10" s="84"/>
      <c r="F10" s="84"/>
    </row>
    <row r="11" spans="1:7" ht="20.25" customHeight="1" x14ac:dyDescent="0.2">
      <c r="A11" s="412" t="s">
        <v>280</v>
      </c>
      <c r="B11" s="413"/>
    </row>
    <row r="12" spans="1:7" ht="110.25" x14ac:dyDescent="0.2">
      <c r="A12" s="83" t="s">
        <v>30</v>
      </c>
      <c r="B12" s="141" t="s">
        <v>405</v>
      </c>
      <c r="D12" s="77" t="s">
        <v>302</v>
      </c>
      <c r="E12" s="84">
        <v>358702.9652980566</v>
      </c>
      <c r="F12" s="84">
        <v>376558.48989893566</v>
      </c>
    </row>
    <row r="13" spans="1:7" ht="15.75" x14ac:dyDescent="0.2">
      <c r="A13" s="83"/>
      <c r="B13" s="255"/>
      <c r="E13" s="84"/>
      <c r="F13" s="84"/>
    </row>
    <row r="14" spans="1:7" ht="85.5" customHeight="1" x14ac:dyDescent="0.2">
      <c r="A14" s="83" t="s">
        <v>315</v>
      </c>
      <c r="B14" s="192" t="s">
        <v>411</v>
      </c>
      <c r="C14" s="392"/>
      <c r="D14" s="394" t="s">
        <v>361</v>
      </c>
      <c r="E14" s="84">
        <f>'WP-2013 True Up TRR Adj'!D8-E12</f>
        <v>-207785.96162128448</v>
      </c>
      <c r="F14" s="84">
        <f>(E14/E17)*F17</f>
        <v>-218129.13608142125</v>
      </c>
    </row>
    <row r="15" spans="1:7" ht="15.75" x14ac:dyDescent="0.2">
      <c r="A15" s="83"/>
      <c r="B15" s="255"/>
      <c r="E15" s="84"/>
      <c r="F15" s="84"/>
    </row>
    <row r="16" spans="1:7" ht="12.75" customHeight="1" x14ac:dyDescent="0.2">
      <c r="A16" s="81"/>
      <c r="B16" s="35"/>
      <c r="E16" s="84"/>
      <c r="F16" s="84"/>
    </row>
    <row r="17" spans="1:7" ht="15.75" customHeight="1" x14ac:dyDescent="0.2">
      <c r="A17" s="412" t="s">
        <v>358</v>
      </c>
      <c r="B17" s="413"/>
      <c r="C17" s="85"/>
      <c r="D17" s="399" t="s">
        <v>362</v>
      </c>
      <c r="E17" s="398">
        <f>SUM(E12:E16)</f>
        <v>150917.00367677212</v>
      </c>
      <c r="F17" s="398">
        <f>'WP-Total Adj with Int'!K48</f>
        <v>158429.35381751452</v>
      </c>
    </row>
    <row r="18" spans="1:7" ht="12.75" customHeight="1" x14ac:dyDescent="0.2">
      <c r="A18" s="81"/>
      <c r="B18" s="35"/>
      <c r="E18" s="84"/>
      <c r="F18" s="84"/>
    </row>
    <row r="19" spans="1:7" ht="20.25" customHeight="1" x14ac:dyDescent="0.2">
      <c r="A19" s="412" t="s">
        <v>300</v>
      </c>
      <c r="B19" s="413"/>
      <c r="E19" s="84"/>
      <c r="F19" s="84"/>
    </row>
    <row r="20" spans="1:7" ht="93.75" customHeight="1" x14ac:dyDescent="0.2">
      <c r="A20" s="83" t="s">
        <v>30</v>
      </c>
      <c r="B20" s="192" t="s">
        <v>406</v>
      </c>
      <c r="D20" s="77" t="s">
        <v>363</v>
      </c>
      <c r="E20" s="84">
        <v>360112.54545152187</v>
      </c>
      <c r="F20" s="84">
        <v>366002.07610744104</v>
      </c>
    </row>
    <row r="21" spans="1:7" ht="12.75" customHeight="1" x14ac:dyDescent="0.2">
      <c r="A21" s="83"/>
      <c r="B21" s="192"/>
      <c r="E21" s="84"/>
      <c r="F21" s="84"/>
    </row>
    <row r="22" spans="1:7" ht="83.25" customHeight="1" x14ac:dyDescent="0.2">
      <c r="A22" s="83" t="s">
        <v>315</v>
      </c>
      <c r="B22" s="192" t="s">
        <v>316</v>
      </c>
      <c r="D22" s="77" t="s">
        <v>364</v>
      </c>
      <c r="E22" s="84">
        <v>92315</v>
      </c>
      <c r="F22" s="84">
        <v>93824.37448855667</v>
      </c>
    </row>
    <row r="23" spans="1:7" ht="85.5" customHeight="1" x14ac:dyDescent="0.2">
      <c r="A23" s="83" t="s">
        <v>360</v>
      </c>
      <c r="B23" s="192" t="s">
        <v>412</v>
      </c>
      <c r="D23" s="77" t="s">
        <v>365</v>
      </c>
      <c r="E23" s="84">
        <f>(E27/F27)*F23</f>
        <v>-654935.0639475584</v>
      </c>
      <c r="F23" s="84">
        <f>'WP-Total Adj with Int'!O48-F22-F20</f>
        <v>-665646.32681655721</v>
      </c>
      <c r="G23" s="393"/>
    </row>
    <row r="24" spans="1:7" ht="12.75" customHeight="1" x14ac:dyDescent="0.2">
      <c r="A24" s="81"/>
      <c r="B24" s="255"/>
      <c r="E24" s="84"/>
      <c r="F24" s="84"/>
    </row>
    <row r="25" spans="1:7" ht="12.75" customHeight="1" x14ac:dyDescent="0.2">
      <c r="A25" s="81"/>
      <c r="B25" s="255"/>
      <c r="E25" s="84"/>
      <c r="F25" s="84"/>
    </row>
    <row r="26" spans="1:7" ht="15.75" x14ac:dyDescent="0.2">
      <c r="A26" s="83"/>
      <c r="B26" s="35"/>
      <c r="E26" s="84"/>
      <c r="F26" s="84"/>
    </row>
    <row r="27" spans="1:7" ht="15.75" customHeight="1" x14ac:dyDescent="0.2">
      <c r="A27" s="412" t="s">
        <v>359</v>
      </c>
      <c r="B27" s="413"/>
      <c r="C27" s="400"/>
      <c r="D27" s="401" t="s">
        <v>366</v>
      </c>
      <c r="E27" s="398">
        <f>'WP-Total Adj with Int'!L48</f>
        <v>-202507.92104399201</v>
      </c>
      <c r="F27" s="398">
        <f>SUM(F20:F23)</f>
        <v>-205819.87622055947</v>
      </c>
    </row>
    <row r="28" spans="1:7" ht="16.5" thickBot="1" x14ac:dyDescent="0.25">
      <c r="A28" s="74"/>
      <c r="B28" s="35"/>
      <c r="F28" s="84"/>
    </row>
    <row r="29" spans="1:7" ht="16.5" thickBot="1" x14ac:dyDescent="0.25">
      <c r="A29" s="410" t="s">
        <v>367</v>
      </c>
      <c r="B29" s="411"/>
      <c r="C29" s="86"/>
      <c r="D29" s="402" t="s">
        <v>368</v>
      </c>
      <c r="E29" s="403">
        <f>E9+E17+E27</f>
        <v>-261639.87838625905</v>
      </c>
      <c r="F29" s="404">
        <f>F9+F17+F27</f>
        <v>-275146.714832364</v>
      </c>
    </row>
    <row r="30" spans="1:7" ht="15.75" x14ac:dyDescent="0.2">
      <c r="A30" s="74"/>
      <c r="B30" s="35"/>
      <c r="E30" s="84"/>
      <c r="F30" s="84"/>
    </row>
    <row r="31" spans="1:7" ht="18" customHeight="1" x14ac:dyDescent="0.2">
      <c r="A31" s="81"/>
      <c r="B31" s="35"/>
      <c r="E31" s="84"/>
      <c r="F31" s="84"/>
    </row>
    <row r="32" spans="1:7" ht="21" x14ac:dyDescent="0.2">
      <c r="A32" s="75" t="s">
        <v>355</v>
      </c>
      <c r="B32" s="36"/>
      <c r="C32" s="36"/>
      <c r="D32" s="190"/>
      <c r="E32" s="84"/>
      <c r="F32" s="84"/>
    </row>
    <row r="33" spans="1:6" ht="15.75" x14ac:dyDescent="0.2">
      <c r="A33" s="81"/>
      <c r="B33" s="35"/>
      <c r="E33" s="84"/>
      <c r="F33" s="84"/>
    </row>
    <row r="34" spans="1:6" x14ac:dyDescent="0.2">
      <c r="E34" s="84"/>
      <c r="F34" s="84"/>
    </row>
  </sheetData>
  <mergeCells count="9">
    <mergeCell ref="A29:B29"/>
    <mergeCell ref="A17:B17"/>
    <mergeCell ref="A11:B11"/>
    <mergeCell ref="A2:B2"/>
    <mergeCell ref="A3:B3"/>
    <mergeCell ref="A19:B19"/>
    <mergeCell ref="A27:B27"/>
    <mergeCell ref="A5:B5"/>
    <mergeCell ref="A9:B9"/>
  </mergeCells>
  <printOptions horizontalCentered="1"/>
  <pageMargins left="0.7" right="0.7" top="0.75" bottom="0.75" header="0.3" footer="0.3"/>
  <pageSetup scale="57" orientation="portrait" verticalDpi="1200" r:id="rId1"/>
  <headerFooter>
    <oddHeader>&amp;R&amp;8TO11 Annual Update
Attachment 4
WP-Schedule 3-One Time Adj True Up Adj
Page &amp;P of &amp;N</oddHeader>
    <oddFooter>&amp;R&amp;A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4"/>
  <sheetViews>
    <sheetView zoomScaleNormal="100" workbookViewId="0"/>
  </sheetViews>
  <sheetFormatPr defaultRowHeight="15" x14ac:dyDescent="0.25"/>
  <cols>
    <col min="1" max="2" width="9.140625" style="45"/>
    <col min="3" max="3" width="12" style="45" customWidth="1"/>
    <col min="4" max="4" width="17.7109375" style="45" customWidth="1"/>
    <col min="5" max="6" width="9.140625" style="45"/>
    <col min="7" max="7" width="14.85546875" style="45" customWidth="1"/>
    <col min="8" max="16384" width="9.140625" style="45"/>
  </cols>
  <sheetData>
    <row r="3" spans="1:9" x14ac:dyDescent="0.25">
      <c r="A3" s="430" t="s">
        <v>290</v>
      </c>
      <c r="B3" s="430"/>
      <c r="C3" s="430"/>
      <c r="D3" s="430"/>
      <c r="E3" s="430"/>
      <c r="F3" s="430"/>
      <c r="G3" s="430"/>
    </row>
    <row r="4" spans="1:9" x14ac:dyDescent="0.25">
      <c r="A4" s="430"/>
      <c r="B4" s="430"/>
      <c r="C4" s="430"/>
      <c r="D4" s="430"/>
      <c r="E4" s="430"/>
      <c r="F4" s="430"/>
      <c r="G4" s="430"/>
    </row>
    <row r="5" spans="1:9" x14ac:dyDescent="0.25">
      <c r="A5" s="431" t="s">
        <v>33</v>
      </c>
      <c r="B5" s="431"/>
      <c r="C5" s="431"/>
      <c r="D5" s="46" t="s">
        <v>34</v>
      </c>
      <c r="E5" s="432" t="s">
        <v>35</v>
      </c>
      <c r="F5" s="432"/>
      <c r="G5" s="432"/>
      <c r="H5" s="47"/>
      <c r="I5" s="47"/>
    </row>
    <row r="6" spans="1:9" ht="54" customHeight="1" x14ac:dyDescent="0.25">
      <c r="A6" s="453" t="s">
        <v>291</v>
      </c>
      <c r="B6" s="443"/>
      <c r="C6" s="444"/>
      <c r="D6" s="68">
        <f>'WP-2014 Sch4-TUTRR'!J71</f>
        <v>900334913.33367372</v>
      </c>
      <c r="E6" s="454" t="s">
        <v>298</v>
      </c>
      <c r="F6" s="455"/>
      <c r="G6" s="455"/>
    </row>
    <row r="7" spans="1:9" ht="57.75" customHeight="1" x14ac:dyDescent="0.25">
      <c r="A7" s="453" t="s">
        <v>292</v>
      </c>
      <c r="B7" s="456"/>
      <c r="C7" s="457"/>
      <c r="D7" s="140">
        <f>'WP-2014 Sch4-TUTRR'!E73</f>
        <v>900132405.41262972</v>
      </c>
      <c r="E7" s="447" t="s">
        <v>409</v>
      </c>
      <c r="F7" s="448"/>
      <c r="G7" s="448"/>
    </row>
    <row r="8" spans="1:9" ht="23.25" customHeight="1" x14ac:dyDescent="0.25">
      <c r="A8" s="449" t="s">
        <v>36</v>
      </c>
      <c r="B8" s="449"/>
      <c r="C8" s="449"/>
      <c r="D8" s="136">
        <f>D7-D6</f>
        <v>-202507.92104399204</v>
      </c>
      <c r="E8" s="450"/>
      <c r="F8" s="451"/>
      <c r="G8" s="452"/>
    </row>
    <row r="11" spans="1:9" x14ac:dyDescent="0.25">
      <c r="A11" s="45" t="s">
        <v>37</v>
      </c>
      <c r="I11" s="92"/>
    </row>
    <row r="12" spans="1:9" ht="15" customHeight="1" x14ac:dyDescent="0.25">
      <c r="A12" s="142" t="s">
        <v>289</v>
      </c>
      <c r="B12" s="92"/>
      <c r="C12" s="92"/>
      <c r="D12" s="92"/>
      <c r="E12" s="92"/>
      <c r="F12" s="92"/>
      <c r="G12" s="92"/>
      <c r="H12" s="92"/>
      <c r="I12" s="92"/>
    </row>
    <row r="13" spans="1:9" ht="15" customHeight="1" x14ac:dyDescent="0.25">
      <c r="A13" s="223" t="s">
        <v>314</v>
      </c>
      <c r="B13" s="92"/>
      <c r="C13" s="92"/>
      <c r="D13" s="92"/>
      <c r="E13" s="92"/>
      <c r="F13" s="92"/>
      <c r="G13" s="92"/>
      <c r="H13" s="92"/>
    </row>
    <row r="14" spans="1:9" x14ac:dyDescent="0.25">
      <c r="A14" s="383" t="s">
        <v>351</v>
      </c>
    </row>
  </sheetData>
  <mergeCells count="9">
    <mergeCell ref="E7:G7"/>
    <mergeCell ref="A8:C8"/>
    <mergeCell ref="E8:G8"/>
    <mergeCell ref="A3:G4"/>
    <mergeCell ref="A5:C5"/>
    <mergeCell ref="E5:G5"/>
    <mergeCell ref="A6:C6"/>
    <mergeCell ref="E6:G6"/>
    <mergeCell ref="A7:C7"/>
  </mergeCells>
  <pageMargins left="0.7" right="0.7" top="0.75" bottom="0.75" header="0.3" footer="0.3"/>
  <pageSetup orientation="portrait" r:id="rId1"/>
  <headerFooter>
    <oddHeader>&amp;RTO11 Annual Update
Attachment 4
WP-Schedule 3-One Time Adj &amp; True Up Adj
Page &amp;P of &amp;N</oddHeader>
    <oddFooter>&amp;R&amp;A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M172"/>
  <sheetViews>
    <sheetView zoomScaleNormal="10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2.28515625" bestFit="1" customWidth="1"/>
  </cols>
  <sheetData>
    <row r="1" spans="1:10" x14ac:dyDescent="0.2">
      <c r="A1" s="276" t="s">
        <v>38</v>
      </c>
    </row>
    <row r="2" spans="1:10" x14ac:dyDescent="0.2">
      <c r="H2" s="277"/>
    </row>
    <row r="3" spans="1:10" x14ac:dyDescent="0.2">
      <c r="B3" s="278" t="s">
        <v>39</v>
      </c>
    </row>
    <row r="4" spans="1:10" x14ac:dyDescent="0.2">
      <c r="B4" s="279"/>
      <c r="F4" s="280" t="s">
        <v>40</v>
      </c>
      <c r="G4" s="280"/>
      <c r="H4" s="280" t="s">
        <v>41</v>
      </c>
    </row>
    <row r="5" spans="1:10" x14ac:dyDescent="0.2">
      <c r="A5" s="281" t="s">
        <v>42</v>
      </c>
      <c r="B5" s="282"/>
      <c r="C5" s="283" t="s">
        <v>43</v>
      </c>
      <c r="F5" s="284" t="s">
        <v>44</v>
      </c>
      <c r="G5" s="284" t="s">
        <v>45</v>
      </c>
      <c r="H5" s="284" t="s">
        <v>46</v>
      </c>
      <c r="J5" s="284" t="s">
        <v>34</v>
      </c>
    </row>
    <row r="6" spans="1:10" x14ac:dyDescent="0.2">
      <c r="A6" s="285">
        <v>1</v>
      </c>
      <c r="B6" s="277"/>
      <c r="C6" s="286" t="s">
        <v>47</v>
      </c>
      <c r="D6" s="277"/>
      <c r="E6" s="277"/>
      <c r="F6" s="277" t="s">
        <v>48</v>
      </c>
      <c r="G6" s="277"/>
      <c r="H6" s="286" t="s">
        <v>369</v>
      </c>
      <c r="I6" s="277"/>
      <c r="J6" s="287">
        <v>5979888457.3177328</v>
      </c>
    </row>
    <row r="7" spans="1:10" x14ac:dyDescent="0.2">
      <c r="A7" s="285">
        <f>A6+1</f>
        <v>2</v>
      </c>
      <c r="B7" s="277"/>
      <c r="C7" s="286" t="s">
        <v>49</v>
      </c>
      <c r="D7" s="277"/>
      <c r="E7" s="277"/>
      <c r="F7" s="277" t="s">
        <v>50</v>
      </c>
      <c r="G7" s="277"/>
      <c r="H7" s="286" t="s">
        <v>370</v>
      </c>
      <c r="I7" s="277"/>
      <c r="J7" s="287">
        <v>243598922.46867159</v>
      </c>
    </row>
    <row r="8" spans="1:10" x14ac:dyDescent="0.2">
      <c r="A8" s="285">
        <f>A7+1</f>
        <v>3</v>
      </c>
      <c r="B8" s="277"/>
      <c r="C8" s="286" t="s">
        <v>51</v>
      </c>
      <c r="D8" s="277"/>
      <c r="E8" s="277"/>
      <c r="F8" s="277" t="s">
        <v>50</v>
      </c>
      <c r="G8" s="277"/>
      <c r="H8" s="277" t="s">
        <v>371</v>
      </c>
      <c r="I8" s="277"/>
      <c r="J8" s="287">
        <v>9942155</v>
      </c>
    </row>
    <row r="9" spans="1:10" x14ac:dyDescent="0.2">
      <c r="A9" s="285">
        <f>A8+1</f>
        <v>4</v>
      </c>
      <c r="B9" s="277"/>
      <c r="C9" s="286" t="s">
        <v>52</v>
      </c>
      <c r="D9" s="277"/>
      <c r="E9" s="277"/>
      <c r="F9" s="277" t="s">
        <v>50</v>
      </c>
      <c r="G9" s="277"/>
      <c r="H9" s="288" t="s">
        <v>372</v>
      </c>
      <c r="I9" s="277"/>
      <c r="J9" s="287">
        <v>7222500</v>
      </c>
    </row>
    <row r="10" spans="1:10" x14ac:dyDescent="0.2">
      <c r="A10" s="285"/>
      <c r="B10" s="277"/>
      <c r="C10" s="286"/>
      <c r="D10" s="277"/>
      <c r="E10" s="277"/>
      <c r="F10" s="277"/>
      <c r="G10" s="277"/>
      <c r="H10" s="277"/>
      <c r="I10" s="277"/>
      <c r="J10" s="287"/>
    </row>
    <row r="11" spans="1:10" x14ac:dyDescent="0.2">
      <c r="A11" s="285"/>
      <c r="B11" s="277"/>
      <c r="C11" s="289" t="s">
        <v>53</v>
      </c>
      <c r="D11" s="277"/>
      <c r="E11" s="277"/>
      <c r="F11" s="277"/>
      <c r="G11" s="277"/>
      <c r="H11" s="277"/>
      <c r="I11" s="277"/>
      <c r="J11" s="287"/>
    </row>
    <row r="12" spans="1:10" x14ac:dyDescent="0.2">
      <c r="A12" s="285">
        <f>A9+1</f>
        <v>5</v>
      </c>
      <c r="B12" s="277"/>
      <c r="C12" s="290" t="s">
        <v>54</v>
      </c>
      <c r="D12" s="277"/>
      <c r="E12" s="277"/>
      <c r="F12" s="277" t="s">
        <v>48</v>
      </c>
      <c r="G12" s="277"/>
      <c r="H12" s="286" t="s">
        <v>373</v>
      </c>
      <c r="I12" s="277"/>
      <c r="J12" s="287">
        <v>13943379.046601135</v>
      </c>
    </row>
    <row r="13" spans="1:10" x14ac:dyDescent="0.2">
      <c r="A13" s="285">
        <f>A12+1</f>
        <v>6</v>
      </c>
      <c r="B13" s="277"/>
      <c r="C13" s="291" t="s">
        <v>55</v>
      </c>
      <c r="D13" s="277"/>
      <c r="E13" s="277"/>
      <c r="F13" s="277" t="s">
        <v>48</v>
      </c>
      <c r="G13" s="277"/>
      <c r="H13" s="286" t="s">
        <v>374</v>
      </c>
      <c r="I13" s="277"/>
      <c r="J13" s="287">
        <v>4001800.8571300535</v>
      </c>
    </row>
    <row r="14" spans="1:10" x14ac:dyDescent="0.2">
      <c r="A14" s="285">
        <f>A13+1</f>
        <v>7</v>
      </c>
      <c r="B14" s="277"/>
      <c r="C14" s="290" t="s">
        <v>56</v>
      </c>
      <c r="D14" s="277"/>
      <c r="E14" s="277"/>
      <c r="F14" s="288" t="s">
        <v>57</v>
      </c>
      <c r="G14" s="277"/>
      <c r="H14" s="277" t="s">
        <v>375</v>
      </c>
      <c r="I14" s="277"/>
      <c r="J14" s="292">
        <v>8938801.5053125117</v>
      </c>
    </row>
    <row r="15" spans="1:10" x14ac:dyDescent="0.2">
      <c r="A15" s="285">
        <f>A14+1</f>
        <v>8</v>
      </c>
      <c r="B15" s="277"/>
      <c r="C15" s="290" t="s">
        <v>58</v>
      </c>
      <c r="D15" s="277"/>
      <c r="E15" s="277"/>
      <c r="F15" s="277"/>
      <c r="G15" s="277"/>
      <c r="H15" s="277" t="str">
        <f>"Line "&amp;A12&amp;" + Line "&amp;A13&amp;" + Line "&amp;A14&amp;""</f>
        <v>Line 5 + Line 6 + Line 7</v>
      </c>
      <c r="I15" s="277"/>
      <c r="J15" s="293">
        <f>SUM(J12:J14)</f>
        <v>26883981.4090437</v>
      </c>
    </row>
    <row r="16" spans="1:10" x14ac:dyDescent="0.2">
      <c r="A16" s="285"/>
      <c r="B16" s="277"/>
      <c r="C16" s="290"/>
      <c r="D16" s="277"/>
      <c r="E16" s="277"/>
      <c r="F16" s="277"/>
      <c r="G16" s="277"/>
      <c r="H16" s="277"/>
      <c r="I16" s="277"/>
      <c r="J16" s="287"/>
    </row>
    <row r="17" spans="1:10" x14ac:dyDescent="0.2">
      <c r="A17" s="285"/>
      <c r="B17" s="277"/>
      <c r="C17" s="294" t="s">
        <v>59</v>
      </c>
      <c r="D17" s="277"/>
      <c r="E17" s="277"/>
      <c r="F17" s="277"/>
      <c r="G17" s="277"/>
      <c r="H17" s="277"/>
      <c r="I17" s="277"/>
      <c r="J17" s="287"/>
    </row>
    <row r="18" spans="1:10" x14ac:dyDescent="0.2">
      <c r="A18" s="285">
        <f>A15+1</f>
        <v>9</v>
      </c>
      <c r="B18" s="277"/>
      <c r="C18" s="290" t="s">
        <v>60</v>
      </c>
      <c r="D18" s="277"/>
      <c r="E18" s="277"/>
      <c r="F18" s="277" t="s">
        <v>48</v>
      </c>
      <c r="G18" s="277" t="s">
        <v>61</v>
      </c>
      <c r="H18" s="286" t="s">
        <v>392</v>
      </c>
      <c r="I18" s="277"/>
      <c r="J18" s="287">
        <v>-1118330473.8159039</v>
      </c>
    </row>
    <row r="19" spans="1:10" x14ac:dyDescent="0.2">
      <c r="A19" s="285">
        <f>A18+1</f>
        <v>10</v>
      </c>
      <c r="B19" s="277"/>
      <c r="C19" s="290" t="s">
        <v>62</v>
      </c>
      <c r="D19" s="277"/>
      <c r="E19" s="277"/>
      <c r="F19" s="277" t="s">
        <v>50</v>
      </c>
      <c r="G19" s="277" t="s">
        <v>61</v>
      </c>
      <c r="H19" s="286" t="s">
        <v>393</v>
      </c>
      <c r="I19" s="277"/>
      <c r="J19" s="287">
        <v>0</v>
      </c>
    </row>
    <row r="20" spans="1:10" x14ac:dyDescent="0.2">
      <c r="A20" s="285">
        <f>A19+1</f>
        <v>11</v>
      </c>
      <c r="B20" s="277"/>
      <c r="C20" s="290" t="s">
        <v>63</v>
      </c>
      <c r="D20" s="51"/>
      <c r="E20" s="277"/>
      <c r="F20" s="277" t="s">
        <v>50</v>
      </c>
      <c r="G20" s="277" t="s">
        <v>61</v>
      </c>
      <c r="H20" s="286" t="s">
        <v>394</v>
      </c>
      <c r="I20" s="277"/>
      <c r="J20" s="295">
        <v>-100367095.90861119</v>
      </c>
    </row>
    <row r="21" spans="1:10" x14ac:dyDescent="0.2">
      <c r="A21" s="285">
        <f>A20+1</f>
        <v>12</v>
      </c>
      <c r="B21" s="277"/>
      <c r="C21" s="52" t="s">
        <v>64</v>
      </c>
      <c r="D21" s="51"/>
      <c r="E21" s="277"/>
      <c r="F21" s="277"/>
      <c r="G21" s="277"/>
      <c r="H21" s="277" t="str">
        <f>"Line "&amp;A18&amp;" + Line "&amp;A19&amp;" + Line "&amp;A20&amp;""</f>
        <v>Line 9 + Line 10 + Line 11</v>
      </c>
      <c r="I21" s="277"/>
      <c r="J21" s="287">
        <f>SUM(J18:J20)</f>
        <v>-1218697569.7245152</v>
      </c>
    </row>
    <row r="22" spans="1:10" x14ac:dyDescent="0.2">
      <c r="A22" s="285"/>
      <c r="B22" s="277"/>
      <c r="C22" s="288"/>
      <c r="D22" s="277"/>
      <c r="E22" s="277"/>
      <c r="F22" s="277"/>
      <c r="G22" s="277"/>
      <c r="H22" s="277"/>
      <c r="I22" s="277"/>
      <c r="J22" s="287"/>
    </row>
    <row r="23" spans="1:10" x14ac:dyDescent="0.2">
      <c r="A23" s="285">
        <f>A21+1</f>
        <v>13</v>
      </c>
      <c r="B23" s="277"/>
      <c r="C23" s="296" t="s">
        <v>65</v>
      </c>
      <c r="D23" s="277"/>
      <c r="E23" s="277"/>
      <c r="F23" s="277" t="s">
        <v>50</v>
      </c>
      <c r="G23" s="277"/>
      <c r="H23" s="286" t="s">
        <v>395</v>
      </c>
      <c r="I23" s="277"/>
      <c r="J23" s="287">
        <v>-1123799950.1184981</v>
      </c>
    </row>
    <row r="24" spans="1:10" x14ac:dyDescent="0.2">
      <c r="A24" s="285">
        <f>A23+1</f>
        <v>14</v>
      </c>
      <c r="B24" s="277"/>
      <c r="C24" s="286" t="s">
        <v>66</v>
      </c>
      <c r="D24" s="277"/>
      <c r="E24" s="277"/>
      <c r="F24" s="277" t="s">
        <v>48</v>
      </c>
      <c r="G24" s="277"/>
      <c r="H24" s="286" t="s">
        <v>396</v>
      </c>
      <c r="I24" s="277"/>
      <c r="J24" s="287">
        <v>1012920131.8777215</v>
      </c>
    </row>
    <row r="25" spans="1:10" x14ac:dyDescent="0.2">
      <c r="A25" s="285">
        <f>A24+1</f>
        <v>15</v>
      </c>
      <c r="B25" s="277"/>
      <c r="C25" s="296" t="s">
        <v>67</v>
      </c>
      <c r="D25" s="277"/>
      <c r="E25" s="277"/>
      <c r="F25" s="277" t="s">
        <v>50</v>
      </c>
      <c r="G25" s="277" t="s">
        <v>61</v>
      </c>
      <c r="H25" s="286" t="s">
        <v>397</v>
      </c>
      <c r="I25" s="277"/>
      <c r="J25" s="287">
        <v>-39651975</v>
      </c>
    </row>
    <row r="26" spans="1:10" x14ac:dyDescent="0.2">
      <c r="A26" s="285" t="s">
        <v>68</v>
      </c>
      <c r="B26" s="277"/>
      <c r="C26" s="286" t="s">
        <v>69</v>
      </c>
      <c r="D26" s="277"/>
      <c r="E26" s="277"/>
      <c r="F26" s="277"/>
      <c r="G26" s="277"/>
      <c r="H26" s="288" t="s">
        <v>398</v>
      </c>
      <c r="I26" s="277"/>
      <c r="J26" s="287">
        <v>-14591061.21563641</v>
      </c>
    </row>
    <row r="27" spans="1:10" x14ac:dyDescent="0.2">
      <c r="A27" s="285">
        <v>16</v>
      </c>
      <c r="B27" s="277"/>
      <c r="C27" s="296" t="s">
        <v>70</v>
      </c>
      <c r="D27" s="277"/>
      <c r="E27" s="277"/>
      <c r="F27" s="277" t="s">
        <v>50</v>
      </c>
      <c r="G27" s="277"/>
      <c r="H27" s="286" t="s">
        <v>399</v>
      </c>
      <c r="I27" s="277"/>
      <c r="J27" s="287">
        <v>0</v>
      </c>
    </row>
    <row r="28" spans="1:10" x14ac:dyDescent="0.2">
      <c r="A28" s="285"/>
      <c r="B28" s="277"/>
      <c r="C28" s="296"/>
      <c r="D28" s="277"/>
      <c r="E28" s="277"/>
      <c r="F28" s="277"/>
      <c r="G28" s="277"/>
      <c r="H28" s="277"/>
      <c r="I28" s="277"/>
      <c r="J28" s="277"/>
    </row>
    <row r="29" spans="1:10" x14ac:dyDescent="0.2">
      <c r="A29" s="285">
        <v>17</v>
      </c>
      <c r="B29" s="277"/>
      <c r="C29" s="277" t="s">
        <v>71</v>
      </c>
      <c r="D29" s="277"/>
      <c r="E29" s="277"/>
      <c r="F29" s="277"/>
      <c r="G29" s="277"/>
      <c r="H29" s="277" t="str">
        <f>"L"&amp;A6&amp;"+L"&amp;A7&amp;"+L"&amp;A8&amp;"+L"&amp;A9&amp;"+L"&amp;A15&amp;"+L"&amp;A21&amp;"+"</f>
        <v>L1+L2+L3+L4+L8+L12+</v>
      </c>
      <c r="I29" s="277"/>
      <c r="J29" s="293">
        <f>J6+ J7+J8+J9+J15+J21+J23+J24+J25+J26+J27</f>
        <v>4883715592.0145206</v>
      </c>
    </row>
    <row r="30" spans="1:10" x14ac:dyDescent="0.2">
      <c r="A30" s="285"/>
      <c r="B30" s="277"/>
      <c r="C30" s="277"/>
      <c r="D30" s="277"/>
      <c r="E30" s="277"/>
      <c r="F30" s="277"/>
      <c r="G30" s="277"/>
      <c r="H30" s="277" t="str">
        <f>"L"&amp;A23&amp;"+L"&amp;A24&amp;"+L"&amp;A25&amp;"+L"&amp;A26&amp;"+L"&amp;A27&amp;""</f>
        <v>L13+L14+L15+L15a+L16</v>
      </c>
      <c r="I30" s="277"/>
      <c r="J30" s="287"/>
    </row>
    <row r="31" spans="1:10" x14ac:dyDescent="0.2">
      <c r="A31" s="285"/>
      <c r="B31" s="297" t="s">
        <v>72</v>
      </c>
      <c r="D31" s="277"/>
      <c r="E31" s="277"/>
      <c r="F31" s="277"/>
      <c r="G31" s="277"/>
      <c r="H31" s="277"/>
      <c r="I31" s="277"/>
      <c r="J31" s="287"/>
    </row>
    <row r="32" spans="1:10" x14ac:dyDescent="0.2">
      <c r="A32" s="298" t="s">
        <v>42</v>
      </c>
      <c r="B32" s="277"/>
      <c r="C32" s="297"/>
      <c r="D32" s="277"/>
      <c r="E32" s="277"/>
      <c r="F32" s="277"/>
      <c r="G32" s="277"/>
      <c r="H32" s="277"/>
      <c r="I32" s="277"/>
      <c r="J32" s="287"/>
    </row>
    <row r="33" spans="1:10" x14ac:dyDescent="0.2">
      <c r="A33" s="285">
        <f>A29+1</f>
        <v>18</v>
      </c>
      <c r="B33" s="277"/>
      <c r="C33" s="277" t="s">
        <v>73</v>
      </c>
      <c r="D33" s="277"/>
      <c r="E33" s="277"/>
      <c r="F33" s="277"/>
      <c r="G33" s="288" t="s">
        <v>74</v>
      </c>
      <c r="H33" s="288" t="str">
        <f>"Instruction 1, Line "&amp;B98&amp;""</f>
        <v>Instruction 1, Line j</v>
      </c>
      <c r="I33" s="277"/>
      <c r="J33" s="299">
        <f>E98</f>
        <v>7.3018395072611403E-2</v>
      </c>
    </row>
    <row r="34" spans="1:10" x14ac:dyDescent="0.2">
      <c r="A34" s="280">
        <f>A33+1</f>
        <v>19</v>
      </c>
      <c r="C34" s="288" t="s">
        <v>75</v>
      </c>
      <c r="D34" s="288"/>
      <c r="E34" s="288"/>
      <c r="F34" s="288"/>
      <c r="G34" s="288"/>
      <c r="H34" t="str">
        <f>"Line "&amp;A29&amp;" * Line "&amp;A33&amp;""</f>
        <v>Line 17 * Line 18</v>
      </c>
      <c r="J34" s="300">
        <f>J29*J33</f>
        <v>356601074.51998854</v>
      </c>
    </row>
    <row r="35" spans="1:10" x14ac:dyDescent="0.2">
      <c r="A35" s="280"/>
      <c r="B35" s="282"/>
      <c r="J35" s="277"/>
    </row>
    <row r="36" spans="1:10" x14ac:dyDescent="0.2">
      <c r="A36" s="280"/>
      <c r="B36" s="276" t="s">
        <v>76</v>
      </c>
      <c r="J36" s="277"/>
    </row>
    <row r="37" spans="1:10" x14ac:dyDescent="0.2">
      <c r="A37" s="285"/>
      <c r="B37" s="291"/>
      <c r="C37" s="277"/>
      <c r="D37" s="277"/>
      <c r="E37" s="277"/>
      <c r="F37" s="277"/>
      <c r="G37" s="277"/>
      <c r="H37" s="277"/>
      <c r="I37" s="277"/>
      <c r="J37" s="277"/>
    </row>
    <row r="38" spans="1:10" x14ac:dyDescent="0.2">
      <c r="A38" s="285">
        <f>A34+1</f>
        <v>20</v>
      </c>
      <c r="B38" s="277"/>
      <c r="C38" s="288" t="s">
        <v>77</v>
      </c>
      <c r="D38" s="277"/>
      <c r="E38" s="277"/>
      <c r="F38" s="277"/>
      <c r="G38" s="277"/>
      <c r="H38" s="277"/>
      <c r="I38" s="277"/>
      <c r="J38" s="293">
        <f>(((J29*J42) + J45) *(J43/(1-J43)))+(J44/(1-J43))</f>
        <v>176545590.29900044</v>
      </c>
    </row>
    <row r="39" spans="1:10" x14ac:dyDescent="0.2">
      <c r="A39" s="285"/>
      <c r="B39" s="277"/>
      <c r="C39" s="277"/>
      <c r="D39" s="277"/>
      <c r="E39" s="277"/>
      <c r="F39" s="277"/>
      <c r="G39" s="277"/>
      <c r="H39" s="277"/>
      <c r="I39" s="277"/>
      <c r="J39" s="288"/>
    </row>
    <row r="40" spans="1:10" x14ac:dyDescent="0.2">
      <c r="A40" s="285"/>
      <c r="B40" s="277"/>
      <c r="C40" s="277"/>
      <c r="D40" s="277" t="s">
        <v>78</v>
      </c>
      <c r="E40" s="277"/>
      <c r="F40" s="277"/>
      <c r="G40" s="277"/>
      <c r="H40" s="277"/>
      <c r="I40" s="277"/>
      <c r="J40" s="277"/>
    </row>
    <row r="41" spans="1:10" x14ac:dyDescent="0.2">
      <c r="A41" s="285">
        <f>A38+1</f>
        <v>21</v>
      </c>
      <c r="B41" s="277"/>
      <c r="C41" s="277"/>
      <c r="D41" s="291" t="s">
        <v>79</v>
      </c>
      <c r="E41" s="277"/>
      <c r="F41" s="277"/>
      <c r="G41" s="277"/>
      <c r="H41" s="277" t="str">
        <f>"Line "&amp;A29&amp;""</f>
        <v>Line 17</v>
      </c>
      <c r="I41" s="277"/>
      <c r="J41" s="293">
        <f>J29</f>
        <v>4883715592.0145206</v>
      </c>
    </row>
    <row r="42" spans="1:10" x14ac:dyDescent="0.2">
      <c r="A42" s="285">
        <f>A41+1</f>
        <v>22</v>
      </c>
      <c r="B42" s="277"/>
      <c r="C42" s="277"/>
      <c r="D42" s="290" t="s">
        <v>80</v>
      </c>
      <c r="E42" s="277"/>
      <c r="F42" s="277"/>
      <c r="G42" s="288" t="s">
        <v>81</v>
      </c>
      <c r="H42" s="288" t="str">
        <f>"Instruction 1, Line "&amp;B103&amp;""</f>
        <v>Instruction 1, Line k</v>
      </c>
      <c r="I42" s="277"/>
      <c r="J42" s="301">
        <f>E103</f>
        <v>5.0982689182782093E-2</v>
      </c>
    </row>
    <row r="43" spans="1:10" x14ac:dyDescent="0.2">
      <c r="A43" s="285">
        <f>A42+1</f>
        <v>23</v>
      </c>
      <c r="B43" s="277"/>
      <c r="C43" s="277"/>
      <c r="D43" s="291" t="s">
        <v>82</v>
      </c>
      <c r="E43" s="277"/>
      <c r="F43" s="277"/>
      <c r="G43" s="277"/>
      <c r="H43" s="277" t="s">
        <v>376</v>
      </c>
      <c r="I43" s="277"/>
      <c r="J43" s="301">
        <v>0.40755937049510305</v>
      </c>
    </row>
    <row r="44" spans="1:10" x14ac:dyDescent="0.2">
      <c r="A44" s="285">
        <f>A43+1</f>
        <v>24</v>
      </c>
      <c r="B44" s="277"/>
      <c r="C44" s="277"/>
      <c r="D44" s="291" t="s">
        <v>83</v>
      </c>
      <c r="E44" s="277"/>
      <c r="F44" s="277"/>
      <c r="G44" s="277"/>
      <c r="H44" s="277" t="s">
        <v>377</v>
      </c>
      <c r="I44" s="277"/>
      <c r="J44" s="287">
        <v>2086200</v>
      </c>
    </row>
    <row r="45" spans="1:10" x14ac:dyDescent="0.2">
      <c r="A45" s="285">
        <f>A44+1</f>
        <v>25</v>
      </c>
      <c r="B45" s="277"/>
      <c r="C45" s="277"/>
      <c r="D45" s="291" t="s">
        <v>84</v>
      </c>
      <c r="E45" s="277"/>
      <c r="F45" s="277"/>
      <c r="G45" s="277"/>
      <c r="H45" s="277" t="s">
        <v>378</v>
      </c>
      <c r="I45" s="277"/>
      <c r="J45" s="302">
        <v>2528293</v>
      </c>
    </row>
    <row r="46" spans="1:10" x14ac:dyDescent="0.2">
      <c r="A46" s="285"/>
      <c r="B46" s="291"/>
      <c r="C46" s="277"/>
      <c r="D46" s="277"/>
      <c r="E46" s="277"/>
      <c r="F46" s="277"/>
      <c r="G46" s="277"/>
      <c r="H46" s="277"/>
      <c r="I46" s="277"/>
      <c r="J46" s="277"/>
    </row>
    <row r="47" spans="1:10" x14ac:dyDescent="0.2">
      <c r="A47" s="285"/>
      <c r="B47" s="297" t="s">
        <v>85</v>
      </c>
      <c r="D47" s="277"/>
      <c r="E47" s="277"/>
      <c r="F47" s="277"/>
      <c r="G47" s="277"/>
      <c r="H47" s="277"/>
      <c r="I47" s="277"/>
      <c r="J47" s="277"/>
    </row>
    <row r="48" spans="1:10" x14ac:dyDescent="0.2">
      <c r="A48" s="285">
        <f>A45+1</f>
        <v>26</v>
      </c>
      <c r="B48" s="291"/>
      <c r="C48" s="277" t="s">
        <v>86</v>
      </c>
      <c r="D48" s="277"/>
      <c r="E48" s="277"/>
      <c r="F48" s="277"/>
      <c r="G48" s="277"/>
      <c r="H48" s="277" t="s">
        <v>379</v>
      </c>
      <c r="I48" s="277"/>
      <c r="J48" s="287">
        <v>93525416.355785295</v>
      </c>
    </row>
    <row r="49" spans="1:10" x14ac:dyDescent="0.2">
      <c r="A49" s="285">
        <f t="shared" ref="A49:A60" si="0">A48+1</f>
        <v>27</v>
      </c>
      <c r="B49" s="291"/>
      <c r="C49" s="288" t="s">
        <v>87</v>
      </c>
      <c r="D49" s="277"/>
      <c r="E49" s="277"/>
      <c r="F49" s="277"/>
      <c r="G49" s="277"/>
      <c r="H49" s="277" t="s">
        <v>380</v>
      </c>
      <c r="I49" s="277"/>
      <c r="J49" s="293">
        <v>49495407.729214884</v>
      </c>
    </row>
    <row r="50" spans="1:10" x14ac:dyDescent="0.2">
      <c r="A50" s="303" t="s">
        <v>159</v>
      </c>
      <c r="B50" s="304"/>
      <c r="C50" s="305" t="s">
        <v>160</v>
      </c>
      <c r="D50" s="306"/>
      <c r="E50" s="306"/>
      <c r="F50" s="306"/>
      <c r="G50" s="306"/>
      <c r="H50" s="306" t="s">
        <v>404</v>
      </c>
      <c r="I50" s="306"/>
      <c r="J50" s="307">
        <v>-1420456.486324721</v>
      </c>
    </row>
    <row r="51" spans="1:10" x14ac:dyDescent="0.2">
      <c r="A51" s="285">
        <f>A49+1</f>
        <v>28</v>
      </c>
      <c r="B51" s="291"/>
      <c r="C51" s="277" t="s">
        <v>88</v>
      </c>
      <c r="D51" s="277"/>
      <c r="E51" s="277"/>
      <c r="F51" s="277"/>
      <c r="G51" s="277"/>
      <c r="H51" s="277" t="s">
        <v>381</v>
      </c>
      <c r="I51" s="277"/>
      <c r="J51" s="287">
        <v>1555832</v>
      </c>
    </row>
    <row r="52" spans="1:10" x14ac:dyDescent="0.2">
      <c r="A52" s="285">
        <f t="shared" si="0"/>
        <v>29</v>
      </c>
      <c r="B52" s="291"/>
      <c r="C52" s="288" t="s">
        <v>89</v>
      </c>
      <c r="D52" s="277"/>
      <c r="E52" s="277"/>
      <c r="F52" s="277"/>
      <c r="G52" s="277"/>
      <c r="H52" s="277" t="s">
        <v>382</v>
      </c>
      <c r="I52" s="277"/>
      <c r="J52" s="287">
        <v>175404996.76993448</v>
      </c>
    </row>
    <row r="53" spans="1:10" x14ac:dyDescent="0.2">
      <c r="A53" s="285">
        <f t="shared" si="0"/>
        <v>30</v>
      </c>
      <c r="B53" s="291"/>
      <c r="C53" s="288" t="s">
        <v>90</v>
      </c>
      <c r="D53" s="277"/>
      <c r="E53" s="277"/>
      <c r="F53" s="277"/>
      <c r="G53" s="277"/>
      <c r="H53" s="277" t="s">
        <v>383</v>
      </c>
      <c r="I53" s="277"/>
      <c r="J53" s="287">
        <v>14445000</v>
      </c>
    </row>
    <row r="54" spans="1:10" x14ac:dyDescent="0.2">
      <c r="A54" s="285">
        <f t="shared" si="0"/>
        <v>31</v>
      </c>
      <c r="B54" s="291"/>
      <c r="C54" s="288" t="s">
        <v>91</v>
      </c>
      <c r="D54" s="277"/>
      <c r="E54" s="277"/>
      <c r="F54" s="277"/>
      <c r="G54" s="277"/>
      <c r="H54" s="277" t="s">
        <v>384</v>
      </c>
      <c r="I54" s="277"/>
      <c r="J54" s="287">
        <v>46990262.678897277</v>
      </c>
    </row>
    <row r="55" spans="1:10" x14ac:dyDescent="0.2">
      <c r="A55" s="285">
        <f t="shared" si="0"/>
        <v>32</v>
      </c>
      <c r="B55" s="291"/>
      <c r="C55" s="277" t="s">
        <v>92</v>
      </c>
      <c r="D55" s="277"/>
      <c r="E55" s="277"/>
      <c r="F55" s="277"/>
      <c r="G55" s="288"/>
      <c r="H55" s="277" t="s">
        <v>385</v>
      </c>
      <c r="I55" s="277"/>
      <c r="J55" s="287">
        <v>-52513435.684500799</v>
      </c>
    </row>
    <row r="56" spans="1:10" x14ac:dyDescent="0.2">
      <c r="A56" s="285">
        <f t="shared" si="0"/>
        <v>33</v>
      </c>
      <c r="B56" s="291"/>
      <c r="C56" s="277" t="s">
        <v>93</v>
      </c>
      <c r="D56" s="277"/>
      <c r="E56" s="277"/>
      <c r="F56" s="277"/>
      <c r="G56" s="277"/>
      <c r="H56" s="277" t="str">
        <f>"Line "&amp;A34&amp;""</f>
        <v>Line 19</v>
      </c>
      <c r="I56" s="277"/>
      <c r="J56" s="293">
        <f>J34</f>
        <v>356601074.51998854</v>
      </c>
    </row>
    <row r="57" spans="1:10" x14ac:dyDescent="0.2">
      <c r="A57" s="285">
        <f t="shared" si="0"/>
        <v>34</v>
      </c>
      <c r="B57" s="291"/>
      <c r="C57" s="277" t="s">
        <v>94</v>
      </c>
      <c r="D57" s="277"/>
      <c r="E57" s="277"/>
      <c r="F57" s="277"/>
      <c r="G57" s="277"/>
      <c r="H57" s="277" t="str">
        <f>"Line "&amp;A38&amp;""</f>
        <v>Line 20</v>
      </c>
      <c r="I57" s="277"/>
      <c r="J57" s="300">
        <f>J38</f>
        <v>176545590.29900044</v>
      </c>
    </row>
    <row r="58" spans="1:10" x14ac:dyDescent="0.2">
      <c r="A58" s="285">
        <f t="shared" si="0"/>
        <v>35</v>
      </c>
      <c r="B58" s="291"/>
      <c r="C58" s="288" t="s">
        <v>95</v>
      </c>
      <c r="D58" s="277"/>
      <c r="E58" s="277"/>
      <c r="F58" s="277"/>
      <c r="G58" s="277"/>
      <c r="H58" s="277" t="s">
        <v>386</v>
      </c>
      <c r="I58" s="277"/>
      <c r="J58" s="302">
        <v>0</v>
      </c>
    </row>
    <row r="59" spans="1:10" x14ac:dyDescent="0.2">
      <c r="A59" s="285">
        <f t="shared" si="0"/>
        <v>36</v>
      </c>
      <c r="B59" s="291"/>
      <c r="C59" s="53" t="s">
        <v>96</v>
      </c>
      <c r="D59" s="54"/>
      <c r="E59" s="277"/>
      <c r="F59" s="277"/>
      <c r="G59" s="277"/>
      <c r="H59" s="277" t="s">
        <v>387</v>
      </c>
      <c r="I59" s="277"/>
      <c r="J59" s="295">
        <v>0</v>
      </c>
    </row>
    <row r="60" spans="1:10" x14ac:dyDescent="0.2">
      <c r="A60" s="285">
        <f t="shared" si="0"/>
        <v>37</v>
      </c>
      <c r="B60" s="291"/>
      <c r="C60" s="288" t="s">
        <v>97</v>
      </c>
      <c r="D60" s="277"/>
      <c r="E60" s="277"/>
      <c r="F60" s="277"/>
      <c r="G60" s="277"/>
      <c r="H60" s="277" t="str">
        <f>"Sum Line "&amp;A48&amp;" to Line "&amp;A59&amp;""</f>
        <v>Sum Line 26 to Line 36</v>
      </c>
      <c r="I60" s="277"/>
      <c r="J60" s="308">
        <f>SUM(J48:J59)</f>
        <v>860629688.18199539</v>
      </c>
    </row>
    <row r="61" spans="1:10" x14ac:dyDescent="0.2">
      <c r="A61" s="285"/>
      <c r="B61" s="291"/>
      <c r="C61" s="277"/>
      <c r="D61" s="277"/>
      <c r="E61" s="277"/>
      <c r="F61" s="277"/>
      <c r="G61" s="277"/>
      <c r="H61" s="277"/>
      <c r="I61" s="277"/>
      <c r="J61" s="287"/>
    </row>
    <row r="62" spans="1:10" ht="12.75" customHeight="1" x14ac:dyDescent="0.2">
      <c r="A62" s="285">
        <f>A60+1</f>
        <v>38</v>
      </c>
      <c r="B62" s="291"/>
      <c r="C62" s="288" t="s">
        <v>98</v>
      </c>
      <c r="D62" s="277"/>
      <c r="E62" s="277"/>
      <c r="F62" s="277"/>
      <c r="G62" s="277"/>
      <c r="H62" s="277" t="s">
        <v>400</v>
      </c>
      <c r="I62" s="277"/>
      <c r="J62" s="287">
        <v>29535537.20200967</v>
      </c>
    </row>
    <row r="63" spans="1:10" x14ac:dyDescent="0.2">
      <c r="A63" s="285"/>
      <c r="B63" s="291"/>
      <c r="C63" s="288"/>
      <c r="D63" s="277"/>
      <c r="E63" s="277"/>
      <c r="F63" s="277"/>
      <c r="G63" s="277"/>
      <c r="H63" s="277"/>
      <c r="I63" s="277"/>
      <c r="J63" s="287"/>
    </row>
    <row r="64" spans="1:10" x14ac:dyDescent="0.2">
      <c r="A64" s="285">
        <f>A62+1</f>
        <v>39</v>
      </c>
      <c r="B64" s="291"/>
      <c r="C64" s="288" t="s">
        <v>99</v>
      </c>
      <c r="D64" s="277"/>
      <c r="E64" s="277"/>
      <c r="F64" s="277"/>
      <c r="G64" s="277"/>
      <c r="H64" s="277" t="str">
        <f>"Line "&amp;A60&amp;" + Line "&amp;A62&amp;""</f>
        <v>Line 37 + Line 38</v>
      </c>
      <c r="I64" s="277"/>
      <c r="J64" s="293">
        <f>J60+J62</f>
        <v>890165225.38400507</v>
      </c>
    </row>
    <row r="65" spans="1:13" x14ac:dyDescent="0.2">
      <c r="A65" s="285"/>
      <c r="B65" s="291"/>
      <c r="C65" s="288"/>
      <c r="D65" s="277"/>
      <c r="E65" s="277"/>
      <c r="F65" s="277"/>
      <c r="G65" s="277"/>
      <c r="H65" s="277"/>
      <c r="I65" s="277"/>
      <c r="J65" s="287"/>
    </row>
    <row r="66" spans="1:13" x14ac:dyDescent="0.2">
      <c r="A66" s="285"/>
      <c r="B66" s="309" t="s">
        <v>100</v>
      </c>
      <c r="C66" s="288"/>
      <c r="D66" s="277"/>
      <c r="E66" s="277"/>
      <c r="F66" s="277"/>
      <c r="G66" s="277"/>
      <c r="H66" s="277"/>
      <c r="I66" s="277"/>
      <c r="J66" s="287"/>
    </row>
    <row r="67" spans="1:13" ht="13.5" thickBot="1" x14ac:dyDescent="0.25">
      <c r="A67" s="281" t="s">
        <v>42</v>
      </c>
      <c r="B67" s="310"/>
      <c r="G67" s="283" t="s">
        <v>101</v>
      </c>
    </row>
    <row r="68" spans="1:13" x14ac:dyDescent="0.2">
      <c r="A68" s="285">
        <f>A64+1</f>
        <v>40</v>
      </c>
      <c r="B68" s="296"/>
      <c r="C68" s="277"/>
      <c r="D68" s="311" t="s">
        <v>102</v>
      </c>
      <c r="E68" s="293">
        <f>J64</f>
        <v>890165225.38400507</v>
      </c>
      <c r="F68" s="277"/>
      <c r="G68" s="277" t="str">
        <f>"Line "&amp;A64&amp;""</f>
        <v>Line 39</v>
      </c>
      <c r="H68" s="277"/>
      <c r="I68" s="277"/>
      <c r="J68" s="312" t="s">
        <v>103</v>
      </c>
      <c r="L68" s="384"/>
    </row>
    <row r="69" spans="1:13" x14ac:dyDescent="0.2">
      <c r="A69" s="285">
        <f>A68+1</f>
        <v>41</v>
      </c>
      <c r="B69" s="296"/>
      <c r="C69" s="277"/>
      <c r="D69" s="311" t="s">
        <v>104</v>
      </c>
      <c r="E69" s="313">
        <v>9.1427999999999995E-3</v>
      </c>
      <c r="F69" s="277"/>
      <c r="G69" s="277" t="s">
        <v>401</v>
      </c>
      <c r="H69" s="277"/>
      <c r="I69" s="277"/>
      <c r="J69" s="314" t="s">
        <v>293</v>
      </c>
      <c r="L69" s="385"/>
      <c r="M69" s="338"/>
    </row>
    <row r="70" spans="1:13" x14ac:dyDescent="0.2">
      <c r="A70" s="285">
        <f>A69+1</f>
        <v>42</v>
      </c>
      <c r="B70" s="296"/>
      <c r="C70" s="277"/>
      <c r="D70" s="316" t="s">
        <v>105</v>
      </c>
      <c r="E70" s="293">
        <v>8138602.6226408808</v>
      </c>
      <c r="F70" s="277"/>
      <c r="G70" s="277" t="str">
        <f>"Line "&amp;A68&amp;" * Line "&amp;A69&amp;""</f>
        <v>Line 40 * Line 41</v>
      </c>
      <c r="H70" s="277"/>
      <c r="I70" s="277"/>
      <c r="J70" s="317">
        <f>E73</f>
        <v>900132405.41262972</v>
      </c>
      <c r="L70" s="386"/>
      <c r="M70" s="338"/>
    </row>
    <row r="71" spans="1:13" x14ac:dyDescent="0.2">
      <c r="A71" s="285">
        <f>A70+1</f>
        <v>43</v>
      </c>
      <c r="B71" s="296"/>
      <c r="C71" s="277"/>
      <c r="D71" s="311" t="s">
        <v>106</v>
      </c>
      <c r="E71" s="313">
        <v>2.0541999999999999E-3</v>
      </c>
      <c r="F71" s="277"/>
      <c r="G71" s="277" t="s">
        <v>401</v>
      </c>
      <c r="H71" s="277"/>
      <c r="I71" s="277"/>
      <c r="J71" s="318">
        <v>900334913.33367372</v>
      </c>
      <c r="L71" s="184"/>
      <c r="M71" s="338"/>
    </row>
    <row r="72" spans="1:13" ht="13.5" thickBot="1" x14ac:dyDescent="0.25">
      <c r="A72" s="285">
        <f>A71+1</f>
        <v>44</v>
      </c>
      <c r="B72" s="296"/>
      <c r="C72" s="277"/>
      <c r="D72" s="311" t="s">
        <v>107</v>
      </c>
      <c r="E72" s="293">
        <v>1828577.4059838231</v>
      </c>
      <c r="F72" s="277"/>
      <c r="G72" s="277" t="str">
        <f>"Line "&amp;A70&amp;" * Line "&amp;A71&amp;""</f>
        <v>Line 42 * Line 43</v>
      </c>
      <c r="H72" s="277"/>
      <c r="I72" s="277"/>
      <c r="J72" s="319">
        <f>J70-J71</f>
        <v>-202507.92104399204</v>
      </c>
    </row>
    <row r="73" spans="1:13" x14ac:dyDescent="0.2">
      <c r="A73" s="285">
        <f>A72+1</f>
        <v>45</v>
      </c>
      <c r="B73" s="296"/>
      <c r="C73" s="277"/>
      <c r="D73" s="311" t="s">
        <v>108</v>
      </c>
      <c r="E73" s="293">
        <f>E68+E70+E72</f>
        <v>900132405.41262972</v>
      </c>
      <c r="F73" s="277"/>
      <c r="G73" s="277" t="str">
        <f>"L "&amp;A68&amp;" + L "&amp;A70&amp;" + L "&amp;A72&amp;""</f>
        <v>L 40 + L 42 + L 44</v>
      </c>
      <c r="H73" s="277"/>
      <c r="I73" s="277"/>
      <c r="J73" s="277"/>
    </row>
    <row r="74" spans="1:13" x14ac:dyDescent="0.2">
      <c r="A74" s="277"/>
      <c r="B74" s="320" t="s">
        <v>109</v>
      </c>
      <c r="C74" s="277"/>
      <c r="D74" s="316"/>
      <c r="E74" s="287"/>
      <c r="F74" s="277"/>
      <c r="G74" s="277"/>
      <c r="H74" s="55"/>
      <c r="I74" s="277"/>
      <c r="J74" s="277"/>
    </row>
    <row r="75" spans="1:13" x14ac:dyDescent="0.2">
      <c r="A75" s="285"/>
      <c r="B75" s="288" t="s">
        <v>110</v>
      </c>
      <c r="C75" s="309"/>
      <c r="D75" s="316"/>
      <c r="E75" s="287"/>
      <c r="F75" s="277"/>
      <c r="G75" s="277"/>
      <c r="H75" s="277"/>
      <c r="I75" s="277"/>
      <c r="J75" s="277"/>
    </row>
    <row r="76" spans="1:13" x14ac:dyDescent="0.2">
      <c r="A76" s="285"/>
      <c r="B76" s="288" t="s">
        <v>111</v>
      </c>
      <c r="C76" s="309"/>
      <c r="D76" s="316"/>
      <c r="E76" s="287"/>
      <c r="F76" s="277"/>
      <c r="G76" s="277"/>
      <c r="H76" s="277"/>
      <c r="I76" s="277"/>
      <c r="J76" s="277"/>
    </row>
    <row r="77" spans="1:13" x14ac:dyDescent="0.2">
      <c r="A77" s="285"/>
      <c r="B77" s="286" t="s">
        <v>112</v>
      </c>
      <c r="C77" s="288"/>
      <c r="D77" s="316"/>
      <c r="E77" s="287"/>
      <c r="F77" s="277"/>
      <c r="G77" s="277"/>
      <c r="H77" s="277"/>
      <c r="I77" s="277"/>
      <c r="J77" s="277"/>
    </row>
    <row r="78" spans="1:13" x14ac:dyDescent="0.2">
      <c r="A78" s="285"/>
      <c r="B78" s="286" t="s">
        <v>113</v>
      </c>
      <c r="C78" s="277"/>
      <c r="D78" s="316"/>
      <c r="E78" s="287"/>
      <c r="F78" s="277"/>
      <c r="G78" s="277"/>
      <c r="H78" s="277"/>
      <c r="I78" s="277"/>
      <c r="J78" s="277"/>
    </row>
    <row r="79" spans="1:13" x14ac:dyDescent="0.2">
      <c r="A79" s="285"/>
      <c r="B79" s="277"/>
      <c r="C79" s="277"/>
      <c r="D79" s="277"/>
      <c r="E79" s="277"/>
      <c r="F79" s="277"/>
      <c r="G79" s="277"/>
      <c r="H79" s="277"/>
      <c r="I79" s="277"/>
      <c r="J79" s="277"/>
    </row>
    <row r="80" spans="1:13" x14ac:dyDescent="0.2">
      <c r="A80" s="285"/>
      <c r="B80" s="288" t="s">
        <v>114</v>
      </c>
      <c r="C80" s="277"/>
      <c r="D80" s="277"/>
      <c r="E80" s="277"/>
      <c r="F80" s="277"/>
      <c r="G80" s="277"/>
      <c r="H80" s="277"/>
      <c r="I80" s="277"/>
      <c r="J80" s="277"/>
    </row>
    <row r="81" spans="1:12" x14ac:dyDescent="0.2">
      <c r="A81" s="285"/>
      <c r="B81" s="288"/>
      <c r="C81" s="288" t="s">
        <v>115</v>
      </c>
      <c r="D81" s="277"/>
      <c r="E81" s="277"/>
      <c r="F81" s="277"/>
      <c r="G81" s="277"/>
      <c r="H81" s="277"/>
      <c r="I81" s="277"/>
      <c r="J81" s="277"/>
    </row>
    <row r="82" spans="1:12" x14ac:dyDescent="0.2">
      <c r="A82" s="285"/>
      <c r="B82" s="288"/>
      <c r="C82" s="277"/>
      <c r="D82" s="277"/>
      <c r="E82" s="277"/>
      <c r="F82" s="277"/>
      <c r="G82" s="277"/>
      <c r="H82" s="277"/>
      <c r="I82" s="277"/>
      <c r="J82" s="285" t="s">
        <v>116</v>
      </c>
    </row>
    <row r="83" spans="1:12" x14ac:dyDescent="0.2">
      <c r="A83" s="285"/>
      <c r="B83" s="277"/>
      <c r="C83" s="277"/>
      <c r="D83" s="277"/>
      <c r="E83" s="321" t="s">
        <v>117</v>
      </c>
      <c r="F83" s="322" t="s">
        <v>101</v>
      </c>
      <c r="G83" s="321" t="s">
        <v>118</v>
      </c>
      <c r="H83" s="321" t="s">
        <v>119</v>
      </c>
      <c r="I83" s="277"/>
      <c r="J83" s="321" t="s">
        <v>120</v>
      </c>
    </row>
    <row r="84" spans="1:12" x14ac:dyDescent="0.2">
      <c r="B84" s="323" t="s">
        <v>121</v>
      </c>
      <c r="C84" s="288" t="s">
        <v>122</v>
      </c>
      <c r="D84" s="277"/>
      <c r="E84" s="324">
        <v>9.8000000000000004E-2</v>
      </c>
      <c r="F84" s="277" t="s">
        <v>388</v>
      </c>
      <c r="G84" s="325" t="s">
        <v>283</v>
      </c>
      <c r="H84" s="326" t="s">
        <v>284</v>
      </c>
      <c r="I84" s="288"/>
      <c r="J84" s="327">
        <v>365</v>
      </c>
      <c r="K84" s="288"/>
      <c r="L84" s="288"/>
    </row>
    <row r="85" spans="1:12" x14ac:dyDescent="0.2">
      <c r="B85" s="323" t="s">
        <v>123</v>
      </c>
      <c r="C85" s="288" t="s">
        <v>124</v>
      </c>
      <c r="D85" s="277"/>
      <c r="E85" s="328">
        <v>9.8000000000000004E-2</v>
      </c>
      <c r="F85" s="329" t="s">
        <v>125</v>
      </c>
      <c r="G85" s="325"/>
      <c r="H85" s="326"/>
      <c r="I85" s="288"/>
      <c r="J85" s="327"/>
      <c r="K85" s="288"/>
      <c r="L85" s="288"/>
    </row>
    <row r="86" spans="1:12" x14ac:dyDescent="0.2">
      <c r="B86" s="323" t="s">
        <v>127</v>
      </c>
      <c r="C86" s="288"/>
      <c r="D86" s="277"/>
      <c r="E86" s="330"/>
      <c r="F86" s="329"/>
      <c r="G86" s="331"/>
      <c r="H86" s="331"/>
      <c r="I86" s="311" t="s">
        <v>128</v>
      </c>
      <c r="J86" s="288">
        <f>SUM(J84:J85)</f>
        <v>365</v>
      </c>
      <c r="K86" s="288"/>
      <c r="L86" s="288"/>
    </row>
    <row r="87" spans="1:12" x14ac:dyDescent="0.2">
      <c r="A87" s="277"/>
      <c r="B87" s="323" t="s">
        <v>129</v>
      </c>
      <c r="C87" s="288" t="s">
        <v>130</v>
      </c>
      <c r="D87" s="277"/>
      <c r="E87" s="324">
        <f>((E84*J84) + (E85* J85)) / J86</f>
        <v>9.8000000000000004E-2</v>
      </c>
      <c r="F87" s="288" t="s">
        <v>131</v>
      </c>
      <c r="G87" s="277"/>
      <c r="H87" s="288"/>
      <c r="I87" s="288"/>
      <c r="J87" s="288"/>
      <c r="K87" s="288"/>
      <c r="L87" s="288"/>
    </row>
    <row r="88" spans="1:12" x14ac:dyDescent="0.2">
      <c r="A88" s="285"/>
      <c r="B88" s="288"/>
      <c r="C88" s="277"/>
      <c r="D88" s="277"/>
      <c r="E88" s="277"/>
      <c r="F88" s="277"/>
      <c r="G88" s="277"/>
      <c r="H88" s="288"/>
      <c r="I88" s="288"/>
      <c r="J88" s="288"/>
      <c r="K88" s="288"/>
      <c r="L88" s="288"/>
    </row>
    <row r="89" spans="1:12" x14ac:dyDescent="0.2">
      <c r="A89" s="285"/>
      <c r="B89" s="288" t="s">
        <v>132</v>
      </c>
      <c r="C89" s="277"/>
      <c r="D89" s="277"/>
      <c r="E89" s="277"/>
      <c r="F89" s="277"/>
      <c r="G89" s="277"/>
      <c r="H89" s="288"/>
      <c r="I89" s="288"/>
      <c r="J89" s="288"/>
      <c r="K89" s="288"/>
      <c r="L89" s="288"/>
    </row>
    <row r="90" spans="1:12" x14ac:dyDescent="0.2">
      <c r="A90" s="285"/>
      <c r="B90" s="288"/>
      <c r="C90" s="277"/>
      <c r="D90" s="277"/>
      <c r="E90" s="322" t="s">
        <v>101</v>
      </c>
      <c r="F90" s="277"/>
      <c r="G90" s="277"/>
      <c r="H90" s="288"/>
      <c r="I90" s="288"/>
      <c r="J90" s="288"/>
      <c r="K90" s="288"/>
      <c r="L90" s="288"/>
    </row>
    <row r="91" spans="1:12" x14ac:dyDescent="0.2">
      <c r="A91" s="277"/>
      <c r="B91" s="323" t="s">
        <v>133</v>
      </c>
      <c r="C91" s="288" t="s">
        <v>134</v>
      </c>
      <c r="D91" s="277"/>
      <c r="E91" s="332" t="s">
        <v>135</v>
      </c>
      <c r="F91" s="332"/>
      <c r="G91" s="332"/>
      <c r="H91" s="327"/>
      <c r="I91" s="327"/>
      <c r="J91" s="327"/>
      <c r="K91" s="288"/>
      <c r="L91" s="288"/>
    </row>
    <row r="92" spans="1:12" x14ac:dyDescent="0.2">
      <c r="B92" s="323" t="s">
        <v>136</v>
      </c>
      <c r="C92" s="288" t="s">
        <v>137</v>
      </c>
      <c r="D92" s="277"/>
      <c r="E92" s="332" t="s">
        <v>135</v>
      </c>
      <c r="F92" s="332"/>
      <c r="G92" s="332"/>
      <c r="H92" s="327"/>
      <c r="I92" s="327"/>
      <c r="J92" s="327"/>
      <c r="K92" s="288"/>
      <c r="L92" s="288"/>
    </row>
    <row r="93" spans="1:12" x14ac:dyDescent="0.2">
      <c r="B93" s="277"/>
      <c r="C93" s="288"/>
      <c r="D93" s="277"/>
      <c r="E93" s="331"/>
      <c r="F93" s="277"/>
      <c r="G93" s="277"/>
      <c r="H93" s="277"/>
      <c r="I93" s="288"/>
      <c r="J93" s="288"/>
      <c r="K93" s="288"/>
      <c r="L93" s="288"/>
    </row>
    <row r="94" spans="1:12" x14ac:dyDescent="0.2">
      <c r="B94" s="277"/>
      <c r="C94" s="277"/>
      <c r="D94" s="277"/>
      <c r="E94" s="321" t="s">
        <v>117</v>
      </c>
      <c r="F94" s="322" t="s">
        <v>101</v>
      </c>
      <c r="G94" s="277"/>
      <c r="H94" s="288"/>
      <c r="I94" s="288"/>
      <c r="J94" s="277"/>
    </row>
    <row r="95" spans="1:12" x14ac:dyDescent="0.2">
      <c r="B95" s="323" t="s">
        <v>138</v>
      </c>
      <c r="C95" s="288" t="s">
        <v>139</v>
      </c>
      <c r="D95" s="288"/>
      <c r="E95" s="301">
        <v>2.2035705889829317E-2</v>
      </c>
      <c r="F95" s="277" t="s">
        <v>389</v>
      </c>
      <c r="G95" s="277"/>
      <c r="H95" s="288"/>
      <c r="I95" s="288"/>
      <c r="J95" s="277"/>
    </row>
    <row r="96" spans="1:12" x14ac:dyDescent="0.2">
      <c r="B96" s="323" t="s">
        <v>140</v>
      </c>
      <c r="C96" s="288" t="s">
        <v>141</v>
      </c>
      <c r="D96" s="277"/>
      <c r="E96" s="301">
        <v>5.0045072694744688E-3</v>
      </c>
      <c r="F96" s="277" t="s">
        <v>390</v>
      </c>
      <c r="G96" s="277"/>
      <c r="H96" s="288"/>
      <c r="I96" s="288"/>
      <c r="J96" s="277"/>
    </row>
    <row r="97" spans="1:10" x14ac:dyDescent="0.2">
      <c r="B97" s="323" t="s">
        <v>142</v>
      </c>
      <c r="C97" s="288" t="s">
        <v>143</v>
      </c>
      <c r="D97" s="277"/>
      <c r="E97" s="333">
        <v>4.5978181913307624E-2</v>
      </c>
      <c r="F97" s="277" t="s">
        <v>391</v>
      </c>
      <c r="G97" s="288"/>
      <c r="H97" s="288"/>
      <c r="I97" s="277"/>
      <c r="J97" s="277"/>
    </row>
    <row r="98" spans="1:10" x14ac:dyDescent="0.2">
      <c r="A98" s="277"/>
      <c r="B98" s="285" t="s">
        <v>144</v>
      </c>
      <c r="C98" s="290" t="s">
        <v>73</v>
      </c>
      <c r="D98" s="277"/>
      <c r="E98" s="299">
        <f>SUM(E95:E97)</f>
        <v>7.3018395072611403E-2</v>
      </c>
      <c r="F98" s="287" t="str">
        <f>"Sum of Lines "&amp;B92&amp;" to "&amp;B96&amp;""</f>
        <v>Sum of Lines f to h</v>
      </c>
      <c r="G98" s="334"/>
      <c r="H98" s="277"/>
      <c r="I98" s="277"/>
      <c r="J98" s="335"/>
    </row>
    <row r="99" spans="1:10" x14ac:dyDescent="0.2">
      <c r="A99" s="285"/>
      <c r="B99" s="277"/>
      <c r="C99" s="56"/>
      <c r="D99" s="57"/>
      <c r="E99" s="287"/>
      <c r="F99" s="287"/>
      <c r="G99" s="334"/>
      <c r="H99" s="287"/>
      <c r="I99" s="277"/>
      <c r="J99" s="335"/>
    </row>
    <row r="100" spans="1:10" x14ac:dyDescent="0.2">
      <c r="A100" s="285"/>
      <c r="B100" s="288" t="s">
        <v>145</v>
      </c>
      <c r="C100" s="277"/>
      <c r="D100" s="277"/>
      <c r="E100" s="277"/>
      <c r="F100" s="277"/>
      <c r="G100" s="277"/>
      <c r="H100" s="277"/>
      <c r="I100" s="277"/>
      <c r="J100" s="277"/>
    </row>
    <row r="101" spans="1:10" x14ac:dyDescent="0.2">
      <c r="A101" s="285"/>
      <c r="B101" s="277"/>
      <c r="C101" s="277"/>
      <c r="D101" s="277"/>
      <c r="E101" s="277"/>
      <c r="F101" s="277"/>
      <c r="G101" s="277"/>
      <c r="H101" s="277"/>
      <c r="I101" s="277"/>
      <c r="J101" s="277"/>
    </row>
    <row r="102" spans="1:10" x14ac:dyDescent="0.2">
      <c r="A102" s="285"/>
      <c r="B102" s="277"/>
      <c r="C102" s="277"/>
      <c r="D102" s="277"/>
      <c r="E102" s="321" t="s">
        <v>117</v>
      </c>
      <c r="F102" s="322" t="s">
        <v>101</v>
      </c>
      <c r="G102" s="277"/>
      <c r="H102" s="277"/>
      <c r="I102" s="277"/>
      <c r="J102" s="277"/>
    </row>
    <row r="103" spans="1:10" x14ac:dyDescent="0.2">
      <c r="A103" s="277"/>
      <c r="B103" s="323" t="s">
        <v>146</v>
      </c>
      <c r="C103" s="277"/>
      <c r="D103" s="277"/>
      <c r="E103" s="301">
        <f>E96+E97</f>
        <v>5.0982689182782093E-2</v>
      </c>
      <c r="F103" s="287" t="str">
        <f>"Sum of Lines "&amp;B95&amp;" to "&amp;B96&amp;""</f>
        <v>Sum of Lines g to h</v>
      </c>
      <c r="G103" s="277"/>
      <c r="H103" s="277"/>
      <c r="I103" s="277"/>
      <c r="J103" s="277"/>
    </row>
    <row r="104" spans="1:10" x14ac:dyDescent="0.2">
      <c r="A104" s="285"/>
      <c r="B104" s="277"/>
      <c r="C104" s="277"/>
      <c r="D104" s="277"/>
      <c r="E104" s="301"/>
      <c r="F104" s="287"/>
      <c r="G104" s="277"/>
      <c r="H104" s="277"/>
      <c r="I104" s="277"/>
      <c r="J104" s="277"/>
    </row>
    <row r="105" spans="1:10" x14ac:dyDescent="0.2">
      <c r="A105" s="285"/>
      <c r="B105" s="286" t="s">
        <v>147</v>
      </c>
      <c r="C105" s="277"/>
      <c r="D105" s="277"/>
      <c r="E105" s="334"/>
      <c r="F105" s="334"/>
      <c r="G105" s="334"/>
      <c r="H105" s="287"/>
      <c r="I105" s="277"/>
      <c r="J105" s="277"/>
    </row>
    <row r="106" spans="1:10" x14ac:dyDescent="0.2">
      <c r="A106" s="285"/>
      <c r="B106" s="329" t="s">
        <v>148</v>
      </c>
      <c r="C106" s="277"/>
      <c r="D106" s="277"/>
      <c r="E106" s="277"/>
      <c r="F106" s="277"/>
      <c r="G106" s="277"/>
      <c r="H106" s="277"/>
      <c r="I106" s="277"/>
      <c r="J106" s="277"/>
    </row>
    <row r="107" spans="1:10" x14ac:dyDescent="0.2">
      <c r="A107" s="280"/>
      <c r="B107" s="329" t="s">
        <v>149</v>
      </c>
      <c r="C107" s="277"/>
      <c r="D107" s="285"/>
      <c r="E107" s="285"/>
      <c r="F107" s="285"/>
      <c r="G107" s="285"/>
      <c r="H107" s="285"/>
      <c r="I107" s="277"/>
      <c r="J107" s="277"/>
    </row>
    <row r="108" spans="1:10" x14ac:dyDescent="0.2">
      <c r="A108" s="280"/>
      <c r="B108" s="286" t="s">
        <v>150</v>
      </c>
      <c r="C108" s="277"/>
      <c r="D108" s="285"/>
      <c r="E108" s="285"/>
      <c r="F108" s="285"/>
      <c r="G108" s="285"/>
      <c r="H108" s="285"/>
      <c r="I108" s="277"/>
      <c r="J108" s="277"/>
    </row>
    <row r="109" spans="1:10" x14ac:dyDescent="0.2">
      <c r="A109" s="280"/>
      <c r="B109" s="277" t="s">
        <v>151</v>
      </c>
      <c r="C109" s="58"/>
      <c r="D109" s="58"/>
      <c r="E109" s="321"/>
      <c r="F109" s="321"/>
      <c r="G109" s="321"/>
      <c r="H109" s="321"/>
      <c r="I109" s="277"/>
      <c r="J109" s="277"/>
    </row>
    <row r="110" spans="1:10" x14ac:dyDescent="0.2">
      <c r="A110" s="280"/>
    </row>
    <row r="111" spans="1:10" x14ac:dyDescent="0.2">
      <c r="A111" s="280"/>
    </row>
    <row r="112" spans="1:10" x14ac:dyDescent="0.2">
      <c r="A112" s="280"/>
    </row>
    <row r="113" spans="1:10" x14ac:dyDescent="0.2">
      <c r="A113" s="280"/>
      <c r="C113" s="56"/>
      <c r="E113" s="287"/>
      <c r="F113" s="287"/>
      <c r="H113" s="336"/>
      <c r="J113" s="337"/>
    </row>
    <row r="114" spans="1:10" x14ac:dyDescent="0.2">
      <c r="A114" s="280"/>
      <c r="C114" s="56"/>
      <c r="E114" s="287"/>
      <c r="F114" s="287"/>
      <c r="H114" s="336"/>
      <c r="J114" s="337"/>
    </row>
    <row r="115" spans="1:10" x14ac:dyDescent="0.2">
      <c r="A115" s="281"/>
      <c r="C115" s="56"/>
      <c r="E115" s="287"/>
      <c r="F115" s="287"/>
      <c r="H115" s="336"/>
      <c r="J115" s="337"/>
    </row>
    <row r="116" spans="1:10" x14ac:dyDescent="0.2">
      <c r="A116" s="280"/>
      <c r="D116" s="59"/>
      <c r="E116" s="287"/>
      <c r="F116" s="287"/>
      <c r="G116" s="338"/>
      <c r="H116" s="336"/>
      <c r="J116" s="337"/>
    </row>
    <row r="117" spans="1:10" x14ac:dyDescent="0.2">
      <c r="A117" s="280"/>
      <c r="C117" s="56"/>
      <c r="D117" s="339"/>
      <c r="E117" s="340"/>
      <c r="F117" s="336"/>
      <c r="G117" s="338"/>
      <c r="H117" s="336"/>
      <c r="J117" s="337"/>
    </row>
    <row r="118" spans="1:10" x14ac:dyDescent="0.2">
      <c r="A118" s="280"/>
      <c r="C118" s="56"/>
      <c r="D118" s="339"/>
      <c r="E118" s="336"/>
      <c r="F118" s="336"/>
      <c r="G118" s="338"/>
      <c r="H118" s="336"/>
      <c r="J118" s="337"/>
    </row>
    <row r="119" spans="1:10" x14ac:dyDescent="0.2">
      <c r="A119" s="280"/>
    </row>
    <row r="120" spans="1:10" x14ac:dyDescent="0.2">
      <c r="A120" s="280"/>
      <c r="B120" s="276"/>
    </row>
    <row r="121" spans="1:10" x14ac:dyDescent="0.2">
      <c r="A121" s="280"/>
    </row>
    <row r="122" spans="1:10" x14ac:dyDescent="0.2">
      <c r="A122" s="280"/>
    </row>
    <row r="123" spans="1:10" x14ac:dyDescent="0.2">
      <c r="A123" s="280"/>
      <c r="F123" s="280"/>
    </row>
    <row r="124" spans="1:10" x14ac:dyDescent="0.2">
      <c r="A124" s="280"/>
      <c r="F124" s="280"/>
    </row>
    <row r="125" spans="1:10" x14ac:dyDescent="0.2">
      <c r="A125" s="280"/>
      <c r="D125" s="280"/>
      <c r="E125" s="280"/>
      <c r="F125" s="280"/>
      <c r="H125" s="280"/>
    </row>
    <row r="126" spans="1:10" x14ac:dyDescent="0.2">
      <c r="A126" s="280"/>
      <c r="D126" s="280"/>
      <c r="E126" s="280"/>
      <c r="F126" s="280"/>
      <c r="G126" s="280"/>
      <c r="H126" s="341"/>
    </row>
    <row r="127" spans="1:10" x14ac:dyDescent="0.2">
      <c r="A127" s="281"/>
      <c r="C127" s="60"/>
      <c r="D127" s="60"/>
      <c r="E127" s="284"/>
      <c r="F127" s="342"/>
      <c r="G127" s="284"/>
      <c r="H127" s="341"/>
    </row>
    <row r="128" spans="1:10" x14ac:dyDescent="0.2">
      <c r="A128" s="280"/>
      <c r="C128" s="61"/>
      <c r="D128" s="57"/>
      <c r="E128" s="287"/>
      <c r="F128" s="287"/>
      <c r="G128" s="324"/>
      <c r="H128" s="336"/>
    </row>
    <row r="129" spans="1:8" x14ac:dyDescent="0.2">
      <c r="A129" s="280"/>
      <c r="C129" s="56"/>
      <c r="D129" s="57"/>
      <c r="E129" s="287"/>
      <c r="F129" s="287"/>
      <c r="G129" s="324"/>
      <c r="H129" s="336"/>
    </row>
    <row r="130" spans="1:8" x14ac:dyDescent="0.2">
      <c r="A130" s="280"/>
      <c r="C130" s="56"/>
      <c r="D130" s="57"/>
      <c r="E130" s="287"/>
      <c r="F130" s="287"/>
      <c r="G130" s="324"/>
      <c r="H130" s="336"/>
    </row>
    <row r="131" spans="1:8" x14ac:dyDescent="0.2">
      <c r="A131" s="280"/>
      <c r="C131" s="61"/>
      <c r="D131" s="57"/>
      <c r="E131" s="287"/>
      <c r="F131" s="287"/>
      <c r="G131" s="324"/>
      <c r="H131" s="336"/>
    </row>
    <row r="132" spans="1:8" x14ac:dyDescent="0.2">
      <c r="A132" s="280"/>
      <c r="C132" s="56"/>
      <c r="D132" s="57"/>
      <c r="E132" s="287"/>
      <c r="F132" s="287"/>
      <c r="G132" s="324"/>
      <c r="H132" s="336"/>
    </row>
    <row r="133" spans="1:8" x14ac:dyDescent="0.2">
      <c r="A133" s="280"/>
      <c r="C133" s="56"/>
      <c r="D133" s="57"/>
      <c r="E133" s="287"/>
      <c r="F133" s="287"/>
      <c r="G133" s="324"/>
      <c r="H133" s="336"/>
    </row>
    <row r="134" spans="1:8" x14ac:dyDescent="0.2">
      <c r="A134" s="280"/>
      <c r="C134" s="61"/>
      <c r="D134" s="57"/>
      <c r="E134" s="287"/>
      <c r="F134" s="287"/>
      <c r="G134" s="324"/>
      <c r="H134" s="336"/>
    </row>
    <row r="135" spans="1:8" x14ac:dyDescent="0.2">
      <c r="A135" s="280"/>
      <c r="C135" s="56"/>
      <c r="D135" s="57"/>
      <c r="E135" s="287"/>
      <c r="F135" s="287"/>
      <c r="G135" s="324"/>
      <c r="H135" s="336"/>
    </row>
    <row r="136" spans="1:8" x14ac:dyDescent="0.2">
      <c r="A136" s="280"/>
      <c r="C136" s="56"/>
      <c r="D136" s="57"/>
      <c r="E136" s="287"/>
      <c r="F136" s="287"/>
      <c r="G136" s="324"/>
      <c r="H136" s="336"/>
    </row>
    <row r="137" spans="1:8" x14ac:dyDescent="0.2">
      <c r="A137" s="280"/>
      <c r="C137" s="61"/>
      <c r="D137" s="57"/>
      <c r="E137" s="287"/>
      <c r="F137" s="287"/>
      <c r="G137" s="324"/>
      <c r="H137" s="336"/>
    </row>
    <row r="138" spans="1:8" x14ac:dyDescent="0.2">
      <c r="A138" s="280"/>
      <c r="C138" s="61"/>
      <c r="D138" s="57"/>
      <c r="E138" s="287"/>
      <c r="F138" s="287"/>
      <c r="G138" s="324"/>
      <c r="H138" s="336"/>
    </row>
    <row r="139" spans="1:8" x14ac:dyDescent="0.2">
      <c r="A139" s="280"/>
      <c r="C139" s="56"/>
      <c r="D139" s="57"/>
      <c r="E139" s="287"/>
      <c r="F139" s="287"/>
      <c r="G139" s="324"/>
      <c r="H139" s="340"/>
    </row>
    <row r="140" spans="1:8" x14ac:dyDescent="0.2">
      <c r="A140" s="280"/>
      <c r="E140" s="277"/>
      <c r="F140" s="277"/>
      <c r="G140" s="277"/>
      <c r="H140" s="336"/>
    </row>
    <row r="141" spans="1:8" x14ac:dyDescent="0.2">
      <c r="A141" s="280"/>
      <c r="C141" s="56"/>
      <c r="D141" s="57"/>
      <c r="E141" s="277"/>
      <c r="F141" s="343"/>
      <c r="G141" s="324"/>
      <c r="H141" s="315"/>
    </row>
    <row r="142" spans="1:8" x14ac:dyDescent="0.2">
      <c r="A142" s="280"/>
      <c r="B142" s="276"/>
      <c r="C142" s="56"/>
      <c r="D142" s="57"/>
      <c r="E142" s="277"/>
      <c r="F142" s="343"/>
      <c r="G142" s="324"/>
      <c r="H142" s="315"/>
    </row>
    <row r="143" spans="1:8" x14ac:dyDescent="0.2">
      <c r="A143" s="281"/>
      <c r="B143" s="276"/>
      <c r="C143" s="56"/>
      <c r="D143" s="57"/>
      <c r="E143" s="277"/>
      <c r="F143" s="343"/>
      <c r="G143" s="324"/>
      <c r="H143" s="315"/>
    </row>
    <row r="144" spans="1:8" x14ac:dyDescent="0.2">
      <c r="A144" s="280"/>
      <c r="C144" s="56"/>
      <c r="D144" s="62"/>
      <c r="E144" s="287"/>
      <c r="F144" s="344"/>
      <c r="G144" s="324"/>
      <c r="H144" s="315"/>
    </row>
    <row r="145" spans="1:10" x14ac:dyDescent="0.2">
      <c r="A145" s="280"/>
      <c r="C145" s="56"/>
      <c r="D145" s="345"/>
      <c r="E145" s="287"/>
      <c r="F145" s="344"/>
      <c r="G145" s="324"/>
      <c r="H145" s="315"/>
    </row>
    <row r="146" spans="1:10" x14ac:dyDescent="0.2">
      <c r="A146" s="280"/>
      <c r="C146" s="56"/>
      <c r="D146" s="345"/>
      <c r="E146" s="340"/>
      <c r="F146" s="346"/>
      <c r="G146" s="324"/>
      <c r="H146" s="315"/>
    </row>
    <row r="147" spans="1:10" x14ac:dyDescent="0.2">
      <c r="A147" s="280"/>
      <c r="C147" s="56"/>
      <c r="D147" s="62"/>
      <c r="E147" s="336"/>
      <c r="F147" s="315"/>
      <c r="G147" s="324"/>
      <c r="H147" s="315"/>
    </row>
    <row r="148" spans="1:10" x14ac:dyDescent="0.2">
      <c r="A148" s="280"/>
      <c r="C148" s="56"/>
      <c r="D148" s="57"/>
      <c r="F148" s="315"/>
      <c r="G148" s="324"/>
      <c r="H148" s="315"/>
    </row>
    <row r="149" spans="1:10" x14ac:dyDescent="0.2">
      <c r="A149" s="280"/>
    </row>
    <row r="150" spans="1:10" x14ac:dyDescent="0.2">
      <c r="A150" s="280"/>
    </row>
    <row r="151" spans="1:10" x14ac:dyDescent="0.2">
      <c r="A151" s="280"/>
    </row>
    <row r="152" spans="1:10" x14ac:dyDescent="0.2">
      <c r="A152" s="280"/>
      <c r="B152" s="276"/>
    </row>
    <row r="153" spans="1:10" x14ac:dyDescent="0.2">
      <c r="A153" s="280"/>
      <c r="B153" s="338"/>
    </row>
    <row r="154" spans="1:10" x14ac:dyDescent="0.2">
      <c r="A154" s="280"/>
      <c r="B154" s="338"/>
    </row>
    <row r="155" spans="1:10" x14ac:dyDescent="0.2">
      <c r="A155" s="280"/>
      <c r="B155" s="338"/>
    </row>
    <row r="156" spans="1:10" x14ac:dyDescent="0.2">
      <c r="A156" s="280"/>
    </row>
    <row r="157" spans="1:10" x14ac:dyDescent="0.2">
      <c r="A157" s="280"/>
      <c r="B157" s="276"/>
    </row>
    <row r="158" spans="1:10" x14ac:dyDescent="0.2">
      <c r="A158" s="280"/>
    </row>
    <row r="159" spans="1:10" x14ac:dyDescent="0.2">
      <c r="A159" s="281"/>
      <c r="C159" s="60"/>
      <c r="D159" s="284"/>
      <c r="G159" s="277"/>
      <c r="H159" s="277"/>
      <c r="I159" s="277"/>
      <c r="J159" s="277"/>
    </row>
    <row r="160" spans="1:10" x14ac:dyDescent="0.2">
      <c r="A160" s="280"/>
      <c r="C160" s="61"/>
      <c r="D160" s="347"/>
      <c r="F160" s="348"/>
      <c r="G160" s="277"/>
      <c r="H160" s="277"/>
      <c r="I160" s="277"/>
      <c r="J160" s="277"/>
    </row>
    <row r="161" spans="1:10" x14ac:dyDescent="0.2">
      <c r="A161" s="280"/>
      <c r="C161" s="56"/>
      <c r="D161" s="347"/>
      <c r="F161" s="348"/>
      <c r="G161" s="277"/>
      <c r="H161" s="277"/>
      <c r="I161" s="277"/>
      <c r="J161" s="277"/>
    </row>
    <row r="162" spans="1:10" x14ac:dyDescent="0.2">
      <c r="A162" s="280"/>
      <c r="C162" s="56"/>
      <c r="D162" s="347"/>
      <c r="F162" s="348"/>
      <c r="G162" s="277"/>
      <c r="H162" s="277"/>
      <c r="I162" s="277"/>
      <c r="J162" s="277"/>
    </row>
    <row r="163" spans="1:10" x14ac:dyDescent="0.2">
      <c r="A163" s="280"/>
      <c r="C163" s="61"/>
      <c r="D163" s="347"/>
      <c r="F163" s="348"/>
      <c r="G163" s="277"/>
      <c r="H163" s="277"/>
      <c r="I163" s="277"/>
      <c r="J163" s="277"/>
    </row>
    <row r="164" spans="1:10" x14ac:dyDescent="0.2">
      <c r="A164" s="280"/>
      <c r="C164" s="56"/>
      <c r="D164" s="347"/>
      <c r="F164" s="348"/>
      <c r="G164" s="277"/>
      <c r="H164" s="277"/>
      <c r="I164" s="277"/>
      <c r="J164" s="277"/>
    </row>
    <row r="165" spans="1:10" x14ac:dyDescent="0.2">
      <c r="A165" s="280"/>
      <c r="C165" s="56"/>
      <c r="D165" s="347"/>
      <c r="F165" s="348"/>
      <c r="G165" s="277"/>
      <c r="H165" s="277"/>
      <c r="I165" s="277"/>
      <c r="J165" s="277"/>
    </row>
    <row r="166" spans="1:10" x14ac:dyDescent="0.2">
      <c r="A166" s="280"/>
      <c r="C166" s="61"/>
      <c r="D166" s="347"/>
      <c r="F166" s="348"/>
      <c r="G166" s="277"/>
      <c r="H166" s="277"/>
      <c r="I166" s="277"/>
      <c r="J166" s="277"/>
    </row>
    <row r="167" spans="1:10" x14ac:dyDescent="0.2">
      <c r="A167" s="280"/>
      <c r="C167" s="56"/>
      <c r="D167" s="347"/>
      <c r="F167" s="348"/>
      <c r="G167" s="277"/>
      <c r="H167" s="277"/>
      <c r="I167" s="277"/>
      <c r="J167" s="277"/>
    </row>
    <row r="168" spans="1:10" x14ac:dyDescent="0.2">
      <c r="A168" s="280"/>
      <c r="C168" s="56"/>
      <c r="D168" s="347"/>
      <c r="F168" s="348"/>
      <c r="G168" s="277"/>
      <c r="H168" s="277"/>
      <c r="I168" s="277"/>
      <c r="J168" s="277"/>
    </row>
    <row r="169" spans="1:10" x14ac:dyDescent="0.2">
      <c r="A169" s="280"/>
      <c r="C169" s="61"/>
      <c r="D169" s="347"/>
      <c r="F169" s="348"/>
      <c r="G169" s="277"/>
      <c r="H169" s="277"/>
      <c r="I169" s="277"/>
      <c r="J169" s="277"/>
    </row>
    <row r="170" spans="1:10" x14ac:dyDescent="0.2">
      <c r="A170" s="280"/>
      <c r="C170" s="61"/>
      <c r="D170" s="347"/>
      <c r="F170" s="348"/>
    </row>
    <row r="171" spans="1:10" x14ac:dyDescent="0.2">
      <c r="A171" s="280"/>
      <c r="C171" s="56"/>
      <c r="D171" s="349"/>
      <c r="F171" s="350"/>
    </row>
    <row r="172" spans="1:10" x14ac:dyDescent="0.2">
      <c r="A172" s="280"/>
      <c r="C172" s="59"/>
      <c r="D172" s="347"/>
    </row>
  </sheetData>
  <pageMargins left="0.75" right="0.75" top="1" bottom="1" header="0.5" footer="0.5"/>
  <pageSetup scale="80" orientation="landscape" cellComments="asDisplayed" r:id="rId1"/>
  <headerFooter alignWithMargins="0">
    <oddHeader>&amp;CSchedule 4
True Up TRR
(Revised 2014 True Up TRR)
&amp;RTO11 Annual Update
Attachment 4
WP-Schedule 3-One Time Adj True Up Adj
Page &amp;P of &amp;N</oddHeader>
    <oddFooter>&amp;R&amp;A</oddFooter>
  </headerFooter>
  <rowBreaks count="4" manualBreakCount="4">
    <brk id="46" max="9" man="1"/>
    <brk id="73" max="16383" man="1"/>
    <brk id="119" max="9" man="1"/>
    <brk id="151"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CC"/>
  </sheetPr>
  <dimension ref="A1:X112"/>
  <sheetViews>
    <sheetView zoomScaleNormal="10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276" t="s">
        <v>167</v>
      </c>
      <c r="F1" s="352" t="s">
        <v>164</v>
      </c>
      <c r="G1" s="332"/>
      <c r="H1" s="353"/>
      <c r="I1" s="353"/>
    </row>
    <row r="2" spans="1:24" x14ac:dyDescent="0.2">
      <c r="E2" s="342" t="s">
        <v>152</v>
      </c>
      <c r="F2" s="342" t="s">
        <v>153</v>
      </c>
      <c r="G2" s="342" t="s">
        <v>154</v>
      </c>
      <c r="H2" s="342" t="s">
        <v>155</v>
      </c>
      <c r="I2" s="353"/>
    </row>
    <row r="3" spans="1:24" x14ac:dyDescent="0.2">
      <c r="G3" s="353" t="s">
        <v>168</v>
      </c>
    </row>
    <row r="4" spans="1:24" x14ac:dyDescent="0.2">
      <c r="E4" s="280" t="s">
        <v>169</v>
      </c>
      <c r="F4" s="65" t="s">
        <v>165</v>
      </c>
      <c r="G4" s="280" t="s">
        <v>170</v>
      </c>
      <c r="I4" s="280"/>
    </row>
    <row r="5" spans="1:24" x14ac:dyDescent="0.2">
      <c r="A5" s="281" t="s">
        <v>42</v>
      </c>
      <c r="B5" s="284"/>
      <c r="C5" s="284" t="s">
        <v>171</v>
      </c>
      <c r="D5" s="284" t="s">
        <v>33</v>
      </c>
      <c r="E5" s="284" t="s">
        <v>34</v>
      </c>
      <c r="F5" s="60" t="s">
        <v>35</v>
      </c>
      <c r="G5" s="284" t="s">
        <v>172</v>
      </c>
      <c r="H5" s="284" t="s">
        <v>87</v>
      </c>
      <c r="I5" s="284" t="s">
        <v>45</v>
      </c>
      <c r="K5" s="284"/>
      <c r="L5" s="284"/>
      <c r="M5" s="284"/>
      <c r="N5" s="284"/>
      <c r="O5" s="284"/>
      <c r="P5" s="284"/>
      <c r="Q5" s="284"/>
      <c r="R5" s="284"/>
      <c r="S5" s="284"/>
      <c r="T5" s="284"/>
      <c r="U5" s="284"/>
      <c r="V5" s="284"/>
      <c r="W5" s="284"/>
      <c r="X5" s="284"/>
    </row>
    <row r="6" spans="1:24" x14ac:dyDescent="0.2">
      <c r="A6" s="280">
        <v>1</v>
      </c>
      <c r="C6" s="353">
        <v>920</v>
      </c>
      <c r="D6" t="s">
        <v>173</v>
      </c>
      <c r="E6" s="354">
        <v>497776577</v>
      </c>
      <c r="F6" s="353" t="s">
        <v>174</v>
      </c>
      <c r="G6" s="287">
        <f>D37</f>
        <v>130535710.01629242</v>
      </c>
      <c r="H6" s="287">
        <f>E6-G6</f>
        <v>367240866.98370755</v>
      </c>
      <c r="I6" s="277"/>
      <c r="J6" s="338"/>
    </row>
    <row r="7" spans="1:24" x14ac:dyDescent="0.2">
      <c r="A7" s="280">
        <f>A6+1</f>
        <v>2</v>
      </c>
      <c r="C7" s="353">
        <v>921</v>
      </c>
      <c r="D7" t="s">
        <v>175</v>
      </c>
      <c r="E7" s="354">
        <v>164859354</v>
      </c>
      <c r="F7" s="353" t="s">
        <v>176</v>
      </c>
      <c r="G7" s="287">
        <f t="shared" ref="G7:G19" si="0">D38</f>
        <v>519276.45</v>
      </c>
      <c r="H7" s="287">
        <f t="shared" ref="H7:H19" si="1">E7-G7</f>
        <v>164340077.55000001</v>
      </c>
      <c r="I7" s="277"/>
      <c r="J7" s="338"/>
    </row>
    <row r="8" spans="1:24" x14ac:dyDescent="0.2">
      <c r="A8" s="280">
        <f>A7+1</f>
        <v>3</v>
      </c>
      <c r="C8" s="353">
        <v>922</v>
      </c>
      <c r="D8" t="s">
        <v>177</v>
      </c>
      <c r="E8" s="354">
        <v>-129629436</v>
      </c>
      <c r="F8" s="353" t="s">
        <v>178</v>
      </c>
      <c r="G8" s="287">
        <f t="shared" si="0"/>
        <v>-39053109</v>
      </c>
      <c r="H8" s="287">
        <f t="shared" si="1"/>
        <v>-90576327</v>
      </c>
      <c r="I8" s="291" t="s">
        <v>179</v>
      </c>
      <c r="J8" s="338"/>
    </row>
    <row r="9" spans="1:24" x14ac:dyDescent="0.2">
      <c r="A9" s="280">
        <f t="shared" ref="A9:A20" si="2">A8+1</f>
        <v>4</v>
      </c>
      <c r="B9" s="280"/>
      <c r="C9" s="353">
        <v>923</v>
      </c>
      <c r="D9" t="s">
        <v>180</v>
      </c>
      <c r="E9" s="354">
        <v>65611522</v>
      </c>
      <c r="F9" s="353" t="s">
        <v>181</v>
      </c>
      <c r="G9" s="293">
        <f t="shared" si="0"/>
        <v>8465256.9700000007</v>
      </c>
      <c r="H9" s="293">
        <f t="shared" si="1"/>
        <v>57146265.030000001</v>
      </c>
      <c r="I9" s="277"/>
      <c r="J9" s="338"/>
    </row>
    <row r="10" spans="1:24" x14ac:dyDescent="0.2">
      <c r="A10" s="280">
        <f t="shared" si="2"/>
        <v>5</v>
      </c>
      <c r="B10" s="280"/>
      <c r="C10" s="353">
        <v>924</v>
      </c>
      <c r="D10" t="s">
        <v>182</v>
      </c>
      <c r="E10" s="354">
        <v>15983343</v>
      </c>
      <c r="F10" s="353" t="s">
        <v>183</v>
      </c>
      <c r="G10" s="287">
        <f t="shared" si="0"/>
        <v>0</v>
      </c>
      <c r="H10" s="287">
        <f t="shared" si="1"/>
        <v>15983343</v>
      </c>
      <c r="I10" s="277"/>
      <c r="J10" s="338"/>
    </row>
    <row r="11" spans="1:24" x14ac:dyDescent="0.2">
      <c r="A11" s="280">
        <f t="shared" si="2"/>
        <v>6</v>
      </c>
      <c r="B11" s="280"/>
      <c r="C11" s="353">
        <v>925</v>
      </c>
      <c r="D11" t="s">
        <v>184</v>
      </c>
      <c r="E11" s="354">
        <v>136223963</v>
      </c>
      <c r="F11" s="353" t="s">
        <v>185</v>
      </c>
      <c r="G11" s="287">
        <f t="shared" si="0"/>
        <v>638415.9</v>
      </c>
      <c r="H11" s="287">
        <f t="shared" si="1"/>
        <v>135585547.09999999</v>
      </c>
      <c r="I11" s="277"/>
      <c r="J11" s="338"/>
    </row>
    <row r="12" spans="1:24" x14ac:dyDescent="0.2">
      <c r="A12" s="280">
        <f t="shared" si="2"/>
        <v>7</v>
      </c>
      <c r="B12" s="280"/>
      <c r="C12" s="353">
        <v>926</v>
      </c>
      <c r="D12" t="s">
        <v>186</v>
      </c>
      <c r="E12" s="354">
        <v>204225272</v>
      </c>
      <c r="F12" s="353" t="s">
        <v>187</v>
      </c>
      <c r="G12" s="293">
        <f t="shared" si="0"/>
        <v>19433566.929423027</v>
      </c>
      <c r="H12" s="293">
        <f t="shared" si="1"/>
        <v>184791705.07057697</v>
      </c>
      <c r="I12" s="277"/>
      <c r="J12" s="338"/>
    </row>
    <row r="13" spans="1:24" x14ac:dyDescent="0.2">
      <c r="A13" s="280">
        <f t="shared" si="2"/>
        <v>8</v>
      </c>
      <c r="B13" s="280"/>
      <c r="C13" s="353">
        <v>927</v>
      </c>
      <c r="D13" t="s">
        <v>156</v>
      </c>
      <c r="E13" s="354">
        <v>116006665</v>
      </c>
      <c r="F13" s="353" t="s">
        <v>188</v>
      </c>
      <c r="G13" s="287">
        <f t="shared" si="0"/>
        <v>116006665</v>
      </c>
      <c r="H13" s="287">
        <f t="shared" si="1"/>
        <v>0</v>
      </c>
      <c r="I13" s="277"/>
      <c r="J13" s="338"/>
    </row>
    <row r="14" spans="1:24" x14ac:dyDescent="0.2">
      <c r="A14" s="280">
        <f t="shared" si="2"/>
        <v>9</v>
      </c>
      <c r="B14" s="280"/>
      <c r="C14" s="353">
        <v>928</v>
      </c>
      <c r="D14" s="338" t="s">
        <v>189</v>
      </c>
      <c r="E14" s="354">
        <v>31625727</v>
      </c>
      <c r="F14" s="353" t="s">
        <v>190</v>
      </c>
      <c r="G14" s="293">
        <f t="shared" si="0"/>
        <v>30933206.529999994</v>
      </c>
      <c r="H14" s="293">
        <f t="shared" si="1"/>
        <v>692520.47000000626</v>
      </c>
      <c r="I14" s="277"/>
      <c r="J14" s="338"/>
    </row>
    <row r="15" spans="1:24" x14ac:dyDescent="0.2">
      <c r="A15" s="280">
        <f t="shared" si="2"/>
        <v>10</v>
      </c>
      <c r="B15" s="280"/>
      <c r="C15" s="353">
        <v>929</v>
      </c>
      <c r="D15" t="s">
        <v>191</v>
      </c>
      <c r="E15" s="354">
        <v>0</v>
      </c>
      <c r="F15" s="353" t="s">
        <v>192</v>
      </c>
      <c r="G15" s="287">
        <f t="shared" si="0"/>
        <v>0</v>
      </c>
      <c r="H15" s="287">
        <f t="shared" si="1"/>
        <v>0</v>
      </c>
      <c r="I15" s="277"/>
      <c r="J15" s="338"/>
    </row>
    <row r="16" spans="1:24" x14ac:dyDescent="0.2">
      <c r="A16" s="280">
        <f t="shared" si="2"/>
        <v>11</v>
      </c>
      <c r="B16" s="280"/>
      <c r="C16" s="353">
        <v>930.1</v>
      </c>
      <c r="D16" t="s">
        <v>193</v>
      </c>
      <c r="E16" s="354">
        <v>0</v>
      </c>
      <c r="F16" s="353" t="s">
        <v>194</v>
      </c>
      <c r="G16" s="287">
        <f t="shared" si="0"/>
        <v>0</v>
      </c>
      <c r="H16" s="287">
        <f t="shared" si="1"/>
        <v>0</v>
      </c>
      <c r="I16" s="277"/>
      <c r="J16" s="338"/>
    </row>
    <row r="17" spans="1:11" x14ac:dyDescent="0.2">
      <c r="A17" s="280">
        <f t="shared" si="2"/>
        <v>12</v>
      </c>
      <c r="B17" s="280"/>
      <c r="C17" s="353">
        <v>930.2</v>
      </c>
      <c r="D17" t="s">
        <v>195</v>
      </c>
      <c r="E17" s="354">
        <v>21915038</v>
      </c>
      <c r="F17" s="353" t="s">
        <v>196</v>
      </c>
      <c r="G17" s="293">
        <f t="shared" si="0"/>
        <v>23921853.02999999</v>
      </c>
      <c r="H17" s="293">
        <f t="shared" si="1"/>
        <v>-2006815.02999999</v>
      </c>
      <c r="I17" s="277"/>
      <c r="J17" s="338"/>
    </row>
    <row r="18" spans="1:11" x14ac:dyDescent="0.2">
      <c r="A18" s="280">
        <f t="shared" si="2"/>
        <v>13</v>
      </c>
      <c r="B18" s="280"/>
      <c r="C18" s="353">
        <v>931</v>
      </c>
      <c r="D18" t="s">
        <v>197</v>
      </c>
      <c r="E18" s="354">
        <v>23634453</v>
      </c>
      <c r="F18" s="353" t="s">
        <v>198</v>
      </c>
      <c r="G18" s="287">
        <f t="shared" si="0"/>
        <v>3342.61</v>
      </c>
      <c r="H18" s="287">
        <f t="shared" si="1"/>
        <v>23631110.390000001</v>
      </c>
      <c r="I18" s="277"/>
      <c r="J18" s="338"/>
    </row>
    <row r="19" spans="1:11" x14ac:dyDescent="0.2">
      <c r="A19" s="280">
        <f t="shared" si="2"/>
        <v>14</v>
      </c>
      <c r="B19" s="280"/>
      <c r="C19" s="353">
        <v>935</v>
      </c>
      <c r="D19" t="s">
        <v>199</v>
      </c>
      <c r="E19" s="355">
        <v>16369993</v>
      </c>
      <c r="F19" s="353" t="s">
        <v>200</v>
      </c>
      <c r="G19" s="287">
        <f t="shared" si="0"/>
        <v>797707.73</v>
      </c>
      <c r="H19" s="295">
        <f t="shared" si="1"/>
        <v>15572285.27</v>
      </c>
      <c r="I19" s="277"/>
      <c r="J19" s="338"/>
    </row>
    <row r="20" spans="1:11" x14ac:dyDescent="0.2">
      <c r="A20" s="280">
        <f t="shared" si="2"/>
        <v>15</v>
      </c>
      <c r="E20" s="336">
        <f>SUM(E6:E19)</f>
        <v>1164602471</v>
      </c>
      <c r="G20" s="316" t="s">
        <v>201</v>
      </c>
      <c r="H20" s="300">
        <f>SUM(H6:H19)</f>
        <v>872400578.83428466</v>
      </c>
      <c r="I20" s="277"/>
    </row>
    <row r="22" spans="1:11" x14ac:dyDescent="0.2">
      <c r="F22" s="284" t="s">
        <v>34</v>
      </c>
      <c r="G22" s="284" t="s">
        <v>35</v>
      </c>
    </row>
    <row r="23" spans="1:11" x14ac:dyDescent="0.2">
      <c r="A23" s="280">
        <f>A20+1</f>
        <v>16</v>
      </c>
      <c r="E23" s="311" t="s">
        <v>202</v>
      </c>
      <c r="F23" s="293">
        <f>H20</f>
        <v>872400578.83428466</v>
      </c>
      <c r="G23" s="290" t="str">
        <f>"Line "&amp;A20&amp;""</f>
        <v>Line 15</v>
      </c>
      <c r="H23" s="277"/>
      <c r="I23" s="277"/>
      <c r="J23" s="277"/>
      <c r="K23" s="277"/>
    </row>
    <row r="24" spans="1:11" x14ac:dyDescent="0.2">
      <c r="A24" s="280">
        <f t="shared" ref="A24:A30" si="3">A23+1</f>
        <v>17</v>
      </c>
      <c r="E24" s="311" t="s">
        <v>203</v>
      </c>
      <c r="F24" s="295">
        <f>E10</f>
        <v>15983343</v>
      </c>
      <c r="G24" s="290" t="str">
        <f>"Line "&amp;A10&amp;""</f>
        <v>Line 5</v>
      </c>
      <c r="H24" s="277"/>
      <c r="I24" s="277"/>
      <c r="J24" s="277"/>
      <c r="K24" s="277"/>
    </row>
    <row r="25" spans="1:11" x14ac:dyDescent="0.2">
      <c r="A25" s="280">
        <f t="shared" si="3"/>
        <v>18</v>
      </c>
      <c r="E25" s="311" t="s">
        <v>204</v>
      </c>
      <c r="F25" s="293">
        <f>F23-F24</f>
        <v>856417235.83428466</v>
      </c>
      <c r="G25" s="290" t="str">
        <f>"Line "&amp;A23&amp;" - Line "&amp;A24&amp;""</f>
        <v>Line 16 - Line 17</v>
      </c>
      <c r="H25" s="277"/>
      <c r="I25" s="277"/>
      <c r="J25" s="277"/>
      <c r="K25" s="277"/>
    </row>
    <row r="26" spans="1:11" x14ac:dyDescent="0.2">
      <c r="A26" s="280">
        <f t="shared" si="3"/>
        <v>19</v>
      </c>
      <c r="E26" s="316" t="s">
        <v>205</v>
      </c>
      <c r="F26" s="333">
        <v>5.4431953885534394E-2</v>
      </c>
      <c r="G26" s="290" t="s">
        <v>402</v>
      </c>
      <c r="H26" s="277"/>
      <c r="I26" s="277"/>
      <c r="J26" s="277"/>
      <c r="K26" s="277"/>
    </row>
    <row r="27" spans="1:11" x14ac:dyDescent="0.2">
      <c r="A27" s="280">
        <f t="shared" si="3"/>
        <v>20</v>
      </c>
      <c r="E27" s="311" t="s">
        <v>206</v>
      </c>
      <c r="F27" s="293">
        <f>F25*F26</f>
        <v>46616463.487708613</v>
      </c>
      <c r="G27" s="290" t="str">
        <f>"Line "&amp;A25&amp;" * Line "&amp;A26&amp;""</f>
        <v>Line 18 * Line 19</v>
      </c>
      <c r="H27" s="277"/>
      <c r="I27" s="277"/>
      <c r="J27" s="277"/>
      <c r="K27" s="277"/>
    </row>
    <row r="28" spans="1:11" x14ac:dyDescent="0.2">
      <c r="A28" s="280">
        <f t="shared" si="3"/>
        <v>21</v>
      </c>
      <c r="E28" s="311" t="s">
        <v>207</v>
      </c>
      <c r="F28" s="301">
        <v>0.18012153286745283</v>
      </c>
      <c r="G28" s="291" t="s">
        <v>403</v>
      </c>
      <c r="H28" s="277"/>
      <c r="I28" s="277"/>
      <c r="J28" s="277"/>
      <c r="K28" s="277"/>
    </row>
    <row r="29" spans="1:11" x14ac:dyDescent="0.2">
      <c r="A29" s="280">
        <f t="shared" si="3"/>
        <v>22</v>
      </c>
      <c r="E29" s="311" t="s">
        <v>208</v>
      </c>
      <c r="F29" s="295">
        <f>H10*F28</f>
        <v>2878944.241506272</v>
      </c>
      <c r="G29" s="290" t="str">
        <f>"Line "&amp;A10&amp;" Col 4 * Line "&amp;A28&amp;""</f>
        <v>Line 5 Col 4 * Line 21</v>
      </c>
      <c r="H29" s="277"/>
      <c r="I29" s="277"/>
      <c r="J29" s="277"/>
      <c r="K29" s="277"/>
    </row>
    <row r="30" spans="1:11" x14ac:dyDescent="0.2">
      <c r="A30" s="280">
        <f t="shared" si="3"/>
        <v>23</v>
      </c>
      <c r="E30" s="311" t="s">
        <v>209</v>
      </c>
      <c r="F30" s="300">
        <f>F27+F29</f>
        <v>49495407.729214884</v>
      </c>
      <c r="G30" s="290" t="str">
        <f>"Line "&amp;A27&amp;" + Line "&amp;A29&amp;""</f>
        <v>Line 20 + Line 22</v>
      </c>
      <c r="H30" s="277"/>
      <c r="I30" s="277"/>
      <c r="J30" s="277"/>
      <c r="K30" s="277"/>
    </row>
    <row r="31" spans="1:11" x14ac:dyDescent="0.2">
      <c r="E31" s="277"/>
      <c r="F31" s="277"/>
      <c r="G31" s="277"/>
      <c r="H31" s="277"/>
      <c r="I31" s="277"/>
      <c r="J31" s="277"/>
      <c r="K31" s="277"/>
    </row>
    <row r="32" spans="1:11" x14ac:dyDescent="0.2">
      <c r="B32" s="276" t="s">
        <v>210</v>
      </c>
      <c r="E32" s="356" t="s">
        <v>152</v>
      </c>
      <c r="F32" s="356" t="s">
        <v>153</v>
      </c>
      <c r="G32" s="356" t="s">
        <v>154</v>
      </c>
      <c r="H32" s="356" t="s">
        <v>155</v>
      </c>
      <c r="I32" s="277"/>
      <c r="J32" s="277"/>
      <c r="K32" s="277"/>
    </row>
    <row r="33" spans="1:11" x14ac:dyDescent="0.2">
      <c r="B33" s="276"/>
      <c r="E33" s="285" t="s">
        <v>211</v>
      </c>
      <c r="F33" s="356"/>
      <c r="G33" s="356"/>
      <c r="H33" s="356"/>
      <c r="I33" s="277"/>
      <c r="J33" s="277"/>
      <c r="K33" s="277"/>
    </row>
    <row r="34" spans="1:11" x14ac:dyDescent="0.2">
      <c r="E34" s="285" t="s">
        <v>212</v>
      </c>
      <c r="F34" s="277"/>
      <c r="G34" s="277"/>
      <c r="H34" s="277"/>
      <c r="I34" s="277"/>
      <c r="J34" s="277"/>
      <c r="K34" s="277"/>
    </row>
    <row r="35" spans="1:11" x14ac:dyDescent="0.2">
      <c r="D35" s="280" t="s">
        <v>213</v>
      </c>
      <c r="E35" s="285" t="s">
        <v>214</v>
      </c>
      <c r="F35" s="285" t="s">
        <v>215</v>
      </c>
      <c r="G35" s="285"/>
      <c r="H35" s="285"/>
      <c r="I35" s="277"/>
      <c r="J35" s="277"/>
      <c r="K35" s="277"/>
    </row>
    <row r="36" spans="1:11" x14ac:dyDescent="0.2">
      <c r="C36" s="284" t="s">
        <v>171</v>
      </c>
      <c r="D36" s="342" t="s">
        <v>216</v>
      </c>
      <c r="E36" s="321" t="s">
        <v>217</v>
      </c>
      <c r="F36" s="321" t="s">
        <v>218</v>
      </c>
      <c r="G36" s="321" t="s">
        <v>219</v>
      </c>
      <c r="H36" s="321" t="s">
        <v>220</v>
      </c>
      <c r="I36" s="321" t="s">
        <v>45</v>
      </c>
      <c r="J36" s="277"/>
      <c r="K36" s="277"/>
    </row>
    <row r="37" spans="1:11" x14ac:dyDescent="0.2">
      <c r="A37" s="280">
        <f>A30+1</f>
        <v>24</v>
      </c>
      <c r="C37" s="353">
        <v>920</v>
      </c>
      <c r="D37" s="387">
        <f>SUM(E37:H37)</f>
        <v>130535710.01629242</v>
      </c>
      <c r="E37" s="388">
        <v>5908452.0568566397</v>
      </c>
      <c r="F37" s="359"/>
      <c r="G37" s="287">
        <f>G58</f>
        <v>124627257.95943579</v>
      </c>
      <c r="H37" s="359"/>
      <c r="I37" s="290" t="s">
        <v>221</v>
      </c>
      <c r="J37" s="277"/>
    </row>
    <row r="38" spans="1:11" x14ac:dyDescent="0.2">
      <c r="A38" s="280">
        <f>A37+1</f>
        <v>25</v>
      </c>
      <c r="C38" s="353">
        <v>921</v>
      </c>
      <c r="D38" s="387">
        <f t="shared" ref="D38:D50" si="4">SUM(E38:H38)</f>
        <v>519276.45</v>
      </c>
      <c r="E38" s="388">
        <v>519276.45</v>
      </c>
      <c r="F38" s="359"/>
      <c r="G38" s="359">
        <v>0</v>
      </c>
      <c r="H38" s="359"/>
      <c r="I38" s="282"/>
    </row>
    <row r="39" spans="1:11" ht="13.5" thickBot="1" x14ac:dyDescent="0.25">
      <c r="A39" s="280">
        <f t="shared" ref="A39:A50" si="5">A38+1</f>
        <v>26</v>
      </c>
      <c r="C39" s="353">
        <v>922</v>
      </c>
      <c r="D39" s="387">
        <f t="shared" si="4"/>
        <v>-39053109</v>
      </c>
      <c r="E39" s="388">
        <v>-6725603</v>
      </c>
      <c r="F39" s="359"/>
      <c r="G39" s="63">
        <v>-32327506</v>
      </c>
      <c r="H39" s="359"/>
      <c r="I39" s="282"/>
    </row>
    <row r="40" spans="1:11" ht="13.5" thickBot="1" x14ac:dyDescent="0.25">
      <c r="A40" s="280">
        <f t="shared" si="5"/>
        <v>27</v>
      </c>
      <c r="C40" s="353">
        <v>923</v>
      </c>
      <c r="D40" s="360">
        <f t="shared" si="4"/>
        <v>8465256.9700000007</v>
      </c>
      <c r="E40" s="361">
        <v>8465256.9700000007</v>
      </c>
      <c r="F40" s="359"/>
      <c r="G40" s="359">
        <v>0</v>
      </c>
      <c r="H40" s="359"/>
      <c r="I40" s="282"/>
      <c r="J40" s="284"/>
      <c r="K40" s="284"/>
    </row>
    <row r="41" spans="1:11" x14ac:dyDescent="0.2">
      <c r="A41" s="280">
        <f t="shared" si="5"/>
        <v>28</v>
      </c>
      <c r="C41" s="353">
        <v>924</v>
      </c>
      <c r="D41" s="387">
        <f t="shared" si="4"/>
        <v>0</v>
      </c>
      <c r="E41" s="388">
        <v>0</v>
      </c>
      <c r="F41" s="359"/>
      <c r="G41" s="359">
        <v>0</v>
      </c>
      <c r="H41" s="359"/>
      <c r="I41" s="282"/>
      <c r="K41" s="336"/>
    </row>
    <row r="42" spans="1:11" ht="13.5" thickBot="1" x14ac:dyDescent="0.25">
      <c r="A42" s="280">
        <f t="shared" si="5"/>
        <v>29</v>
      </c>
      <c r="C42" s="353">
        <v>925</v>
      </c>
      <c r="D42" s="387">
        <f t="shared" si="4"/>
        <v>638415.9</v>
      </c>
      <c r="E42" s="389">
        <v>638415.9</v>
      </c>
      <c r="F42" s="359"/>
      <c r="G42" s="359">
        <v>0</v>
      </c>
      <c r="H42" s="359"/>
      <c r="I42" s="362"/>
      <c r="K42" s="336"/>
    </row>
    <row r="43" spans="1:11" ht="13.5" thickBot="1" x14ac:dyDescent="0.25">
      <c r="A43" s="280">
        <f t="shared" si="5"/>
        <v>30</v>
      </c>
      <c r="C43" s="353">
        <v>926</v>
      </c>
      <c r="D43" s="364">
        <f t="shared" si="4"/>
        <v>19433566.929423027</v>
      </c>
      <c r="E43" s="365">
        <v>19720615.929423027</v>
      </c>
      <c r="F43" s="359"/>
      <c r="G43" s="359">
        <v>0</v>
      </c>
      <c r="H43" s="287">
        <f>E70</f>
        <v>-287049</v>
      </c>
      <c r="I43" s="362" t="s">
        <v>157</v>
      </c>
      <c r="K43" s="336"/>
    </row>
    <row r="44" spans="1:11" ht="13.5" thickBot="1" x14ac:dyDescent="0.25">
      <c r="A44" s="280">
        <f t="shared" si="5"/>
        <v>31</v>
      </c>
      <c r="C44" s="353">
        <v>927</v>
      </c>
      <c r="D44" s="387">
        <f t="shared" si="4"/>
        <v>116006665</v>
      </c>
      <c r="E44" s="307">
        <v>0</v>
      </c>
      <c r="F44" s="363">
        <f>E13</f>
        <v>116006665</v>
      </c>
      <c r="G44" s="287">
        <v>0</v>
      </c>
      <c r="H44" s="287">
        <v>0</v>
      </c>
      <c r="I44" s="282" t="s">
        <v>222</v>
      </c>
      <c r="K44" s="336"/>
    </row>
    <row r="45" spans="1:11" ht="13.5" thickBot="1" x14ac:dyDescent="0.25">
      <c r="A45" s="280">
        <f t="shared" si="5"/>
        <v>32</v>
      </c>
      <c r="C45" s="353">
        <v>928</v>
      </c>
      <c r="D45" s="390">
        <f t="shared" si="4"/>
        <v>30933206.529999994</v>
      </c>
      <c r="E45" s="361">
        <v>30933206.529999994</v>
      </c>
      <c r="F45" s="359"/>
      <c r="G45" s="359">
        <v>0</v>
      </c>
      <c r="H45" s="359"/>
      <c r="I45" s="282"/>
      <c r="K45" s="336"/>
    </row>
    <row r="46" spans="1:11" x14ac:dyDescent="0.2">
      <c r="A46" s="280">
        <f t="shared" si="5"/>
        <v>33</v>
      </c>
      <c r="C46" s="353">
        <v>929</v>
      </c>
      <c r="D46" s="387">
        <f t="shared" si="4"/>
        <v>0</v>
      </c>
      <c r="E46" s="388">
        <v>0</v>
      </c>
      <c r="F46" s="359"/>
      <c r="G46" s="359">
        <v>0</v>
      </c>
      <c r="H46" s="359"/>
      <c r="I46" s="282"/>
      <c r="K46" s="336"/>
    </row>
    <row r="47" spans="1:11" ht="13.5" thickBot="1" x14ac:dyDescent="0.25">
      <c r="A47" s="280">
        <f t="shared" si="5"/>
        <v>34</v>
      </c>
      <c r="C47" s="353">
        <v>930.1</v>
      </c>
      <c r="D47" s="387">
        <f t="shared" si="4"/>
        <v>0</v>
      </c>
      <c r="E47" s="389">
        <v>0</v>
      </c>
      <c r="F47" s="359"/>
      <c r="G47" s="359">
        <v>0</v>
      </c>
      <c r="H47" s="359"/>
      <c r="I47" s="282"/>
      <c r="K47" s="336"/>
    </row>
    <row r="48" spans="1:11" ht="13.5" thickBot="1" x14ac:dyDescent="0.25">
      <c r="A48" s="280">
        <f t="shared" si="5"/>
        <v>35</v>
      </c>
      <c r="C48" s="353">
        <v>930.2</v>
      </c>
      <c r="D48" s="364">
        <f t="shared" si="4"/>
        <v>23921853.02999999</v>
      </c>
      <c r="E48" s="361">
        <v>23921853.02999999</v>
      </c>
      <c r="F48" s="359"/>
      <c r="G48" s="359">
        <v>0</v>
      </c>
      <c r="H48" s="359"/>
      <c r="I48" s="282"/>
      <c r="J48" s="366"/>
    </row>
    <row r="49" spans="1:10" x14ac:dyDescent="0.2">
      <c r="A49" s="280">
        <f t="shared" si="5"/>
        <v>36</v>
      </c>
      <c r="C49" s="353">
        <v>931</v>
      </c>
      <c r="D49" s="391">
        <f t="shared" si="4"/>
        <v>3342.61</v>
      </c>
      <c r="E49" s="388">
        <v>3342.61</v>
      </c>
      <c r="F49" s="359"/>
      <c r="G49" s="359">
        <v>0</v>
      </c>
      <c r="H49" s="359"/>
      <c r="I49" s="282"/>
      <c r="J49" s="336"/>
    </row>
    <row r="50" spans="1:10" x14ac:dyDescent="0.2">
      <c r="A50" s="280">
        <f t="shared" si="5"/>
        <v>37</v>
      </c>
      <c r="C50" s="353">
        <v>935</v>
      </c>
      <c r="D50" s="387">
        <f t="shared" si="4"/>
        <v>797707.73</v>
      </c>
      <c r="E50" s="388">
        <v>797707.73</v>
      </c>
      <c r="F50" s="359"/>
      <c r="G50" s="359">
        <v>0</v>
      </c>
      <c r="H50" s="359"/>
      <c r="I50" s="282"/>
    </row>
    <row r="51" spans="1:10" x14ac:dyDescent="0.2">
      <c r="B51" s="297" t="s">
        <v>223</v>
      </c>
      <c r="C51" s="277"/>
      <c r="D51" s="277"/>
      <c r="E51" s="277"/>
      <c r="F51" s="277"/>
      <c r="G51" s="277"/>
      <c r="H51" s="277"/>
    </row>
    <row r="52" spans="1:10" x14ac:dyDescent="0.2">
      <c r="B52" s="297"/>
      <c r="C52" s="277" t="s">
        <v>224</v>
      </c>
      <c r="D52" s="277"/>
      <c r="E52" s="277"/>
      <c r="F52" s="277"/>
      <c r="G52" s="277"/>
      <c r="H52" s="277"/>
    </row>
    <row r="53" spans="1:10" x14ac:dyDescent="0.2">
      <c r="B53" s="297"/>
      <c r="C53" s="288" t="s">
        <v>225</v>
      </c>
      <c r="D53" s="277"/>
      <c r="E53" s="277"/>
      <c r="F53" s="277"/>
      <c r="G53" s="285"/>
      <c r="H53" s="285"/>
    </row>
    <row r="54" spans="1:10" x14ac:dyDescent="0.2">
      <c r="B54" s="297"/>
      <c r="C54" s="64" t="s">
        <v>226</v>
      </c>
      <c r="D54" s="55"/>
      <c r="E54" s="55"/>
      <c r="F54" s="277"/>
      <c r="G54" s="285"/>
      <c r="H54" s="285"/>
    </row>
    <row r="55" spans="1:10" x14ac:dyDescent="0.2">
      <c r="B55" s="297"/>
      <c r="C55" s="277"/>
      <c r="D55" s="277"/>
      <c r="E55" s="277"/>
      <c r="F55" s="277"/>
      <c r="G55" s="321" t="s">
        <v>34</v>
      </c>
      <c r="H55" s="321" t="s">
        <v>35</v>
      </c>
    </row>
    <row r="56" spans="1:10" x14ac:dyDescent="0.2">
      <c r="A56" s="280"/>
      <c r="B56" s="280" t="s">
        <v>121</v>
      </c>
      <c r="E56" s="277"/>
      <c r="F56" s="311" t="s">
        <v>227</v>
      </c>
      <c r="G56" s="358">
        <v>163270232.84999999</v>
      </c>
      <c r="H56" s="290" t="s">
        <v>228</v>
      </c>
    </row>
    <row r="57" spans="1:10" x14ac:dyDescent="0.2">
      <c r="A57" s="280"/>
      <c r="B57" s="280" t="s">
        <v>123</v>
      </c>
      <c r="C57" s="338"/>
      <c r="E57" s="277"/>
      <c r="F57" s="311" t="s">
        <v>229</v>
      </c>
      <c r="G57" s="295">
        <f>E61</f>
        <v>38642974.890564203</v>
      </c>
      <c r="H57" s="362" t="str">
        <f>"Note 2, "&amp;B61&amp;""</f>
        <v>Note 2, d</v>
      </c>
    </row>
    <row r="58" spans="1:10" x14ac:dyDescent="0.2">
      <c r="A58" s="280"/>
      <c r="B58" s="280" t="s">
        <v>127</v>
      </c>
      <c r="F58" s="339" t="s">
        <v>230</v>
      </c>
      <c r="G58" s="287">
        <f>G56-G57</f>
        <v>124627257.95943579</v>
      </c>
    </row>
    <row r="59" spans="1:10" x14ac:dyDescent="0.2">
      <c r="A59" s="280"/>
      <c r="C59" s="64" t="s">
        <v>231</v>
      </c>
      <c r="D59" s="55"/>
      <c r="E59" s="55"/>
      <c r="G59" s="336"/>
    </row>
    <row r="60" spans="1:10" x14ac:dyDescent="0.2">
      <c r="A60" s="280"/>
      <c r="D60" s="283" t="s">
        <v>232</v>
      </c>
      <c r="E60" s="284" t="s">
        <v>34</v>
      </c>
      <c r="F60" s="367" t="s">
        <v>35</v>
      </c>
      <c r="G60" s="336"/>
    </row>
    <row r="61" spans="1:10" x14ac:dyDescent="0.2">
      <c r="A61" s="280"/>
      <c r="B61" s="280" t="s">
        <v>129</v>
      </c>
      <c r="D61" t="s">
        <v>233</v>
      </c>
      <c r="E61" s="188">
        <v>38642974.890564203</v>
      </c>
      <c r="F61" s="290" t="s">
        <v>234</v>
      </c>
      <c r="G61" s="287"/>
      <c r="I61" s="277"/>
    </row>
    <row r="62" spans="1:10" x14ac:dyDescent="0.2">
      <c r="A62" s="280"/>
      <c r="B62" s="285" t="s">
        <v>133</v>
      </c>
      <c r="C62" s="277"/>
      <c r="D62" s="305" t="s">
        <v>235</v>
      </c>
      <c r="E62" s="188">
        <v>20111963.466211751</v>
      </c>
      <c r="F62" s="290" t="s">
        <v>234</v>
      </c>
      <c r="G62" s="287"/>
      <c r="I62" s="69"/>
    </row>
    <row r="63" spans="1:10" x14ac:dyDescent="0.2">
      <c r="A63" s="280"/>
      <c r="B63" s="285" t="s">
        <v>136</v>
      </c>
      <c r="C63" s="277"/>
      <c r="D63" s="288" t="s">
        <v>236</v>
      </c>
      <c r="E63" s="189">
        <v>41236337.682247192</v>
      </c>
      <c r="F63" s="290" t="s">
        <v>234</v>
      </c>
      <c r="G63" s="287"/>
      <c r="I63" s="287"/>
    </row>
    <row r="64" spans="1:10" x14ac:dyDescent="0.2">
      <c r="A64" s="280"/>
      <c r="B64" s="285" t="s">
        <v>138</v>
      </c>
      <c r="C64" s="277"/>
      <c r="D64" s="311" t="s">
        <v>166</v>
      </c>
      <c r="E64" s="287">
        <f>SUM(E61:E63)</f>
        <v>99991276.039023146</v>
      </c>
      <c r="F64" s="290" t="str">
        <f>"Sum of "&amp;B61&amp;" to "&amp;B63&amp;""</f>
        <v>Sum of d to f</v>
      </c>
      <c r="G64" s="287"/>
      <c r="I64" s="277"/>
    </row>
    <row r="65" spans="1:10" x14ac:dyDescent="0.2">
      <c r="F65" s="277"/>
      <c r="G65" s="277"/>
    </row>
    <row r="66" spans="1:10" x14ac:dyDescent="0.2">
      <c r="B66" s="368" t="s">
        <v>237</v>
      </c>
      <c r="C66" s="369"/>
      <c r="D66" s="369"/>
      <c r="E66" s="369"/>
      <c r="F66" s="306"/>
      <c r="G66" s="306"/>
    </row>
    <row r="67" spans="1:10" x14ac:dyDescent="0.2">
      <c r="B67" s="369"/>
      <c r="C67" s="369"/>
      <c r="D67" s="369"/>
      <c r="E67" s="367" t="s">
        <v>34</v>
      </c>
      <c r="F67" s="370" t="s">
        <v>238</v>
      </c>
      <c r="G67" s="306"/>
    </row>
    <row r="68" spans="1:10" x14ac:dyDescent="0.2">
      <c r="A68" s="280"/>
      <c r="B68" s="371" t="s">
        <v>121</v>
      </c>
      <c r="C68" s="369"/>
      <c r="D68" s="372" t="s">
        <v>239</v>
      </c>
      <c r="E68" s="373">
        <v>18990910</v>
      </c>
      <c r="F68" s="374" t="s">
        <v>240</v>
      </c>
      <c r="G68" s="306"/>
    </row>
    <row r="69" spans="1:10" x14ac:dyDescent="0.2">
      <c r="A69" s="280"/>
      <c r="B69" s="371" t="s">
        <v>123</v>
      </c>
      <c r="C69" s="369"/>
      <c r="D69" s="372" t="s">
        <v>241</v>
      </c>
      <c r="E69" s="375">
        <v>18703861</v>
      </c>
      <c r="F69" s="374" t="s">
        <v>228</v>
      </c>
      <c r="G69" s="306"/>
    </row>
    <row r="70" spans="1:10" x14ac:dyDescent="0.2">
      <c r="A70" s="280"/>
      <c r="B70" s="371" t="s">
        <v>127</v>
      </c>
      <c r="C70" s="369"/>
      <c r="D70" s="372" t="s">
        <v>242</v>
      </c>
      <c r="E70" s="376">
        <f>E69-E68</f>
        <v>-287049</v>
      </c>
      <c r="F70" s="377" t="str">
        <f>""&amp;B69&amp;" - "&amp;B68&amp;""</f>
        <v>b - a</v>
      </c>
      <c r="G70" s="369"/>
    </row>
    <row r="71" spans="1:10" x14ac:dyDescent="0.2">
      <c r="A71" s="280"/>
      <c r="B71" s="276" t="s">
        <v>243</v>
      </c>
      <c r="D71" s="339"/>
      <c r="E71" s="378"/>
      <c r="F71" s="362"/>
    </row>
    <row r="72" spans="1:10" x14ac:dyDescent="0.2">
      <c r="A72" s="280"/>
      <c r="B72" s="276"/>
      <c r="C72" t="str">
        <f>"Amount in Line "&amp;A44&amp;", column 2 equals amount in Line "&amp;A13&amp;", column 1 because all Franchise Requirements Expenses are excluded"</f>
        <v>Amount in Line 31, column 2 equals amount in Line 8, column 1 because all Franchise Requirements Expenses are excluded</v>
      </c>
      <c r="D72" s="339"/>
      <c r="E72" s="378"/>
      <c r="F72" s="362"/>
    </row>
    <row r="73" spans="1:10" x14ac:dyDescent="0.2">
      <c r="A73" s="280"/>
      <c r="B73" s="276"/>
      <c r="C73" s="338" t="s">
        <v>244</v>
      </c>
      <c r="D73" s="339"/>
      <c r="E73" s="378"/>
      <c r="F73" s="362"/>
    </row>
    <row r="75" spans="1:10" x14ac:dyDescent="0.2">
      <c r="B75" s="276" t="s">
        <v>109</v>
      </c>
    </row>
    <row r="76" spans="1:10" x14ac:dyDescent="0.2">
      <c r="C76" s="288" t="str">
        <f>"1) Enter amounts of A&amp;G expenses from FERC Form 1 in Lines "&amp;A6&amp;" to "&amp;A19&amp;"."</f>
        <v>1) Enter amounts of A&amp;G expenses from FERC Form 1 in Lines 1 to 14.</v>
      </c>
      <c r="D76" s="277"/>
      <c r="E76" s="277"/>
      <c r="F76" s="277"/>
      <c r="G76" s="277"/>
      <c r="H76" s="277"/>
      <c r="I76" s="277"/>
      <c r="J76" s="277"/>
    </row>
    <row r="77" spans="1:10" x14ac:dyDescent="0.2">
      <c r="C77" s="288" t="s">
        <v>245</v>
      </c>
      <c r="D77" s="277"/>
      <c r="E77" s="277"/>
      <c r="F77" s="277"/>
      <c r="G77" s="277" t="str">
        <f>"Column 3, Line "&amp;A37&amp;""</f>
        <v>Column 3, Line 24</v>
      </c>
      <c r="H77" s="277"/>
      <c r="I77" s="277"/>
      <c r="J77" s="277"/>
    </row>
    <row r="78" spans="1:10" x14ac:dyDescent="0.2">
      <c r="C78" s="290" t="str">
        <f>"is calculated in Note 2.  The PBOPs exclusion in Column 4, Line "&amp;A43&amp;" is calculated in Note 3."</f>
        <v>is calculated in Note 2.  The PBOPs exclusion in Column 4, Line 30 is calculated in Note 3.</v>
      </c>
      <c r="D78" s="277"/>
      <c r="E78" s="277"/>
      <c r="F78" s="277"/>
      <c r="G78" s="288"/>
      <c r="H78" s="277"/>
      <c r="I78" s="277"/>
      <c r="J78" s="277"/>
    </row>
    <row r="79" spans="1:10" x14ac:dyDescent="0.2">
      <c r="C79" s="290" t="s">
        <v>246</v>
      </c>
      <c r="D79" s="277"/>
      <c r="E79" s="277"/>
      <c r="F79" s="277"/>
      <c r="G79" s="277"/>
      <c r="H79" s="277"/>
      <c r="I79" s="277"/>
      <c r="J79" s="277"/>
    </row>
    <row r="80" spans="1:10" x14ac:dyDescent="0.2">
      <c r="C80" s="290" t="s">
        <v>247</v>
      </c>
      <c r="D80" s="311"/>
      <c r="E80" s="363"/>
      <c r="F80" s="290"/>
      <c r="G80" s="277"/>
      <c r="H80" s="277"/>
      <c r="I80" s="277"/>
      <c r="J80" s="277"/>
    </row>
    <row r="81" spans="3:10" x14ac:dyDescent="0.2">
      <c r="C81" s="290" t="s">
        <v>248</v>
      </c>
      <c r="D81" s="311"/>
      <c r="E81" s="363"/>
      <c r="F81" s="290"/>
      <c r="G81" s="277"/>
      <c r="H81" s="277"/>
      <c r="I81" s="277"/>
      <c r="J81" s="277"/>
    </row>
    <row r="82" spans="3:10" x14ac:dyDescent="0.2">
      <c r="C82" s="290" t="s">
        <v>249</v>
      </c>
      <c r="D82" s="277"/>
      <c r="E82" s="277"/>
      <c r="F82" s="277"/>
      <c r="G82" s="277"/>
      <c r="H82" s="277"/>
      <c r="I82" s="277"/>
      <c r="J82" s="277"/>
    </row>
    <row r="83" spans="3:10" x14ac:dyDescent="0.2">
      <c r="C83" s="290" t="s">
        <v>250</v>
      </c>
      <c r="D83" s="277"/>
      <c r="E83" s="277"/>
      <c r="F83" s="277"/>
      <c r="G83" s="277"/>
      <c r="H83" s="277"/>
      <c r="I83" s="277"/>
      <c r="J83" s="277"/>
    </row>
    <row r="84" spans="3:10" x14ac:dyDescent="0.2">
      <c r="C84" s="290" t="s">
        <v>251</v>
      </c>
      <c r="D84" s="277"/>
      <c r="E84" s="277"/>
      <c r="F84" s="277"/>
      <c r="G84" s="277"/>
      <c r="H84" s="277"/>
      <c r="I84" s="277"/>
      <c r="J84" s="277"/>
    </row>
    <row r="85" spans="3:10" x14ac:dyDescent="0.2">
      <c r="C85" s="290" t="s">
        <v>252</v>
      </c>
      <c r="D85" s="277"/>
      <c r="E85" s="277"/>
      <c r="F85" s="277"/>
      <c r="G85" s="277"/>
      <c r="H85" s="277"/>
      <c r="I85" s="277"/>
      <c r="J85" s="277"/>
    </row>
    <row r="86" spans="3:10" x14ac:dyDescent="0.2">
      <c r="C86" s="290" t="s">
        <v>253</v>
      </c>
      <c r="D86" s="277"/>
      <c r="E86" s="277"/>
      <c r="F86" s="277"/>
      <c r="G86" s="277"/>
      <c r="H86" s="277"/>
      <c r="I86" s="277"/>
      <c r="J86" s="277"/>
    </row>
    <row r="87" spans="3:10" x14ac:dyDescent="0.2">
      <c r="C87" s="290" t="s">
        <v>254</v>
      </c>
      <c r="D87" s="288"/>
      <c r="E87" s="379"/>
      <c r="F87" s="379"/>
      <c r="G87" s="379"/>
      <c r="H87" s="277"/>
      <c r="I87" s="277"/>
      <c r="J87" s="277"/>
    </row>
    <row r="88" spans="3:10" x14ac:dyDescent="0.2">
      <c r="C88" s="380" t="s">
        <v>255</v>
      </c>
      <c r="D88" s="288"/>
      <c r="E88" s="379"/>
      <c r="F88" s="379"/>
      <c r="G88" s="379"/>
      <c r="H88" s="277"/>
      <c r="I88" s="277"/>
      <c r="J88" s="277"/>
    </row>
    <row r="89" spans="3:10" x14ac:dyDescent="0.2">
      <c r="C89" s="380" t="s">
        <v>256</v>
      </c>
      <c r="D89" s="288"/>
      <c r="E89" s="379"/>
      <c r="F89" s="379"/>
      <c r="G89" s="379"/>
      <c r="H89" s="277"/>
      <c r="I89" s="277"/>
      <c r="J89" s="277"/>
    </row>
    <row r="90" spans="3:10" x14ac:dyDescent="0.2">
      <c r="C90" s="380" t="s">
        <v>257</v>
      </c>
      <c r="D90" s="288"/>
      <c r="E90" s="379"/>
      <c r="F90" s="379"/>
      <c r="G90" s="379"/>
      <c r="H90" s="277"/>
      <c r="I90" s="277"/>
      <c r="J90" s="277"/>
    </row>
    <row r="91" spans="3:10" x14ac:dyDescent="0.2">
      <c r="C91" s="290" t="s">
        <v>258</v>
      </c>
      <c r="D91" s="288"/>
      <c r="E91" s="379"/>
      <c r="F91" s="379"/>
      <c r="G91" s="379"/>
      <c r="H91" s="277"/>
      <c r="I91" s="277"/>
      <c r="J91" s="277"/>
    </row>
    <row r="92" spans="3:10" x14ac:dyDescent="0.2">
      <c r="C92" s="380" t="s">
        <v>259</v>
      </c>
      <c r="D92" s="288"/>
      <c r="E92" s="379"/>
      <c r="F92" s="379"/>
      <c r="G92" s="379"/>
      <c r="H92" s="277"/>
      <c r="I92" s="277"/>
      <c r="J92" s="277"/>
    </row>
    <row r="93" spans="3:10" x14ac:dyDescent="0.2">
      <c r="C93" s="380" t="s">
        <v>260</v>
      </c>
      <c r="D93" s="288"/>
      <c r="E93" s="379"/>
      <c r="F93" s="379"/>
      <c r="G93" s="379"/>
      <c r="H93" s="277"/>
      <c r="I93" s="277"/>
      <c r="J93" s="277"/>
    </row>
    <row r="94" spans="3:10" x14ac:dyDescent="0.2">
      <c r="C94" s="380" t="s">
        <v>261</v>
      </c>
      <c r="D94" s="288"/>
      <c r="E94" s="379"/>
      <c r="F94" s="379"/>
      <c r="G94" s="379"/>
      <c r="H94" s="277"/>
      <c r="I94" s="277"/>
      <c r="J94" s="277"/>
    </row>
    <row r="95" spans="3:10" x14ac:dyDescent="0.2">
      <c r="C95" s="380" t="s">
        <v>262</v>
      </c>
      <c r="D95" s="288"/>
      <c r="E95" s="379"/>
      <c r="F95" s="379"/>
      <c r="G95" s="379"/>
      <c r="H95" s="277"/>
      <c r="I95" s="277"/>
      <c r="J95" s="277"/>
    </row>
    <row r="96" spans="3:10" x14ac:dyDescent="0.2">
      <c r="C96" s="290" t="s">
        <v>263</v>
      </c>
      <c r="D96" s="288"/>
      <c r="E96" s="379"/>
      <c r="F96" s="379"/>
      <c r="G96" s="379"/>
      <c r="H96" s="379"/>
      <c r="I96" s="277"/>
      <c r="J96" s="277"/>
    </row>
    <row r="97" spans="3:10" x14ac:dyDescent="0.2">
      <c r="C97" s="380" t="s">
        <v>264</v>
      </c>
      <c r="D97" s="288"/>
      <c r="E97" s="379"/>
      <c r="F97" s="379"/>
      <c r="G97" s="379"/>
      <c r="H97" s="277"/>
      <c r="I97" s="277"/>
      <c r="J97" s="277"/>
    </row>
    <row r="98" spans="3:10" x14ac:dyDescent="0.2">
      <c r="C98" s="71" t="s">
        <v>265</v>
      </c>
      <c r="D98" s="288"/>
      <c r="E98" s="379"/>
      <c r="F98" s="379"/>
      <c r="G98" s="379"/>
      <c r="H98" s="277"/>
      <c r="I98" s="277"/>
      <c r="J98" s="277"/>
    </row>
    <row r="99" spans="3:10" x14ac:dyDescent="0.2">
      <c r="C99" s="71" t="s">
        <v>266</v>
      </c>
      <c r="D99" s="288"/>
      <c r="E99" s="379"/>
      <c r="F99" s="379"/>
      <c r="G99" s="379"/>
      <c r="H99" s="277"/>
      <c r="I99" s="277"/>
      <c r="J99" s="277"/>
    </row>
    <row r="100" spans="3:10" x14ac:dyDescent="0.2">
      <c r="C100" s="71" t="s">
        <v>267</v>
      </c>
      <c r="D100" s="288"/>
      <c r="E100" s="379"/>
      <c r="F100" s="379"/>
      <c r="G100" s="379"/>
      <c r="H100" s="277"/>
      <c r="I100" s="277"/>
      <c r="J100" s="277"/>
    </row>
    <row r="101" spans="3:10" x14ac:dyDescent="0.2">
      <c r="C101" s="71" t="s">
        <v>266</v>
      </c>
      <c r="D101" s="288"/>
      <c r="E101" s="379"/>
      <c r="F101" s="379"/>
      <c r="G101" s="379"/>
      <c r="H101" s="277"/>
      <c r="I101" s="277"/>
      <c r="J101" s="277"/>
    </row>
    <row r="102" spans="3:10" x14ac:dyDescent="0.2">
      <c r="C102" s="71" t="s">
        <v>268</v>
      </c>
      <c r="D102" s="288"/>
      <c r="E102" s="379"/>
      <c r="F102" s="379"/>
      <c r="G102" s="379"/>
      <c r="H102" s="277"/>
      <c r="I102" s="277"/>
      <c r="J102" s="277"/>
    </row>
    <row r="103" spans="3:10" x14ac:dyDescent="0.2">
      <c r="C103" s="380" t="s">
        <v>269</v>
      </c>
      <c r="D103" s="288"/>
      <c r="E103" s="379"/>
      <c r="F103" s="379"/>
      <c r="G103" s="379"/>
      <c r="H103" s="277"/>
      <c r="I103" s="277"/>
      <c r="J103" s="277"/>
    </row>
    <row r="104" spans="3:10" x14ac:dyDescent="0.2">
      <c r="C104" s="380" t="s">
        <v>270</v>
      </c>
      <c r="D104" s="288"/>
      <c r="E104" s="379"/>
      <c r="F104" s="379"/>
      <c r="G104" s="379"/>
      <c r="H104" s="277"/>
      <c r="I104" s="277"/>
      <c r="J104" s="277"/>
    </row>
    <row r="105" spans="3:10" x14ac:dyDescent="0.2">
      <c r="C105" s="72" t="s">
        <v>271</v>
      </c>
      <c r="D105" s="55"/>
      <c r="E105" s="55"/>
      <c r="F105" s="55"/>
      <c r="G105" s="55"/>
      <c r="H105" s="55"/>
      <c r="I105" s="55"/>
      <c r="J105" s="55"/>
    </row>
    <row r="106" spans="3:10" x14ac:dyDescent="0.2">
      <c r="C106" s="288" t="s">
        <v>272</v>
      </c>
      <c r="D106" s="277"/>
      <c r="E106" s="277"/>
      <c r="F106" s="277"/>
      <c r="G106" s="277"/>
      <c r="H106" s="277"/>
      <c r="I106" s="277"/>
      <c r="J106" s="277"/>
    </row>
    <row r="107" spans="3:10" x14ac:dyDescent="0.2">
      <c r="C107" s="72" t="s">
        <v>273</v>
      </c>
      <c r="D107" s="64"/>
      <c r="E107" s="64"/>
      <c r="F107" s="64"/>
      <c r="G107" s="64"/>
      <c r="H107" s="64"/>
      <c r="I107" s="64"/>
      <c r="J107" s="277"/>
    </row>
    <row r="108" spans="3:10" x14ac:dyDescent="0.2">
      <c r="C108" s="288" t="str">
        <f>"4) Determine the PBOPs exclusion.  The authorized amount of PBOPs expense (line "&amp;B68&amp;") may only be revised"</f>
        <v>4) Determine the PBOPs exclusion.  The authorized amount of PBOPs expense (line a) may only be revised</v>
      </c>
      <c r="D108" s="277"/>
      <c r="E108" s="277"/>
      <c r="F108" s="277"/>
      <c r="G108" s="277"/>
      <c r="H108" s="277"/>
      <c r="I108" s="277"/>
      <c r="J108" s="277"/>
    </row>
    <row r="109" spans="3:10" x14ac:dyDescent="0.2">
      <c r="C109" s="288" t="s">
        <v>274</v>
      </c>
      <c r="D109" s="277"/>
      <c r="E109" s="277"/>
      <c r="F109" s="277"/>
      <c r="G109" s="277"/>
      <c r="H109" s="277"/>
      <c r="I109" s="277"/>
      <c r="J109" s="277"/>
    </row>
    <row r="110" spans="3:10" x14ac:dyDescent="0.2">
      <c r="C110" s="288" t="s">
        <v>275</v>
      </c>
      <c r="D110" s="277"/>
      <c r="E110" s="277"/>
      <c r="F110" s="277"/>
      <c r="G110" s="277"/>
      <c r="H110" s="277"/>
      <c r="I110" s="277"/>
      <c r="J110" s="277"/>
    </row>
    <row r="111" spans="3:10" x14ac:dyDescent="0.2">
      <c r="C111" s="288" t="s">
        <v>276</v>
      </c>
      <c r="D111" s="277"/>
      <c r="E111" s="277"/>
      <c r="F111" s="277"/>
      <c r="G111" s="277"/>
      <c r="H111" s="277"/>
      <c r="I111" s="381" t="s">
        <v>277</v>
      </c>
      <c r="J111" s="382"/>
    </row>
    <row r="112" spans="3:10" x14ac:dyDescent="0.2">
      <c r="C112" s="288" t="s">
        <v>278</v>
      </c>
      <c r="D112" s="277"/>
      <c r="E112" s="277"/>
      <c r="F112" s="277"/>
      <c r="G112" s="277"/>
      <c r="H112" s="277"/>
      <c r="I112" s="277"/>
    </row>
  </sheetData>
  <pageMargins left="0.75" right="0.75" top="1" bottom="1" header="0.5" footer="0.5"/>
  <pageSetup scale="74" orientation="landscape" cellComments="asDisplayed" r:id="rId1"/>
  <headerFooter alignWithMargins="0">
    <oddHeader>&amp;CSchedule 20
Administrative and General Expenses
(Revised 2014 True Up TRR)
&amp;RTO11 Annual Update
Attachment 4
WP-Schedule 3-One Time Adj True Up Adj
Page &amp;P of &amp;N</oddHeader>
    <oddFooter>&amp;R&amp;A</oddFooter>
  </headerFooter>
  <rowBreaks count="2" manualBreakCount="2">
    <brk id="50" max="9" man="1"/>
    <brk id="74"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CC"/>
  </sheetPr>
  <dimension ref="A1:G54"/>
  <sheetViews>
    <sheetView showWhiteSpace="0" zoomScaleNormal="100" zoomScalePageLayoutView="80" workbookViewId="0"/>
  </sheetViews>
  <sheetFormatPr defaultRowHeight="12.75" x14ac:dyDescent="0.2"/>
  <cols>
    <col min="1" max="1" width="4.7109375" style="96" customWidth="1"/>
    <col min="2" max="2" width="14" style="67" customWidth="1"/>
    <col min="3" max="3" width="26.85546875" style="67" customWidth="1"/>
    <col min="4" max="4" width="28.5703125" style="67" customWidth="1"/>
    <col min="5" max="5" width="16.28515625" style="67" bestFit="1" customWidth="1"/>
    <col min="6" max="6" width="20.7109375" style="224" customWidth="1"/>
    <col min="7" max="7" width="9.7109375" style="67" customWidth="1"/>
    <col min="8" max="16384" width="9.140625" style="67"/>
  </cols>
  <sheetData>
    <row r="1" spans="1:7" x14ac:dyDescent="0.2">
      <c r="A1" s="143" t="s">
        <v>317</v>
      </c>
      <c r="C1" s="143"/>
      <c r="D1" s="143"/>
      <c r="E1" s="143"/>
    </row>
    <row r="2" spans="1:7" x14ac:dyDescent="0.2">
      <c r="A2" s="143"/>
      <c r="C2" s="143"/>
      <c r="D2" s="143"/>
      <c r="E2" s="225" t="s">
        <v>318</v>
      </c>
      <c r="F2" s="226">
        <v>2014</v>
      </c>
    </row>
    <row r="3" spans="1:7" x14ac:dyDescent="0.2">
      <c r="B3" s="143" t="s">
        <v>319</v>
      </c>
      <c r="C3" s="143"/>
      <c r="D3" s="143"/>
      <c r="E3" s="143"/>
    </row>
    <row r="4" spans="1:7" ht="15" x14ac:dyDescent="0.25">
      <c r="A4" s="129" t="s">
        <v>320</v>
      </c>
      <c r="C4" s="143"/>
      <c r="E4" s="100" t="s">
        <v>321</v>
      </c>
      <c r="F4" s="227" t="s">
        <v>45</v>
      </c>
    </row>
    <row r="5" spans="1:7" ht="15" x14ac:dyDescent="0.25">
      <c r="A5" s="228">
        <v>1</v>
      </c>
      <c r="B5" s="229" t="s">
        <v>322</v>
      </c>
      <c r="C5" s="229"/>
      <c r="D5" s="104"/>
      <c r="E5" s="230">
        <v>40885864</v>
      </c>
      <c r="F5" s="231" t="s">
        <v>168</v>
      </c>
    </row>
    <row r="6" spans="1:7" ht="15" x14ac:dyDescent="0.25">
      <c r="A6" s="228">
        <v>2</v>
      </c>
      <c r="B6" s="104" t="s">
        <v>323</v>
      </c>
      <c r="C6" s="104"/>
      <c r="D6" s="104"/>
      <c r="E6" s="232">
        <v>81804300</v>
      </c>
      <c r="F6" s="231" t="s">
        <v>228</v>
      </c>
    </row>
    <row r="7" spans="1:7" ht="15" x14ac:dyDescent="0.25">
      <c r="A7" s="228">
        <v>3</v>
      </c>
      <c r="B7" s="229" t="s">
        <v>324</v>
      </c>
      <c r="C7" s="229"/>
      <c r="D7" s="229"/>
      <c r="E7" s="233">
        <f>E5+E6</f>
        <v>122690164</v>
      </c>
      <c r="F7" s="123" t="str">
        <f>"Line "&amp;A5&amp;" + Line "&amp;A6&amp;""</f>
        <v>Line 1 + Line 2</v>
      </c>
    </row>
    <row r="8" spans="1:7" ht="15.75" x14ac:dyDescent="0.25">
      <c r="A8" s="234">
        <v>4</v>
      </c>
      <c r="B8" s="458" t="s">
        <v>325</v>
      </c>
      <c r="C8" s="459"/>
      <c r="D8" s="459"/>
      <c r="E8" s="230">
        <v>122690164</v>
      </c>
      <c r="F8" s="235" t="s">
        <v>326</v>
      </c>
      <c r="G8" s="236"/>
    </row>
    <row r="9" spans="1:7" ht="15" x14ac:dyDescent="0.25">
      <c r="A9" s="234"/>
      <c r="B9" s="237"/>
      <c r="C9" s="238"/>
      <c r="D9" s="238"/>
      <c r="E9" s="239"/>
      <c r="F9" s="240"/>
      <c r="G9" s="236"/>
    </row>
    <row r="10" spans="1:7" ht="15" x14ac:dyDescent="0.25">
      <c r="A10" s="234"/>
      <c r="B10" s="143" t="s">
        <v>327</v>
      </c>
      <c r="C10" s="238"/>
      <c r="D10" s="238"/>
      <c r="E10" s="239"/>
      <c r="F10" s="235"/>
      <c r="G10" s="236"/>
    </row>
    <row r="11" spans="1:7" ht="15.75" thickBot="1" x14ac:dyDescent="0.3">
      <c r="A11" s="241"/>
      <c r="B11" s="229"/>
      <c r="C11" s="229"/>
      <c r="D11" s="229"/>
      <c r="E11" s="233"/>
      <c r="F11" s="235"/>
      <c r="G11" s="236"/>
    </row>
    <row r="12" spans="1:7" ht="16.5" thickTop="1" thickBot="1" x14ac:dyDescent="0.3">
      <c r="A12" s="241">
        <v>5</v>
      </c>
      <c r="B12" s="229" t="s">
        <v>322</v>
      </c>
      <c r="C12" s="229"/>
      <c r="D12" s="229"/>
      <c r="E12" s="242">
        <v>36728902</v>
      </c>
      <c r="F12" s="235" t="s">
        <v>157</v>
      </c>
      <c r="G12" s="236"/>
    </row>
    <row r="13" spans="1:7" ht="15.75" thickBot="1" x14ac:dyDescent="0.3">
      <c r="A13" s="241">
        <v>6</v>
      </c>
      <c r="B13" s="229" t="s">
        <v>323</v>
      </c>
      <c r="C13" s="229"/>
      <c r="D13" s="229"/>
      <c r="E13" s="409">
        <v>149544061</v>
      </c>
      <c r="F13" s="231" t="s">
        <v>228</v>
      </c>
      <c r="G13" s="236"/>
    </row>
    <row r="14" spans="1:7" ht="15.75" thickTop="1" x14ac:dyDescent="0.25">
      <c r="A14" s="241">
        <v>7</v>
      </c>
      <c r="B14" s="229" t="s">
        <v>324</v>
      </c>
      <c r="C14" s="229"/>
      <c r="D14" s="229"/>
      <c r="E14" s="239">
        <f>E12+E13</f>
        <v>186272963</v>
      </c>
      <c r="F14" s="123" t="str">
        <f>"Line "&amp;A12&amp;" + Line "&amp;A13&amp;""</f>
        <v>Line 5 + Line 6</v>
      </c>
      <c r="G14" s="236"/>
    </row>
    <row r="15" spans="1:7" ht="15.75" x14ac:dyDescent="0.25">
      <c r="A15" s="234">
        <v>8</v>
      </c>
      <c r="B15" s="458" t="s">
        <v>328</v>
      </c>
      <c r="C15" s="459"/>
      <c r="D15" s="459"/>
      <c r="E15" s="230">
        <v>186272963</v>
      </c>
      <c r="F15" s="235" t="s">
        <v>329</v>
      </c>
      <c r="G15" s="236"/>
    </row>
    <row r="16" spans="1:7" ht="15" x14ac:dyDescent="0.25">
      <c r="A16" s="228"/>
      <c r="B16" s="229"/>
      <c r="C16" s="229"/>
      <c r="D16" s="229"/>
      <c r="E16" s="233"/>
      <c r="F16" s="231"/>
    </row>
    <row r="17" spans="1:7" ht="15" x14ac:dyDescent="0.25">
      <c r="A17" s="228">
        <v>9</v>
      </c>
      <c r="B17" s="229" t="s">
        <v>330</v>
      </c>
      <c r="C17" s="229"/>
      <c r="D17" s="229"/>
      <c r="E17" s="243">
        <f>(E5+E12)/2</f>
        <v>38807383</v>
      </c>
      <c r="F17" s="122" t="str">
        <f>"(Line "&amp;A5&amp;" + Line "&amp;A12&amp;") / 2"</f>
        <v>(Line 1 + Line 5) / 2</v>
      </c>
      <c r="G17" s="244"/>
    </row>
    <row r="18" spans="1:7" ht="15" x14ac:dyDescent="0.25">
      <c r="A18" s="228"/>
      <c r="B18" s="104"/>
      <c r="C18" s="245"/>
      <c r="D18" s="246"/>
      <c r="E18" s="233"/>
      <c r="F18" s="231"/>
    </row>
    <row r="19" spans="1:7" ht="15" x14ac:dyDescent="0.25">
      <c r="A19" s="228">
        <v>10</v>
      </c>
      <c r="B19" s="104" t="s">
        <v>331</v>
      </c>
      <c r="C19" s="245"/>
      <c r="D19" s="245"/>
      <c r="E19" s="247">
        <v>1555832</v>
      </c>
      <c r="F19" s="248" t="s">
        <v>222</v>
      </c>
    </row>
    <row r="20" spans="1:7" ht="15" x14ac:dyDescent="0.25">
      <c r="A20" s="228">
        <v>11</v>
      </c>
      <c r="B20" s="104" t="s">
        <v>332</v>
      </c>
      <c r="C20" s="245"/>
      <c r="D20" s="245"/>
      <c r="E20" s="232">
        <v>746251439</v>
      </c>
      <c r="F20" s="231" t="s">
        <v>228</v>
      </c>
    </row>
    <row r="21" spans="1:7" ht="15" x14ac:dyDescent="0.25">
      <c r="A21" s="228">
        <v>12</v>
      </c>
      <c r="B21" s="104" t="s">
        <v>333</v>
      </c>
      <c r="C21" s="245"/>
      <c r="D21" s="245"/>
      <c r="E21" s="249">
        <f>E19+E20</f>
        <v>747807271</v>
      </c>
      <c r="F21" s="123" t="str">
        <f>"Line "&amp;A19&amp;" + Line "&amp;A20&amp;""</f>
        <v>Line 10 + Line 11</v>
      </c>
    </row>
    <row r="22" spans="1:7" ht="15" x14ac:dyDescent="0.25">
      <c r="A22" s="228">
        <v>13</v>
      </c>
      <c r="B22" s="458" t="s">
        <v>334</v>
      </c>
      <c r="C22" s="459"/>
      <c r="D22" s="459"/>
      <c r="E22" s="247">
        <v>747807271</v>
      </c>
      <c r="F22" s="231" t="s">
        <v>335</v>
      </c>
    </row>
    <row r="23" spans="1:7" x14ac:dyDescent="0.2">
      <c r="C23" s="131"/>
      <c r="D23" s="131"/>
    </row>
    <row r="24" spans="1:7" x14ac:dyDescent="0.2">
      <c r="C24" s="131"/>
      <c r="D24" s="131"/>
    </row>
    <row r="25" spans="1:7" x14ac:dyDescent="0.2">
      <c r="A25" s="129" t="s">
        <v>336</v>
      </c>
    </row>
    <row r="26" spans="1:7" x14ac:dyDescent="0.2">
      <c r="A26" s="96">
        <v>1</v>
      </c>
      <c r="B26" s="104" t="s">
        <v>337</v>
      </c>
    </row>
    <row r="27" spans="1:7" x14ac:dyDescent="0.2">
      <c r="A27" s="96">
        <v>2</v>
      </c>
      <c r="B27" s="104" t="s">
        <v>338</v>
      </c>
    </row>
    <row r="28" spans="1:7" x14ac:dyDescent="0.2">
      <c r="A28" s="96">
        <v>3</v>
      </c>
      <c r="B28" s="67" t="s">
        <v>339</v>
      </c>
    </row>
    <row r="29" spans="1:7" x14ac:dyDescent="0.2">
      <c r="A29" s="96">
        <v>4</v>
      </c>
      <c r="B29" s="67" t="s">
        <v>340</v>
      </c>
      <c r="E29" s="250"/>
    </row>
    <row r="30" spans="1:7" x14ac:dyDescent="0.2">
      <c r="B30" s="67" t="s">
        <v>341</v>
      </c>
      <c r="E30" s="250"/>
    </row>
    <row r="31" spans="1:7" x14ac:dyDescent="0.2">
      <c r="E31" s="250"/>
    </row>
    <row r="32" spans="1:7" x14ac:dyDescent="0.2">
      <c r="A32" s="67"/>
      <c r="E32" s="250"/>
    </row>
    <row r="33" spans="1:5" x14ac:dyDescent="0.2">
      <c r="A33" s="67"/>
      <c r="E33" s="250"/>
    </row>
    <row r="34" spans="1:5" x14ac:dyDescent="0.2">
      <c r="A34" s="67"/>
      <c r="E34" s="250"/>
    </row>
    <row r="35" spans="1:5" x14ac:dyDescent="0.2">
      <c r="A35" s="67"/>
      <c r="E35" s="250"/>
    </row>
    <row r="39" spans="1:5" x14ac:dyDescent="0.2">
      <c r="A39" s="67"/>
      <c r="C39" s="251"/>
      <c r="D39" s="251"/>
      <c r="E39" s="251"/>
    </row>
    <row r="40" spans="1:5" x14ac:dyDescent="0.2">
      <c r="A40" s="67"/>
      <c r="C40" s="251"/>
      <c r="D40" s="251"/>
      <c r="E40" s="251"/>
    </row>
    <row r="41" spans="1:5" x14ac:dyDescent="0.2">
      <c r="A41" s="67"/>
      <c r="C41" s="251"/>
      <c r="D41" s="251"/>
      <c r="E41" s="251"/>
    </row>
    <row r="42" spans="1:5" x14ac:dyDescent="0.2">
      <c r="A42" s="67"/>
      <c r="C42" s="251"/>
      <c r="D42" s="251"/>
      <c r="E42" s="251"/>
    </row>
    <row r="43" spans="1:5" x14ac:dyDescent="0.2">
      <c r="A43" s="67"/>
      <c r="C43" s="251"/>
      <c r="D43" s="251"/>
      <c r="E43" s="251"/>
    </row>
    <row r="44" spans="1:5" x14ac:dyDescent="0.2">
      <c r="A44" s="67"/>
      <c r="C44" s="251"/>
      <c r="D44" s="251"/>
      <c r="E44" s="251"/>
    </row>
    <row r="45" spans="1:5" x14ac:dyDescent="0.2">
      <c r="A45" s="67"/>
      <c r="C45" s="251"/>
      <c r="D45" s="251"/>
      <c r="E45" s="251"/>
    </row>
    <row r="46" spans="1:5" x14ac:dyDescent="0.2">
      <c r="A46" s="67"/>
      <c r="C46" s="251"/>
      <c r="D46" s="251"/>
      <c r="E46" s="251"/>
    </row>
    <row r="47" spans="1:5" x14ac:dyDescent="0.2">
      <c r="A47" s="67"/>
      <c r="C47" s="251"/>
      <c r="D47" s="251"/>
      <c r="E47" s="251"/>
    </row>
    <row r="48" spans="1:5" x14ac:dyDescent="0.2">
      <c r="A48" s="67"/>
      <c r="C48" s="251"/>
      <c r="D48" s="251"/>
      <c r="E48" s="251"/>
    </row>
    <row r="49" spans="1:5" x14ac:dyDescent="0.2">
      <c r="A49" s="67"/>
      <c r="C49" s="251"/>
      <c r="D49" s="251"/>
      <c r="E49" s="251"/>
    </row>
    <row r="50" spans="1:5" x14ac:dyDescent="0.2">
      <c r="A50" s="67"/>
      <c r="C50" s="251"/>
      <c r="D50" s="251"/>
      <c r="E50" s="251"/>
    </row>
    <row r="51" spans="1:5" x14ac:dyDescent="0.2">
      <c r="A51" s="67"/>
      <c r="C51" s="251"/>
      <c r="D51" s="251"/>
      <c r="E51" s="251"/>
    </row>
    <row r="54" spans="1:5" x14ac:dyDescent="0.2">
      <c r="A54" s="67"/>
      <c r="E54" s="251"/>
    </row>
  </sheetData>
  <mergeCells count="3">
    <mergeCell ref="B8:D8"/>
    <mergeCell ref="B15:D15"/>
    <mergeCell ref="B22:D22"/>
  </mergeCells>
  <pageMargins left="0.7" right="0.7" top="1.19" bottom="0.5" header="0.3" footer="0.3"/>
  <pageSetup scale="75" orientation="portrait" cellComments="asDisplayed" r:id="rId1"/>
  <headerFooter>
    <oddHeader xml:space="preserve">&amp;CSchedule 22
Network Upgrade Credits and Interest Expense
(Revised 2014 True Up TRR)
&amp;RTO11 Annual Update
Attachment 4
WP-Schedule 3-One Time Adj True Up Adj
Page &amp;P of &amp;N
</oddHeader>
    <oddFooter>&amp;R&amp;A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7"/>
  <sheetViews>
    <sheetView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9.42578125" style="1" bestFit="1" customWidth="1"/>
    <col min="11" max="11" width="18.85546875" style="1" bestFit="1" customWidth="1"/>
    <col min="12" max="12" width="15.5703125" style="1" bestFit="1" customWidth="1"/>
    <col min="13" max="13" width="16" style="1" customWidth="1"/>
    <col min="14" max="14" width="15.42578125" style="1" customWidth="1"/>
    <col min="15" max="15" width="14" style="1" bestFit="1" customWidth="1"/>
    <col min="16" max="16384" width="9.140625" style="1"/>
  </cols>
  <sheetData>
    <row r="2" spans="1:15" ht="15.75" thickBot="1" x14ac:dyDescent="0.3"/>
    <row r="3" spans="1:15" x14ac:dyDescent="0.25">
      <c r="A3" s="31" t="s">
        <v>27</v>
      </c>
      <c r="B3" s="32"/>
      <c r="C3" s="32"/>
      <c r="D3" s="32"/>
      <c r="E3" s="32"/>
      <c r="F3" s="32"/>
      <c r="G3" s="32"/>
      <c r="H3" s="32"/>
      <c r="I3" s="32"/>
      <c r="J3" s="32"/>
      <c r="K3" s="32"/>
      <c r="L3" s="32"/>
      <c r="M3" s="32"/>
      <c r="N3" s="32"/>
      <c r="O3" s="33"/>
    </row>
    <row r="4" spans="1:15" ht="15.75" thickBot="1" x14ac:dyDescent="0.3">
      <c r="A4" s="2"/>
      <c r="B4" s="3"/>
      <c r="C4" s="3"/>
      <c r="D4" s="3"/>
      <c r="E4" s="3"/>
      <c r="F4" s="3"/>
      <c r="G4" s="3"/>
      <c r="H4" s="3"/>
      <c r="I4" s="3"/>
      <c r="J4" s="3"/>
      <c r="K4" s="3"/>
      <c r="L4" s="3"/>
      <c r="M4" s="3"/>
      <c r="N4" s="3"/>
      <c r="O4" s="4"/>
    </row>
    <row r="5" spans="1:15" ht="32.25" customHeight="1" thickBot="1" x14ac:dyDescent="0.3">
      <c r="A5" s="418" t="s">
        <v>342</v>
      </c>
      <c r="B5" s="419"/>
      <c r="C5" s="419"/>
      <c r="D5" s="419"/>
      <c r="E5" s="419"/>
      <c r="F5" s="419"/>
      <c r="G5" s="420"/>
      <c r="H5" s="418" t="s">
        <v>28</v>
      </c>
      <c r="I5" s="419"/>
      <c r="J5" s="419"/>
      <c r="K5" s="419"/>
      <c r="L5" s="418" t="s">
        <v>295</v>
      </c>
      <c r="M5" s="419"/>
      <c r="N5" s="419"/>
      <c r="O5" s="420"/>
    </row>
    <row r="6" spans="1:15" ht="15" customHeight="1" x14ac:dyDescent="0.25">
      <c r="A6" s="39"/>
      <c r="B6" s="40"/>
      <c r="C6" s="40"/>
      <c r="D6" s="40"/>
      <c r="E6" s="41" t="s">
        <v>19</v>
      </c>
      <c r="F6" s="42"/>
      <c r="G6" s="43"/>
      <c r="H6" s="5"/>
      <c r="I6" s="6" t="s">
        <v>19</v>
      </c>
      <c r="J6" s="7"/>
      <c r="K6" s="8"/>
      <c r="L6" s="39"/>
      <c r="M6" s="41" t="s">
        <v>19</v>
      </c>
      <c r="N6" s="42"/>
      <c r="O6" s="43"/>
    </row>
    <row r="7" spans="1:15" ht="15" customHeight="1" x14ac:dyDescent="0.25">
      <c r="A7" s="14"/>
      <c r="B7" s="5"/>
      <c r="C7" s="5"/>
      <c r="D7" s="5"/>
      <c r="E7" s="6" t="s">
        <v>4</v>
      </c>
      <c r="F7" s="10"/>
      <c r="G7" s="11" t="s">
        <v>19</v>
      </c>
      <c r="H7" s="5"/>
      <c r="I7" s="6" t="s">
        <v>4</v>
      </c>
      <c r="J7" s="10"/>
      <c r="K7" s="11" t="s">
        <v>19</v>
      </c>
      <c r="L7" s="14"/>
      <c r="M7" s="6" t="s">
        <v>4</v>
      </c>
      <c r="N7" s="10"/>
      <c r="O7" s="11" t="s">
        <v>19</v>
      </c>
    </row>
    <row r="8" spans="1:15" ht="15" customHeight="1" x14ac:dyDescent="0.25">
      <c r="A8" s="14"/>
      <c r="B8" s="5"/>
      <c r="C8" s="5"/>
      <c r="D8" s="5"/>
      <c r="E8" s="6" t="s">
        <v>5</v>
      </c>
      <c r="F8" s="10"/>
      <c r="G8" s="11" t="s">
        <v>4</v>
      </c>
      <c r="H8" s="5"/>
      <c r="I8" s="6" t="s">
        <v>5</v>
      </c>
      <c r="J8" s="10"/>
      <c r="K8" s="11" t="s">
        <v>4</v>
      </c>
      <c r="L8" s="14"/>
      <c r="M8" s="6" t="s">
        <v>5</v>
      </c>
      <c r="N8" s="10"/>
      <c r="O8" s="11" t="s">
        <v>4</v>
      </c>
    </row>
    <row r="9" spans="1:15" ht="15" customHeight="1" x14ac:dyDescent="0.25">
      <c r="A9" s="14"/>
      <c r="B9" s="5"/>
      <c r="C9" s="9" t="s">
        <v>1</v>
      </c>
      <c r="D9" s="6" t="s">
        <v>1</v>
      </c>
      <c r="E9" s="6" t="s">
        <v>2</v>
      </c>
      <c r="F9" s="13" t="s">
        <v>3</v>
      </c>
      <c r="G9" s="11" t="s">
        <v>5</v>
      </c>
      <c r="H9" s="6" t="s">
        <v>1</v>
      </c>
      <c r="I9" s="6" t="s">
        <v>2</v>
      </c>
      <c r="J9" s="13" t="s">
        <v>3</v>
      </c>
      <c r="K9" s="11" t="s">
        <v>5</v>
      </c>
      <c r="L9" s="257" t="s">
        <v>1</v>
      </c>
      <c r="M9" s="6" t="s">
        <v>2</v>
      </c>
      <c r="N9" s="13" t="s">
        <v>3</v>
      </c>
      <c r="O9" s="11" t="s">
        <v>5</v>
      </c>
    </row>
    <row r="10" spans="1:15" ht="15" customHeight="1" x14ac:dyDescent="0.25">
      <c r="A10" s="14"/>
      <c r="B10" s="5"/>
      <c r="C10" s="12" t="s">
        <v>3</v>
      </c>
      <c r="D10" s="6" t="s">
        <v>20</v>
      </c>
      <c r="E10" s="6" t="s">
        <v>22</v>
      </c>
      <c r="F10" s="6" t="s">
        <v>23</v>
      </c>
      <c r="G10" s="11" t="s">
        <v>2</v>
      </c>
      <c r="H10" s="6" t="s">
        <v>20</v>
      </c>
      <c r="I10" s="6" t="s">
        <v>22</v>
      </c>
      <c r="J10" s="6" t="s">
        <v>23</v>
      </c>
      <c r="K10" s="11" t="s">
        <v>2</v>
      </c>
      <c r="L10" s="257" t="s">
        <v>20</v>
      </c>
      <c r="M10" s="6" t="s">
        <v>22</v>
      </c>
      <c r="N10" s="6" t="s">
        <v>23</v>
      </c>
      <c r="O10" s="11" t="s">
        <v>2</v>
      </c>
    </row>
    <row r="11" spans="1:15" ht="15.75" customHeight="1" x14ac:dyDescent="0.25">
      <c r="A11" s="29" t="s">
        <v>16</v>
      </c>
      <c r="B11" s="28" t="s">
        <v>17</v>
      </c>
      <c r="C11" s="28" t="s">
        <v>0</v>
      </c>
      <c r="D11" s="27" t="s">
        <v>26</v>
      </c>
      <c r="E11" s="27" t="s">
        <v>24</v>
      </c>
      <c r="F11" s="27" t="s">
        <v>16</v>
      </c>
      <c r="G11" s="30" t="s">
        <v>21</v>
      </c>
      <c r="H11" s="27" t="s">
        <v>26</v>
      </c>
      <c r="I11" s="27" t="s">
        <v>24</v>
      </c>
      <c r="J11" s="27" t="s">
        <v>16</v>
      </c>
      <c r="K11" s="30" t="s">
        <v>21</v>
      </c>
      <c r="L11" s="258" t="s">
        <v>26</v>
      </c>
      <c r="M11" s="27" t="s">
        <v>24</v>
      </c>
      <c r="N11" s="27" t="s">
        <v>16</v>
      </c>
      <c r="O11" s="30" t="s">
        <v>21</v>
      </c>
    </row>
    <row r="12" spans="1:15" x14ac:dyDescent="0.25">
      <c r="A12" s="14" t="s">
        <v>7</v>
      </c>
      <c r="B12" s="256" t="s">
        <v>343</v>
      </c>
      <c r="C12" s="15">
        <v>2.7000000000000001E-3</v>
      </c>
      <c r="D12" s="16">
        <f>'WP-2012 True Up TRR Adj'!D8/12</f>
        <v>-17504.08008491993</v>
      </c>
      <c r="E12" s="17">
        <f>D12</f>
        <v>-17504.08008491993</v>
      </c>
      <c r="F12" s="17">
        <f>((E12)/2)*C12</f>
        <v>-23.630508114641906</v>
      </c>
      <c r="G12" s="19">
        <f>E12+F12</f>
        <v>-17527.710593034572</v>
      </c>
      <c r="H12" s="16">
        <v>0</v>
      </c>
      <c r="I12" s="17">
        <f>H12</f>
        <v>0</v>
      </c>
      <c r="J12" s="17">
        <f>((H12)/2)*C12</f>
        <v>0</v>
      </c>
      <c r="K12" s="19">
        <f>I12+J12</f>
        <v>0</v>
      </c>
      <c r="L12" s="87">
        <v>0</v>
      </c>
      <c r="M12" s="17">
        <f>L12</f>
        <v>0</v>
      </c>
      <c r="N12" s="17">
        <f>((L12)/2)*C12</f>
        <v>0</v>
      </c>
      <c r="O12" s="19">
        <f>M12+N12</f>
        <v>0</v>
      </c>
    </row>
    <row r="13" spans="1:15" x14ac:dyDescent="0.25">
      <c r="A13" s="14" t="s">
        <v>8</v>
      </c>
      <c r="B13" s="256" t="s">
        <v>343</v>
      </c>
      <c r="C13" s="15">
        <v>2.7000000000000001E-3</v>
      </c>
      <c r="D13" s="16">
        <f>D12</f>
        <v>-17504.08008491993</v>
      </c>
      <c r="E13" s="17">
        <f>D13+G12</f>
        <v>-35031.790677954501</v>
      </c>
      <c r="F13" s="18">
        <f>(((E13+G12))/2)*C13</f>
        <v>-70.955326715835255</v>
      </c>
      <c r="G13" s="19">
        <f t="shared" ref="G13:G23" si="0">E13+F13</f>
        <v>-35102.746004670335</v>
      </c>
      <c r="H13" s="16">
        <v>0</v>
      </c>
      <c r="I13" s="17">
        <f>H13+K12</f>
        <v>0</v>
      </c>
      <c r="J13" s="18">
        <f>(((I13+K12))/2)*C13</f>
        <v>0</v>
      </c>
      <c r="K13" s="19">
        <f t="shared" ref="K13:K23" si="1">I13+J13</f>
        <v>0</v>
      </c>
      <c r="L13" s="87">
        <v>0</v>
      </c>
      <c r="M13" s="17">
        <f>L13+O12</f>
        <v>0</v>
      </c>
      <c r="N13" s="18">
        <f>(((M13+O12))/2)*C13</f>
        <v>0</v>
      </c>
      <c r="O13" s="19">
        <f t="shared" ref="O13:O23" si="2">M13+N13</f>
        <v>0</v>
      </c>
    </row>
    <row r="14" spans="1:15" x14ac:dyDescent="0.25">
      <c r="A14" s="14" t="s">
        <v>18</v>
      </c>
      <c r="B14" s="256" t="s">
        <v>343</v>
      </c>
      <c r="C14" s="15">
        <v>2.7000000000000001E-3</v>
      </c>
      <c r="D14" s="16">
        <f t="shared" ref="D14:D23" si="3">D13</f>
        <v>-17504.08008491993</v>
      </c>
      <c r="E14" s="17">
        <f t="shared" ref="E14:E47" si="4">D14+G13</f>
        <v>-52606.826089590264</v>
      </c>
      <c r="F14" s="18">
        <f>(((E14+G13))/2)*C14</f>
        <v>-118.40792232725181</v>
      </c>
      <c r="G14" s="19">
        <f t="shared" si="0"/>
        <v>-52725.234011917513</v>
      </c>
      <c r="H14" s="16">
        <v>0</v>
      </c>
      <c r="I14" s="17">
        <f t="shared" ref="I14:I47" si="5">H14+K13</f>
        <v>0</v>
      </c>
      <c r="J14" s="18">
        <f t="shared" ref="J14:J47" si="6">(((I14+K13))/2)*C14</f>
        <v>0</v>
      </c>
      <c r="K14" s="19">
        <f t="shared" si="1"/>
        <v>0</v>
      </c>
      <c r="L14" s="87">
        <v>0</v>
      </c>
      <c r="M14" s="17">
        <f t="shared" ref="M14:M35" si="7">L14+O13</f>
        <v>0</v>
      </c>
      <c r="N14" s="18">
        <f>(((M14+O13))/2)*C14</f>
        <v>0</v>
      </c>
      <c r="O14" s="19">
        <f t="shared" si="2"/>
        <v>0</v>
      </c>
    </row>
    <row r="15" spans="1:15" x14ac:dyDescent="0.25">
      <c r="A15" s="14" t="s">
        <v>9</v>
      </c>
      <c r="B15" s="256" t="s">
        <v>343</v>
      </c>
      <c r="C15" s="15">
        <v>2.7000000000000001E-3</v>
      </c>
      <c r="D15" s="16">
        <f t="shared" si="3"/>
        <v>-17504.08008491993</v>
      </c>
      <c r="E15" s="17">
        <f t="shared" si="4"/>
        <v>-70229.31409683745</v>
      </c>
      <c r="F15" s="18">
        <f t="shared" ref="F15:F47" si="8">(((E15+G14))/2)*C15</f>
        <v>-165.98863994681921</v>
      </c>
      <c r="G15" s="19">
        <f t="shared" si="0"/>
        <v>-70395.302736784273</v>
      </c>
      <c r="H15" s="16">
        <v>0</v>
      </c>
      <c r="I15" s="17">
        <f t="shared" si="5"/>
        <v>0</v>
      </c>
      <c r="J15" s="18">
        <f t="shared" si="6"/>
        <v>0</v>
      </c>
      <c r="K15" s="19">
        <f t="shared" si="1"/>
        <v>0</v>
      </c>
      <c r="L15" s="87">
        <v>0</v>
      </c>
      <c r="M15" s="17">
        <f t="shared" si="7"/>
        <v>0</v>
      </c>
      <c r="N15" s="18">
        <f>(((M15+O14))/2)*C15</f>
        <v>0</v>
      </c>
      <c r="O15" s="19">
        <f t="shared" si="2"/>
        <v>0</v>
      </c>
    </row>
    <row r="16" spans="1:15" x14ac:dyDescent="0.25">
      <c r="A16" s="14" t="s">
        <v>10</v>
      </c>
      <c r="B16" s="256" t="s">
        <v>343</v>
      </c>
      <c r="C16" s="15">
        <v>2.7000000000000001E-3</v>
      </c>
      <c r="D16" s="16">
        <f t="shared" si="3"/>
        <v>-17504.08008491993</v>
      </c>
      <c r="E16" s="17">
        <f t="shared" si="4"/>
        <v>-87899.382821704203</v>
      </c>
      <c r="F16" s="18">
        <f t="shared" si="8"/>
        <v>-213.69782550395945</v>
      </c>
      <c r="G16" s="19">
        <f t="shared" si="0"/>
        <v>-88113.08064720816</v>
      </c>
      <c r="H16" s="16">
        <v>0</v>
      </c>
      <c r="I16" s="17">
        <f t="shared" si="5"/>
        <v>0</v>
      </c>
      <c r="J16" s="18">
        <f t="shared" si="6"/>
        <v>0</v>
      </c>
      <c r="K16" s="19">
        <f t="shared" si="1"/>
        <v>0</v>
      </c>
      <c r="L16" s="87">
        <v>0</v>
      </c>
      <c r="M16" s="17">
        <f t="shared" si="7"/>
        <v>0</v>
      </c>
      <c r="N16" s="18">
        <f>(((M16+O15))/2)*C16</f>
        <v>0</v>
      </c>
      <c r="O16" s="19">
        <f t="shared" si="2"/>
        <v>0</v>
      </c>
    </row>
    <row r="17" spans="1:15" x14ac:dyDescent="0.25">
      <c r="A17" s="14" t="s">
        <v>25</v>
      </c>
      <c r="B17" s="256" t="s">
        <v>343</v>
      </c>
      <c r="C17" s="15">
        <v>2.7000000000000001E-3</v>
      </c>
      <c r="D17" s="16">
        <f t="shared" si="3"/>
        <v>-17504.08008491993</v>
      </c>
      <c r="E17" s="17">
        <f t="shared" si="4"/>
        <v>-105617.16073212809</v>
      </c>
      <c r="F17" s="18">
        <f t="shared" si="8"/>
        <v>-261.53582586210393</v>
      </c>
      <c r="G17" s="19">
        <f t="shared" si="0"/>
        <v>-105878.69655799019</v>
      </c>
      <c r="H17" s="16">
        <v>0</v>
      </c>
      <c r="I17" s="17">
        <f t="shared" si="5"/>
        <v>0</v>
      </c>
      <c r="J17" s="18">
        <f t="shared" si="6"/>
        <v>0</v>
      </c>
      <c r="K17" s="19">
        <f t="shared" si="1"/>
        <v>0</v>
      </c>
      <c r="L17" s="87">
        <v>0</v>
      </c>
      <c r="M17" s="17">
        <f t="shared" si="7"/>
        <v>0</v>
      </c>
      <c r="N17" s="18">
        <f>(((M17+O16))/2)*C17</f>
        <v>0</v>
      </c>
      <c r="O17" s="19">
        <f t="shared" si="2"/>
        <v>0</v>
      </c>
    </row>
    <row r="18" spans="1:15" x14ac:dyDescent="0.25">
      <c r="A18" s="14" t="s">
        <v>11</v>
      </c>
      <c r="B18" s="256" t="s">
        <v>343</v>
      </c>
      <c r="C18" s="15">
        <v>2.7000000000000001E-3</v>
      </c>
      <c r="D18" s="16">
        <f t="shared" si="3"/>
        <v>-17504.08008491993</v>
      </c>
      <c r="E18" s="17">
        <f t="shared" si="4"/>
        <v>-123382.77664291012</v>
      </c>
      <c r="F18" s="18">
        <f t="shared" si="8"/>
        <v>-309.50298882121541</v>
      </c>
      <c r="G18" s="19">
        <f t="shared" si="0"/>
        <v>-123692.27963173133</v>
      </c>
      <c r="H18" s="16">
        <v>0</v>
      </c>
      <c r="I18" s="17">
        <f t="shared" si="5"/>
        <v>0</v>
      </c>
      <c r="J18" s="18">
        <f t="shared" si="6"/>
        <v>0</v>
      </c>
      <c r="K18" s="19">
        <f t="shared" si="1"/>
        <v>0</v>
      </c>
      <c r="L18" s="87">
        <v>0</v>
      </c>
      <c r="M18" s="17">
        <f t="shared" si="7"/>
        <v>0</v>
      </c>
      <c r="N18" s="18">
        <f t="shared" ref="N18:N47" si="9">(((M18+O17))/2)*C18</f>
        <v>0</v>
      </c>
      <c r="O18" s="19">
        <f t="shared" si="2"/>
        <v>0</v>
      </c>
    </row>
    <row r="19" spans="1:15" x14ac:dyDescent="0.25">
      <c r="A19" s="14" t="s">
        <v>12</v>
      </c>
      <c r="B19" s="256" t="s">
        <v>343</v>
      </c>
      <c r="C19" s="15">
        <v>2.7000000000000001E-3</v>
      </c>
      <c r="D19" s="16">
        <f t="shared" si="3"/>
        <v>-17504.08008491993</v>
      </c>
      <c r="E19" s="17">
        <f t="shared" si="4"/>
        <v>-141196.35971665126</v>
      </c>
      <c r="F19" s="18">
        <f t="shared" si="8"/>
        <v>-357.59966312031651</v>
      </c>
      <c r="G19" s="19">
        <f t="shared" si="0"/>
        <v>-141553.95937977158</v>
      </c>
      <c r="H19" s="16">
        <v>0</v>
      </c>
      <c r="I19" s="17">
        <f t="shared" si="5"/>
        <v>0</v>
      </c>
      <c r="J19" s="18">
        <f t="shared" si="6"/>
        <v>0</v>
      </c>
      <c r="K19" s="19">
        <f t="shared" si="1"/>
        <v>0</v>
      </c>
      <c r="L19" s="87">
        <v>0</v>
      </c>
      <c r="M19" s="17">
        <f t="shared" si="7"/>
        <v>0</v>
      </c>
      <c r="N19" s="18">
        <f t="shared" si="9"/>
        <v>0</v>
      </c>
      <c r="O19" s="19">
        <f t="shared" si="2"/>
        <v>0</v>
      </c>
    </row>
    <row r="20" spans="1:15" x14ac:dyDescent="0.25">
      <c r="A20" s="14" t="s">
        <v>13</v>
      </c>
      <c r="B20" s="256" t="s">
        <v>343</v>
      </c>
      <c r="C20" s="15">
        <v>2.7000000000000001E-3</v>
      </c>
      <c r="D20" s="16">
        <f t="shared" si="3"/>
        <v>-17504.08008491993</v>
      </c>
      <c r="E20" s="17">
        <f t="shared" si="4"/>
        <v>-159058.03946469151</v>
      </c>
      <c r="F20" s="18">
        <f t="shared" si="8"/>
        <v>-405.82619844002517</v>
      </c>
      <c r="G20" s="19">
        <f t="shared" si="0"/>
        <v>-159463.86566313152</v>
      </c>
      <c r="H20" s="16">
        <v>0</v>
      </c>
      <c r="I20" s="17">
        <f t="shared" si="5"/>
        <v>0</v>
      </c>
      <c r="J20" s="18">
        <f t="shared" si="6"/>
        <v>0</v>
      </c>
      <c r="K20" s="19">
        <f t="shared" si="1"/>
        <v>0</v>
      </c>
      <c r="L20" s="87">
        <v>0</v>
      </c>
      <c r="M20" s="17">
        <f t="shared" si="7"/>
        <v>0</v>
      </c>
      <c r="N20" s="18">
        <f t="shared" si="9"/>
        <v>0</v>
      </c>
      <c r="O20" s="19">
        <f t="shared" si="2"/>
        <v>0</v>
      </c>
    </row>
    <row r="21" spans="1:15" x14ac:dyDescent="0.25">
      <c r="A21" s="14" t="s">
        <v>15</v>
      </c>
      <c r="B21" s="256" t="s">
        <v>343</v>
      </c>
      <c r="C21" s="15">
        <v>2.7000000000000001E-3</v>
      </c>
      <c r="D21" s="16">
        <f t="shared" si="3"/>
        <v>-17504.08008491993</v>
      </c>
      <c r="E21" s="17">
        <f t="shared" si="4"/>
        <v>-176967.94574805145</v>
      </c>
      <c r="F21" s="18">
        <f t="shared" si="8"/>
        <v>-454.18294540509703</v>
      </c>
      <c r="G21" s="19">
        <f t="shared" si="0"/>
        <v>-177422.12869345656</v>
      </c>
      <c r="H21" s="16">
        <v>0</v>
      </c>
      <c r="I21" s="17">
        <f t="shared" si="5"/>
        <v>0</v>
      </c>
      <c r="J21" s="18">
        <f t="shared" si="6"/>
        <v>0</v>
      </c>
      <c r="K21" s="19">
        <f t="shared" si="1"/>
        <v>0</v>
      </c>
      <c r="L21" s="87">
        <v>0</v>
      </c>
      <c r="M21" s="17">
        <f t="shared" si="7"/>
        <v>0</v>
      </c>
      <c r="N21" s="18">
        <f t="shared" si="9"/>
        <v>0</v>
      </c>
      <c r="O21" s="19">
        <f t="shared" si="2"/>
        <v>0</v>
      </c>
    </row>
    <row r="22" spans="1:15" x14ac:dyDescent="0.25">
      <c r="A22" s="14" t="s">
        <v>14</v>
      </c>
      <c r="B22" s="256" t="s">
        <v>343</v>
      </c>
      <c r="C22" s="15">
        <v>2.7000000000000001E-3</v>
      </c>
      <c r="D22" s="16">
        <f t="shared" si="3"/>
        <v>-17504.08008491993</v>
      </c>
      <c r="E22" s="17">
        <f t="shared" si="4"/>
        <v>-194926.20877837649</v>
      </c>
      <c r="F22" s="18">
        <f t="shared" si="8"/>
        <v>-502.67025558697463</v>
      </c>
      <c r="G22" s="19">
        <f t="shared" si="0"/>
        <v>-195428.87903396346</v>
      </c>
      <c r="H22" s="16">
        <v>0</v>
      </c>
      <c r="I22" s="17">
        <f t="shared" si="5"/>
        <v>0</v>
      </c>
      <c r="J22" s="18">
        <f t="shared" si="6"/>
        <v>0</v>
      </c>
      <c r="K22" s="19">
        <f t="shared" si="1"/>
        <v>0</v>
      </c>
      <c r="L22" s="87">
        <v>0</v>
      </c>
      <c r="M22" s="17">
        <f t="shared" si="7"/>
        <v>0</v>
      </c>
      <c r="N22" s="18">
        <f t="shared" si="9"/>
        <v>0</v>
      </c>
      <c r="O22" s="19">
        <f t="shared" si="2"/>
        <v>0</v>
      </c>
    </row>
    <row r="23" spans="1:15" x14ac:dyDescent="0.25">
      <c r="A23" s="14" t="s">
        <v>6</v>
      </c>
      <c r="B23" s="256" t="s">
        <v>343</v>
      </c>
      <c r="C23" s="15">
        <v>2.7000000000000001E-3</v>
      </c>
      <c r="D23" s="16">
        <f t="shared" si="3"/>
        <v>-17504.08008491993</v>
      </c>
      <c r="E23" s="17">
        <f t="shared" si="4"/>
        <v>-212932.95911888339</v>
      </c>
      <c r="F23" s="18">
        <f t="shared" si="8"/>
        <v>-551.28848150634326</v>
      </c>
      <c r="G23" s="17">
        <f t="shared" si="0"/>
        <v>-213484.24760038973</v>
      </c>
      <c r="H23" s="87">
        <v>0</v>
      </c>
      <c r="I23" s="17">
        <f t="shared" si="5"/>
        <v>0</v>
      </c>
      <c r="J23" s="18">
        <f t="shared" si="6"/>
        <v>0</v>
      </c>
      <c r="K23" s="19">
        <f t="shared" si="1"/>
        <v>0</v>
      </c>
      <c r="L23" s="87">
        <v>0</v>
      </c>
      <c r="M23" s="17">
        <f t="shared" si="7"/>
        <v>0</v>
      </c>
      <c r="N23" s="18">
        <f t="shared" si="9"/>
        <v>0</v>
      </c>
      <c r="O23" s="19">
        <f t="shared" si="2"/>
        <v>0</v>
      </c>
    </row>
    <row r="24" spans="1:15" x14ac:dyDescent="0.25">
      <c r="A24" s="14" t="s">
        <v>7</v>
      </c>
      <c r="B24" s="34" t="s">
        <v>29</v>
      </c>
      <c r="C24" s="15">
        <v>2.7000000000000001E-3</v>
      </c>
      <c r="D24" s="16">
        <v>0</v>
      </c>
      <c r="E24" s="17">
        <f t="shared" si="4"/>
        <v>-213484.24760038973</v>
      </c>
      <c r="F24" s="18">
        <f t="shared" si="8"/>
        <v>-576.40746852105235</v>
      </c>
      <c r="G24" s="19">
        <f>E24+F24</f>
        <v>-214060.6550689108</v>
      </c>
      <c r="H24" s="16">
        <f>'WP-2013 True Up TRR Adj'!D8/12</f>
        <v>12576.416973064343</v>
      </c>
      <c r="I24" s="17">
        <f t="shared" si="5"/>
        <v>12576.416973064343</v>
      </c>
      <c r="J24" s="18">
        <f t="shared" si="6"/>
        <v>16.978162913636865</v>
      </c>
      <c r="K24" s="19">
        <f>I24+J24</f>
        <v>12593.395135977978</v>
      </c>
      <c r="L24" s="87">
        <v>0</v>
      </c>
      <c r="M24" s="17">
        <f t="shared" si="7"/>
        <v>0</v>
      </c>
      <c r="N24" s="18">
        <f t="shared" si="9"/>
        <v>0</v>
      </c>
      <c r="O24" s="19">
        <f>M24+N24</f>
        <v>0</v>
      </c>
    </row>
    <row r="25" spans="1:15" x14ac:dyDescent="0.25">
      <c r="A25" s="14" t="s">
        <v>8</v>
      </c>
      <c r="B25" s="34" t="s">
        <v>29</v>
      </c>
      <c r="C25" s="15">
        <v>2.7000000000000001E-3</v>
      </c>
      <c r="D25" s="16">
        <v>0</v>
      </c>
      <c r="E25" s="17">
        <f t="shared" si="4"/>
        <v>-214060.6550689108</v>
      </c>
      <c r="F25" s="18">
        <f t="shared" si="8"/>
        <v>-577.96376868605921</v>
      </c>
      <c r="G25" s="19">
        <f t="shared" ref="G25:G46" si="10">E25+F25</f>
        <v>-214638.61883759685</v>
      </c>
      <c r="H25" s="16">
        <f t="shared" ref="H25:H35" si="11">H24</f>
        <v>12576.416973064343</v>
      </c>
      <c r="I25" s="17">
        <f t="shared" si="5"/>
        <v>25169.812109042323</v>
      </c>
      <c r="J25" s="18">
        <f t="shared" si="6"/>
        <v>50.980329780777403</v>
      </c>
      <c r="K25" s="19">
        <f t="shared" ref="K25:K47" si="12">I25+J25</f>
        <v>25220.7924388231</v>
      </c>
      <c r="L25" s="87">
        <v>0</v>
      </c>
      <c r="M25" s="17">
        <f t="shared" si="7"/>
        <v>0</v>
      </c>
      <c r="N25" s="18">
        <f t="shared" si="9"/>
        <v>0</v>
      </c>
      <c r="O25" s="19">
        <f t="shared" ref="O25:O47" si="13">M25+N25</f>
        <v>0</v>
      </c>
    </row>
    <row r="26" spans="1:15" x14ac:dyDescent="0.25">
      <c r="A26" s="14" t="s">
        <v>18</v>
      </c>
      <c r="B26" s="34" t="s">
        <v>29</v>
      </c>
      <c r="C26" s="15">
        <v>2.7000000000000001E-3</v>
      </c>
      <c r="D26" s="16">
        <v>0</v>
      </c>
      <c r="E26" s="17">
        <f t="shared" si="4"/>
        <v>-214638.61883759685</v>
      </c>
      <c r="F26" s="18">
        <f t="shared" si="8"/>
        <v>-579.52427086151147</v>
      </c>
      <c r="G26" s="19">
        <f t="shared" si="10"/>
        <v>-215218.14310845837</v>
      </c>
      <c r="H26" s="16">
        <f t="shared" si="11"/>
        <v>12576.416973064343</v>
      </c>
      <c r="I26" s="17">
        <f t="shared" si="5"/>
        <v>37797.209411887445</v>
      </c>
      <c r="J26" s="18">
        <f t="shared" si="6"/>
        <v>85.074302498459232</v>
      </c>
      <c r="K26" s="19">
        <f t="shared" si="12"/>
        <v>37882.283714385907</v>
      </c>
      <c r="L26" s="87">
        <v>0</v>
      </c>
      <c r="M26" s="17">
        <f t="shared" si="7"/>
        <v>0</v>
      </c>
      <c r="N26" s="18">
        <f t="shared" si="9"/>
        <v>0</v>
      </c>
      <c r="O26" s="19">
        <f t="shared" si="13"/>
        <v>0</v>
      </c>
    </row>
    <row r="27" spans="1:15" x14ac:dyDescent="0.25">
      <c r="A27" s="14" t="s">
        <v>9</v>
      </c>
      <c r="B27" s="34" t="s">
        <v>29</v>
      </c>
      <c r="C27" s="15">
        <v>2.7000000000000001E-3</v>
      </c>
      <c r="D27" s="16">
        <v>0</v>
      </c>
      <c r="E27" s="17">
        <f t="shared" si="4"/>
        <v>-215218.14310845837</v>
      </c>
      <c r="F27" s="18">
        <f t="shared" si="8"/>
        <v>-581.08898639283768</v>
      </c>
      <c r="G27" s="19">
        <f t="shared" si="10"/>
        <v>-215799.23209485121</v>
      </c>
      <c r="H27" s="16">
        <f t="shared" si="11"/>
        <v>12576.416973064343</v>
      </c>
      <c r="I27" s="17">
        <f t="shared" si="5"/>
        <v>50458.700687450248</v>
      </c>
      <c r="J27" s="18">
        <f t="shared" si="6"/>
        <v>119.26032894247881</v>
      </c>
      <c r="K27" s="19">
        <f t="shared" si="12"/>
        <v>50577.961016392728</v>
      </c>
      <c r="L27" s="87">
        <v>0</v>
      </c>
      <c r="M27" s="17">
        <f t="shared" si="7"/>
        <v>0</v>
      </c>
      <c r="N27" s="18">
        <f t="shared" si="9"/>
        <v>0</v>
      </c>
      <c r="O27" s="19">
        <f t="shared" si="13"/>
        <v>0</v>
      </c>
    </row>
    <row r="28" spans="1:15" x14ac:dyDescent="0.25">
      <c r="A28" s="14" t="s">
        <v>10</v>
      </c>
      <c r="B28" s="34" t="s">
        <v>29</v>
      </c>
      <c r="C28" s="15">
        <v>2.7000000000000001E-3</v>
      </c>
      <c r="D28" s="16">
        <v>0</v>
      </c>
      <c r="E28" s="17">
        <f t="shared" si="4"/>
        <v>-215799.23209485121</v>
      </c>
      <c r="F28" s="18">
        <f t="shared" si="8"/>
        <v>-582.65792665609831</v>
      </c>
      <c r="G28" s="19">
        <f t="shared" si="10"/>
        <v>-216381.89002150731</v>
      </c>
      <c r="H28" s="16">
        <f t="shared" si="11"/>
        <v>12576.416973064343</v>
      </c>
      <c r="I28" s="17">
        <f t="shared" si="5"/>
        <v>63154.377989457069</v>
      </c>
      <c r="J28" s="18">
        <f t="shared" si="6"/>
        <v>153.53865765789723</v>
      </c>
      <c r="K28" s="19">
        <f t="shared" si="12"/>
        <v>63307.916647114966</v>
      </c>
      <c r="L28" s="87">
        <v>0</v>
      </c>
      <c r="M28" s="17">
        <f t="shared" si="7"/>
        <v>0</v>
      </c>
      <c r="N28" s="18">
        <f t="shared" si="9"/>
        <v>0</v>
      </c>
      <c r="O28" s="19">
        <f t="shared" si="13"/>
        <v>0</v>
      </c>
    </row>
    <row r="29" spans="1:15" x14ac:dyDescent="0.25">
      <c r="A29" s="14" t="s">
        <v>25</v>
      </c>
      <c r="B29" s="34" t="s">
        <v>29</v>
      </c>
      <c r="C29" s="15">
        <v>2.7000000000000001E-3</v>
      </c>
      <c r="D29" s="16">
        <v>0</v>
      </c>
      <c r="E29" s="17">
        <f t="shared" si="4"/>
        <v>-216381.89002150731</v>
      </c>
      <c r="F29" s="18">
        <f t="shared" si="8"/>
        <v>-584.23110305806972</v>
      </c>
      <c r="G29" s="19">
        <f t="shared" si="10"/>
        <v>-216966.12112456537</v>
      </c>
      <c r="H29" s="16">
        <f t="shared" si="11"/>
        <v>12576.416973064343</v>
      </c>
      <c r="I29" s="17">
        <f t="shared" si="5"/>
        <v>75884.333620179314</v>
      </c>
      <c r="J29" s="18">
        <f t="shared" si="6"/>
        <v>187.90953786084731</v>
      </c>
      <c r="K29" s="19">
        <f t="shared" si="12"/>
        <v>76072.243158040161</v>
      </c>
      <c r="L29" s="87">
        <v>0</v>
      </c>
      <c r="M29" s="17">
        <f t="shared" si="7"/>
        <v>0</v>
      </c>
      <c r="N29" s="18">
        <f t="shared" si="9"/>
        <v>0</v>
      </c>
      <c r="O29" s="19">
        <f t="shared" si="13"/>
        <v>0</v>
      </c>
    </row>
    <row r="30" spans="1:15" x14ac:dyDescent="0.25">
      <c r="A30" s="14" t="s">
        <v>11</v>
      </c>
      <c r="B30" s="34" t="s">
        <v>29</v>
      </c>
      <c r="C30" s="15">
        <v>2.7000000000000001E-3</v>
      </c>
      <c r="D30" s="16">
        <v>0</v>
      </c>
      <c r="E30" s="17">
        <f t="shared" si="4"/>
        <v>-216966.12112456537</v>
      </c>
      <c r="F30" s="18">
        <f t="shared" si="8"/>
        <v>-585.8085270363265</v>
      </c>
      <c r="G30" s="19">
        <f t="shared" si="10"/>
        <v>-217551.92965160171</v>
      </c>
      <c r="H30" s="16">
        <f t="shared" si="11"/>
        <v>12576.416973064343</v>
      </c>
      <c r="I30" s="17">
        <f t="shared" si="5"/>
        <v>88648.660131104509</v>
      </c>
      <c r="J30" s="18">
        <f t="shared" si="6"/>
        <v>222.37321944034534</v>
      </c>
      <c r="K30" s="19">
        <f t="shared" si="12"/>
        <v>88871.033350544851</v>
      </c>
      <c r="L30" s="87">
        <v>0</v>
      </c>
      <c r="M30" s="17">
        <f t="shared" si="7"/>
        <v>0</v>
      </c>
      <c r="N30" s="18">
        <f t="shared" si="9"/>
        <v>0</v>
      </c>
      <c r="O30" s="19">
        <f t="shared" si="13"/>
        <v>0</v>
      </c>
    </row>
    <row r="31" spans="1:15" x14ac:dyDescent="0.25">
      <c r="A31" s="14" t="s">
        <v>12</v>
      </c>
      <c r="B31" s="34" t="s">
        <v>29</v>
      </c>
      <c r="C31" s="15">
        <v>2.7000000000000001E-3</v>
      </c>
      <c r="D31" s="16">
        <v>0</v>
      </c>
      <c r="E31" s="17">
        <f t="shared" si="4"/>
        <v>-217551.92965160171</v>
      </c>
      <c r="F31" s="18">
        <f t="shared" si="8"/>
        <v>-587.39021005932466</v>
      </c>
      <c r="G31" s="19">
        <f t="shared" si="10"/>
        <v>-218139.31986166103</v>
      </c>
      <c r="H31" s="16">
        <f t="shared" si="11"/>
        <v>12576.416973064343</v>
      </c>
      <c r="I31" s="17">
        <f t="shared" si="5"/>
        <v>101447.4503236092</v>
      </c>
      <c r="J31" s="18">
        <f t="shared" si="6"/>
        <v>256.92995296010798</v>
      </c>
      <c r="K31" s="19">
        <f t="shared" si="12"/>
        <v>101704.38027656931</v>
      </c>
      <c r="L31" s="87">
        <v>0</v>
      </c>
      <c r="M31" s="17">
        <f t="shared" si="7"/>
        <v>0</v>
      </c>
      <c r="N31" s="18">
        <f t="shared" si="9"/>
        <v>0</v>
      </c>
      <c r="O31" s="19">
        <f t="shared" si="13"/>
        <v>0</v>
      </c>
    </row>
    <row r="32" spans="1:15" x14ac:dyDescent="0.25">
      <c r="A32" s="14" t="s">
        <v>13</v>
      </c>
      <c r="B32" s="34" t="s">
        <v>29</v>
      </c>
      <c r="C32" s="15">
        <v>2.7000000000000001E-3</v>
      </c>
      <c r="D32" s="16">
        <v>0</v>
      </c>
      <c r="E32" s="17">
        <f t="shared" si="4"/>
        <v>-218139.31986166103</v>
      </c>
      <c r="F32" s="18">
        <f t="shared" si="8"/>
        <v>-588.97616362648478</v>
      </c>
      <c r="G32" s="19">
        <f t="shared" si="10"/>
        <v>-218728.29602528751</v>
      </c>
      <c r="H32" s="16">
        <f t="shared" si="11"/>
        <v>12576.416973064343</v>
      </c>
      <c r="I32" s="17">
        <f t="shared" si="5"/>
        <v>114280.79724963366</v>
      </c>
      <c r="J32" s="18">
        <f t="shared" si="6"/>
        <v>291.57998966037405</v>
      </c>
      <c r="K32" s="19">
        <f t="shared" si="12"/>
        <v>114572.37723929403</v>
      </c>
      <c r="L32" s="87">
        <v>0</v>
      </c>
      <c r="M32" s="17">
        <f t="shared" si="7"/>
        <v>0</v>
      </c>
      <c r="N32" s="18">
        <f t="shared" si="9"/>
        <v>0</v>
      </c>
      <c r="O32" s="19">
        <f t="shared" si="13"/>
        <v>0</v>
      </c>
    </row>
    <row r="33" spans="1:15" x14ac:dyDescent="0.25">
      <c r="A33" s="14" t="s">
        <v>15</v>
      </c>
      <c r="B33" s="34" t="s">
        <v>29</v>
      </c>
      <c r="C33" s="15">
        <v>2.7000000000000001E-3</v>
      </c>
      <c r="D33" s="16">
        <v>0</v>
      </c>
      <c r="E33" s="17">
        <f t="shared" si="4"/>
        <v>-218728.29602528751</v>
      </c>
      <c r="F33" s="18">
        <f t="shared" si="8"/>
        <v>-590.56639926827631</v>
      </c>
      <c r="G33" s="19">
        <f t="shared" si="10"/>
        <v>-219318.86242455579</v>
      </c>
      <c r="H33" s="16">
        <f t="shared" si="11"/>
        <v>12576.416973064343</v>
      </c>
      <c r="I33" s="17">
        <f t="shared" si="5"/>
        <v>127148.79421235838</v>
      </c>
      <c r="J33" s="18">
        <f t="shared" si="6"/>
        <v>326.3235814597308</v>
      </c>
      <c r="K33" s="19">
        <f t="shared" si="12"/>
        <v>127475.11779381811</v>
      </c>
      <c r="L33" s="87">
        <v>0</v>
      </c>
      <c r="M33" s="17">
        <f t="shared" si="7"/>
        <v>0</v>
      </c>
      <c r="N33" s="18">
        <f t="shared" si="9"/>
        <v>0</v>
      </c>
      <c r="O33" s="19">
        <f t="shared" si="13"/>
        <v>0</v>
      </c>
    </row>
    <row r="34" spans="1:15" x14ac:dyDescent="0.25">
      <c r="A34" s="14" t="s">
        <v>14</v>
      </c>
      <c r="B34" s="34" t="s">
        <v>29</v>
      </c>
      <c r="C34" s="15">
        <v>2.7000000000000001E-3</v>
      </c>
      <c r="D34" s="16">
        <v>0</v>
      </c>
      <c r="E34" s="17">
        <f t="shared" si="4"/>
        <v>-219318.86242455579</v>
      </c>
      <c r="F34" s="18">
        <f t="shared" si="8"/>
        <v>-592.16092854630062</v>
      </c>
      <c r="G34" s="19">
        <f t="shared" si="10"/>
        <v>-219911.02335310209</v>
      </c>
      <c r="H34" s="16">
        <f t="shared" si="11"/>
        <v>12576.416973064343</v>
      </c>
      <c r="I34" s="17">
        <f t="shared" si="5"/>
        <v>140051.53476688245</v>
      </c>
      <c r="J34" s="18">
        <f t="shared" si="6"/>
        <v>361.16098095694576</v>
      </c>
      <c r="K34" s="19">
        <f t="shared" si="12"/>
        <v>140412.6957478394</v>
      </c>
      <c r="L34" s="87">
        <v>0</v>
      </c>
      <c r="M34" s="17">
        <f t="shared" si="7"/>
        <v>0</v>
      </c>
      <c r="N34" s="18">
        <f t="shared" si="9"/>
        <v>0</v>
      </c>
      <c r="O34" s="19">
        <f t="shared" si="13"/>
        <v>0</v>
      </c>
    </row>
    <row r="35" spans="1:15" x14ac:dyDescent="0.25">
      <c r="A35" s="14" t="s">
        <v>6</v>
      </c>
      <c r="B35" s="34" t="s">
        <v>29</v>
      </c>
      <c r="C35" s="15">
        <v>2.7000000000000001E-3</v>
      </c>
      <c r="D35" s="16">
        <v>0</v>
      </c>
      <c r="E35" s="17">
        <f t="shared" si="4"/>
        <v>-219911.02335310209</v>
      </c>
      <c r="F35" s="18">
        <f t="shared" si="8"/>
        <v>-593.75976305337565</v>
      </c>
      <c r="G35" s="17">
        <f t="shared" si="10"/>
        <v>-220504.78311615548</v>
      </c>
      <c r="H35" s="87">
        <f t="shared" si="11"/>
        <v>12576.416973064343</v>
      </c>
      <c r="I35" s="17">
        <f t="shared" si="5"/>
        <v>152989.11272090374</v>
      </c>
      <c r="J35" s="18">
        <f t="shared" si="6"/>
        <v>396.09244143280324</v>
      </c>
      <c r="K35" s="19">
        <f t="shared" si="12"/>
        <v>153385.20516233653</v>
      </c>
      <c r="L35" s="87">
        <v>0</v>
      </c>
      <c r="M35" s="17">
        <f t="shared" si="7"/>
        <v>0</v>
      </c>
      <c r="N35" s="18">
        <f t="shared" si="9"/>
        <v>0</v>
      </c>
      <c r="O35" s="19">
        <f t="shared" si="13"/>
        <v>0</v>
      </c>
    </row>
    <row r="36" spans="1:15" x14ac:dyDescent="0.25">
      <c r="A36" s="14" t="s">
        <v>7</v>
      </c>
      <c r="B36" s="137" t="s">
        <v>297</v>
      </c>
      <c r="C36" s="15">
        <v>2.7000000000000001E-3</v>
      </c>
      <c r="D36" s="16">
        <v>0</v>
      </c>
      <c r="E36" s="17">
        <f t="shared" si="4"/>
        <v>-220504.78311615548</v>
      </c>
      <c r="F36" s="18">
        <f t="shared" si="8"/>
        <v>-595.36291441361982</v>
      </c>
      <c r="G36" s="17">
        <f t="shared" si="10"/>
        <v>-221100.1460305691</v>
      </c>
      <c r="H36" s="87">
        <v>0</v>
      </c>
      <c r="I36" s="17">
        <f t="shared" si="5"/>
        <v>153385.20516233653</v>
      </c>
      <c r="J36" s="18">
        <f t="shared" si="6"/>
        <v>414.14005393830865</v>
      </c>
      <c r="K36" s="88">
        <f t="shared" si="12"/>
        <v>153799.34521627484</v>
      </c>
      <c r="L36" s="87">
        <f>('WP-2014 True Up TRR Adj'!D8)/12</f>
        <v>-16875.660086999338</v>
      </c>
      <c r="M36" s="17">
        <f t="shared" ref="M36:M47" si="14">L36+O35</f>
        <v>-16875.660086999338</v>
      </c>
      <c r="N36" s="18">
        <f t="shared" si="9"/>
        <v>-22.782141117449108</v>
      </c>
      <c r="O36" s="88">
        <f t="shared" si="13"/>
        <v>-16898.442228116786</v>
      </c>
    </row>
    <row r="37" spans="1:15" x14ac:dyDescent="0.25">
      <c r="A37" s="14" t="s">
        <v>8</v>
      </c>
      <c r="B37" s="137" t="s">
        <v>297</v>
      </c>
      <c r="C37" s="15">
        <v>2.7000000000000001E-3</v>
      </c>
      <c r="D37" s="16">
        <v>0</v>
      </c>
      <c r="E37" s="17">
        <f t="shared" si="4"/>
        <v>-221100.1460305691</v>
      </c>
      <c r="F37" s="18">
        <f t="shared" si="8"/>
        <v>-596.97039428253663</v>
      </c>
      <c r="G37" s="17">
        <f t="shared" si="10"/>
        <v>-221697.11642485164</v>
      </c>
      <c r="H37" s="87">
        <v>0</v>
      </c>
      <c r="I37" s="17">
        <f t="shared" si="5"/>
        <v>153799.34521627484</v>
      </c>
      <c r="J37" s="18">
        <f t="shared" si="6"/>
        <v>415.25823208394212</v>
      </c>
      <c r="K37" s="88">
        <f t="shared" si="12"/>
        <v>154214.60344835877</v>
      </c>
      <c r="L37" s="87">
        <f>L36</f>
        <v>-16875.660086999338</v>
      </c>
      <c r="M37" s="17">
        <f t="shared" si="14"/>
        <v>-33774.102315116121</v>
      </c>
      <c r="N37" s="18">
        <f t="shared" si="9"/>
        <v>-68.407935133364433</v>
      </c>
      <c r="O37" s="88">
        <f t="shared" si="13"/>
        <v>-33842.510250249485</v>
      </c>
    </row>
    <row r="38" spans="1:15" x14ac:dyDescent="0.25">
      <c r="A38" s="14" t="s">
        <v>18</v>
      </c>
      <c r="B38" s="137" t="s">
        <v>297</v>
      </c>
      <c r="C38" s="15">
        <v>2.7000000000000001E-3</v>
      </c>
      <c r="D38" s="16">
        <v>0</v>
      </c>
      <c r="E38" s="17">
        <f t="shared" si="4"/>
        <v>-221697.11642485164</v>
      </c>
      <c r="F38" s="18">
        <f t="shared" si="8"/>
        <v>-598.58221434709947</v>
      </c>
      <c r="G38" s="17">
        <f t="shared" si="10"/>
        <v>-222295.69863919873</v>
      </c>
      <c r="H38" s="87">
        <v>0</v>
      </c>
      <c r="I38" s="17">
        <f t="shared" si="5"/>
        <v>154214.60344835877</v>
      </c>
      <c r="J38" s="18">
        <f t="shared" si="6"/>
        <v>416.3794293105687</v>
      </c>
      <c r="K38" s="88">
        <f t="shared" si="12"/>
        <v>154630.98287766933</v>
      </c>
      <c r="L38" s="87">
        <f t="shared" ref="L38:L47" si="15">L37</f>
        <v>-16875.660086999338</v>
      </c>
      <c r="M38" s="17">
        <f t="shared" si="14"/>
        <v>-50718.170337248826</v>
      </c>
      <c r="N38" s="18">
        <f t="shared" si="9"/>
        <v>-114.15691879312273</v>
      </c>
      <c r="O38" s="88">
        <f t="shared" si="13"/>
        <v>-50832.32725604195</v>
      </c>
    </row>
    <row r="39" spans="1:15" x14ac:dyDescent="0.25">
      <c r="A39" s="14" t="s">
        <v>9</v>
      </c>
      <c r="B39" s="137" t="s">
        <v>297</v>
      </c>
      <c r="C39" s="15">
        <v>2.7000000000000001E-3</v>
      </c>
      <c r="D39" s="16">
        <v>0</v>
      </c>
      <c r="E39" s="17">
        <f t="shared" si="4"/>
        <v>-222295.69863919873</v>
      </c>
      <c r="F39" s="18">
        <f t="shared" si="8"/>
        <v>-600.19838632583662</v>
      </c>
      <c r="G39" s="17">
        <f t="shared" si="10"/>
        <v>-222895.89702552458</v>
      </c>
      <c r="H39" s="87">
        <v>0</v>
      </c>
      <c r="I39" s="17">
        <f t="shared" si="5"/>
        <v>154630.98287766933</v>
      </c>
      <c r="J39" s="18">
        <f t="shared" si="6"/>
        <v>417.50365376970723</v>
      </c>
      <c r="K39" s="88">
        <f t="shared" si="12"/>
        <v>155048.48653143903</v>
      </c>
      <c r="L39" s="87">
        <f t="shared" si="15"/>
        <v>-16875.660086999338</v>
      </c>
      <c r="M39" s="17">
        <f t="shared" si="14"/>
        <v>-67707.987343041284</v>
      </c>
      <c r="N39" s="18">
        <f t="shared" si="9"/>
        <v>-160.02942470876238</v>
      </c>
      <c r="O39" s="88">
        <f t="shared" si="13"/>
        <v>-67868.016767750043</v>
      </c>
    </row>
    <row r="40" spans="1:15" x14ac:dyDescent="0.25">
      <c r="A40" s="14" t="s">
        <v>10</v>
      </c>
      <c r="B40" s="137" t="s">
        <v>297</v>
      </c>
      <c r="C40" s="15">
        <v>2.7000000000000001E-3</v>
      </c>
      <c r="D40" s="16">
        <v>0</v>
      </c>
      <c r="E40" s="17">
        <f t="shared" si="4"/>
        <v>-222895.89702552458</v>
      </c>
      <c r="F40" s="18">
        <f t="shared" si="8"/>
        <v>-601.81892196891636</v>
      </c>
      <c r="G40" s="17">
        <f t="shared" si="10"/>
        <v>-223497.7159474935</v>
      </c>
      <c r="H40" s="87">
        <v>0</v>
      </c>
      <c r="I40" s="17">
        <f t="shared" si="5"/>
        <v>155048.48653143903</v>
      </c>
      <c r="J40" s="18">
        <f t="shared" si="6"/>
        <v>418.63091363488542</v>
      </c>
      <c r="K40" s="88">
        <f t="shared" si="12"/>
        <v>155467.11744507391</v>
      </c>
      <c r="L40" s="87">
        <f t="shared" si="15"/>
        <v>-16875.660086999338</v>
      </c>
      <c r="M40" s="17">
        <f t="shared" si="14"/>
        <v>-84743.676854749385</v>
      </c>
      <c r="N40" s="18">
        <f t="shared" si="9"/>
        <v>-206.02578639037421</v>
      </c>
      <c r="O40" s="88">
        <f t="shared" si="13"/>
        <v>-84949.702641139753</v>
      </c>
    </row>
    <row r="41" spans="1:15" x14ac:dyDescent="0.25">
      <c r="A41" s="14" t="s">
        <v>25</v>
      </c>
      <c r="B41" s="137" t="s">
        <v>297</v>
      </c>
      <c r="C41" s="15">
        <v>2.7000000000000001E-3</v>
      </c>
      <c r="D41" s="16">
        <v>0</v>
      </c>
      <c r="E41" s="17">
        <f t="shared" si="4"/>
        <v>-223497.7159474935</v>
      </c>
      <c r="F41" s="18">
        <f t="shared" si="8"/>
        <v>-603.44383305823249</v>
      </c>
      <c r="G41" s="19">
        <f t="shared" si="10"/>
        <v>-224101.15978055174</v>
      </c>
      <c r="H41" s="16">
        <v>0</v>
      </c>
      <c r="I41" s="17">
        <f t="shared" si="5"/>
        <v>155467.11744507391</v>
      </c>
      <c r="J41" s="18">
        <f t="shared" si="6"/>
        <v>419.76121710169957</v>
      </c>
      <c r="K41" s="88">
        <f t="shared" si="12"/>
        <v>155886.87866217562</v>
      </c>
      <c r="L41" s="87">
        <f t="shared" si="15"/>
        <v>-16875.660086999338</v>
      </c>
      <c r="M41" s="17">
        <f t="shared" si="14"/>
        <v>-101825.36272813909</v>
      </c>
      <c r="N41" s="18">
        <f t="shared" si="9"/>
        <v>-252.14633824852643</v>
      </c>
      <c r="O41" s="88">
        <f t="shared" si="13"/>
        <v>-102077.50906638762</v>
      </c>
    </row>
    <row r="42" spans="1:15" x14ac:dyDescent="0.25">
      <c r="A42" s="14" t="s">
        <v>11</v>
      </c>
      <c r="B42" s="137" t="s">
        <v>297</v>
      </c>
      <c r="C42" s="15">
        <v>2.7000000000000001E-3</v>
      </c>
      <c r="D42" s="16">
        <v>0</v>
      </c>
      <c r="E42" s="17">
        <f t="shared" si="4"/>
        <v>-224101.15978055174</v>
      </c>
      <c r="F42" s="18">
        <f t="shared" si="8"/>
        <v>-605.07313140748977</v>
      </c>
      <c r="G42" s="17">
        <f t="shared" si="10"/>
        <v>-224706.23291195923</v>
      </c>
      <c r="H42" s="87">
        <v>0</v>
      </c>
      <c r="I42" s="17">
        <f t="shared" si="5"/>
        <v>155886.87866217562</v>
      </c>
      <c r="J42" s="18">
        <f t="shared" si="6"/>
        <v>420.89457238787418</v>
      </c>
      <c r="K42" s="88">
        <f t="shared" si="12"/>
        <v>156307.7732345635</v>
      </c>
      <c r="L42" s="87">
        <f t="shared" si="15"/>
        <v>-16875.660086999338</v>
      </c>
      <c r="M42" s="17">
        <f t="shared" si="14"/>
        <v>-118953.16915338696</v>
      </c>
      <c r="N42" s="18">
        <f t="shared" si="9"/>
        <v>-298.39141559669565</v>
      </c>
      <c r="O42" s="88">
        <f t="shared" si="13"/>
        <v>-119251.56056898365</v>
      </c>
    </row>
    <row r="43" spans="1:15" x14ac:dyDescent="0.25">
      <c r="A43" s="14" t="s">
        <v>12</v>
      </c>
      <c r="B43" s="137" t="s">
        <v>297</v>
      </c>
      <c r="C43" s="15">
        <v>2.7000000000000001E-3</v>
      </c>
      <c r="D43" s="16">
        <v>0</v>
      </c>
      <c r="E43" s="17">
        <f t="shared" si="4"/>
        <v>-224706.23291195923</v>
      </c>
      <c r="F43" s="18">
        <f t="shared" si="8"/>
        <v>-606.70682886228997</v>
      </c>
      <c r="G43" s="19">
        <f t="shared" si="10"/>
        <v>-225312.93974082152</v>
      </c>
      <c r="H43" s="16">
        <v>0</v>
      </c>
      <c r="I43" s="17">
        <f t="shared" si="5"/>
        <v>156307.7732345635</v>
      </c>
      <c r="J43" s="18">
        <f t="shared" si="6"/>
        <v>422.03098773332147</v>
      </c>
      <c r="K43" s="88">
        <f t="shared" si="12"/>
        <v>156729.80422229684</v>
      </c>
      <c r="L43" s="87">
        <f t="shared" si="15"/>
        <v>-16875.660086999338</v>
      </c>
      <c r="M43" s="17">
        <f t="shared" si="14"/>
        <v>-136127.22065598299</v>
      </c>
      <c r="N43" s="18">
        <f t="shared" si="9"/>
        <v>-344.76135465370498</v>
      </c>
      <c r="O43" s="88">
        <f t="shared" si="13"/>
        <v>-136471.98201063671</v>
      </c>
    </row>
    <row r="44" spans="1:15" x14ac:dyDescent="0.25">
      <c r="A44" s="14" t="s">
        <v>13</v>
      </c>
      <c r="B44" s="137" t="s">
        <v>297</v>
      </c>
      <c r="C44" s="15">
        <v>2.7000000000000001E-3</v>
      </c>
      <c r="D44" s="16">
        <v>0</v>
      </c>
      <c r="E44" s="17">
        <f t="shared" si="4"/>
        <v>-225312.93974082152</v>
      </c>
      <c r="F44" s="18">
        <f t="shared" si="8"/>
        <v>-608.34493730021813</v>
      </c>
      <c r="G44" s="17">
        <f t="shared" si="10"/>
        <v>-225921.28467812174</v>
      </c>
      <c r="H44" s="87">
        <v>0</v>
      </c>
      <c r="I44" s="17">
        <f t="shared" si="5"/>
        <v>156729.80422229684</v>
      </c>
      <c r="J44" s="18">
        <f t="shared" si="6"/>
        <v>423.17047140020151</v>
      </c>
      <c r="K44" s="88">
        <f t="shared" si="12"/>
        <v>157152.97469369703</v>
      </c>
      <c r="L44" s="87">
        <f t="shared" si="15"/>
        <v>-16875.660086999338</v>
      </c>
      <c r="M44" s="17">
        <f t="shared" si="14"/>
        <v>-153347.64209763604</v>
      </c>
      <c r="N44" s="18">
        <f t="shared" si="9"/>
        <v>-391.2564925461682</v>
      </c>
      <c r="O44" s="88">
        <f t="shared" si="13"/>
        <v>-153738.89859018222</v>
      </c>
    </row>
    <row r="45" spans="1:15" x14ac:dyDescent="0.25">
      <c r="A45" s="14" t="s">
        <v>15</v>
      </c>
      <c r="B45" s="137" t="s">
        <v>297</v>
      </c>
      <c r="C45" s="15">
        <v>2.7000000000000001E-3</v>
      </c>
      <c r="D45" s="16">
        <v>0</v>
      </c>
      <c r="E45" s="17">
        <f t="shared" si="4"/>
        <v>-225921.28467812174</v>
      </c>
      <c r="F45" s="18">
        <f t="shared" si="8"/>
        <v>-609.98746863092867</v>
      </c>
      <c r="G45" s="17">
        <f t="shared" si="10"/>
        <v>-226531.27214675266</v>
      </c>
      <c r="H45" s="87">
        <v>0</v>
      </c>
      <c r="I45" s="17">
        <f t="shared" si="5"/>
        <v>157152.97469369703</v>
      </c>
      <c r="J45" s="18">
        <f t="shared" si="6"/>
        <v>424.31303167298199</v>
      </c>
      <c r="K45" s="88">
        <f t="shared" si="12"/>
        <v>157577.28772537003</v>
      </c>
      <c r="L45" s="87">
        <f t="shared" si="15"/>
        <v>-16875.660086999338</v>
      </c>
      <c r="M45" s="17">
        <f t="shared" si="14"/>
        <v>-170614.55867718154</v>
      </c>
      <c r="N45" s="18">
        <f t="shared" si="9"/>
        <v>-437.87716731094116</v>
      </c>
      <c r="O45" s="88">
        <f t="shared" si="13"/>
        <v>-171052.43584449249</v>
      </c>
    </row>
    <row r="46" spans="1:15" x14ac:dyDescent="0.25">
      <c r="A46" s="14" t="s">
        <v>14</v>
      </c>
      <c r="B46" s="137" t="s">
        <v>297</v>
      </c>
      <c r="C46" s="15">
        <v>2.7000000000000001E-3</v>
      </c>
      <c r="D46" s="16">
        <v>0</v>
      </c>
      <c r="E46" s="17">
        <f t="shared" si="4"/>
        <v>-226531.27214675266</v>
      </c>
      <c r="F46" s="18">
        <f t="shared" si="8"/>
        <v>-611.6344347962322</v>
      </c>
      <c r="G46" s="17">
        <f t="shared" si="10"/>
        <v>-227142.90658154889</v>
      </c>
      <c r="H46" s="87">
        <v>0</v>
      </c>
      <c r="I46" s="17">
        <f t="shared" si="5"/>
        <v>157577.28772537003</v>
      </c>
      <c r="J46" s="18">
        <f t="shared" si="6"/>
        <v>425.45867685849908</v>
      </c>
      <c r="K46" s="88">
        <f t="shared" si="12"/>
        <v>158002.74640222851</v>
      </c>
      <c r="L46" s="87">
        <f t="shared" si="15"/>
        <v>-16875.660086999338</v>
      </c>
      <c r="M46" s="17">
        <f t="shared" si="14"/>
        <v>-187928.09593149181</v>
      </c>
      <c r="N46" s="18">
        <f t="shared" si="9"/>
        <v>-484.6237178975789</v>
      </c>
      <c r="O46" s="88">
        <f t="shared" si="13"/>
        <v>-188412.71964938939</v>
      </c>
    </row>
    <row r="47" spans="1:15" x14ac:dyDescent="0.25">
      <c r="A47" s="14" t="s">
        <v>6</v>
      </c>
      <c r="B47" s="137" t="s">
        <v>297</v>
      </c>
      <c r="C47" s="15">
        <v>2.7000000000000001E-3</v>
      </c>
      <c r="D47" s="16">
        <v>0</v>
      </c>
      <c r="E47" s="17">
        <f t="shared" si="4"/>
        <v>-227142.90658154889</v>
      </c>
      <c r="F47" s="18">
        <f t="shared" si="8"/>
        <v>-613.28584777018204</v>
      </c>
      <c r="G47" s="17">
        <f>E47+F47</f>
        <v>-227756.19242931908</v>
      </c>
      <c r="H47" s="87">
        <v>0</v>
      </c>
      <c r="I47" s="17">
        <f t="shared" si="5"/>
        <v>158002.74640222851</v>
      </c>
      <c r="J47" s="18">
        <f t="shared" si="6"/>
        <v>426.60741528601699</v>
      </c>
      <c r="K47" s="88">
        <f t="shared" si="12"/>
        <v>158429.35381751452</v>
      </c>
      <c r="L47" s="87">
        <f t="shared" si="15"/>
        <v>-16875.660086999338</v>
      </c>
      <c r="M47" s="17">
        <f t="shared" si="14"/>
        <v>-205288.37973638871</v>
      </c>
      <c r="N47" s="18">
        <f t="shared" si="9"/>
        <v>-531.49648417080039</v>
      </c>
      <c r="O47" s="88">
        <f t="shared" si="13"/>
        <v>-205819.87622055953</v>
      </c>
    </row>
    <row r="48" spans="1:15" ht="15.75" thickBot="1" x14ac:dyDescent="0.3">
      <c r="A48" s="14"/>
      <c r="B48" s="5"/>
      <c r="C48" s="5"/>
      <c r="D48" s="259">
        <f>SUM(D12:D23)</f>
        <v>-210048.96101903915</v>
      </c>
      <c r="E48" s="260"/>
      <c r="F48" s="261" t="s">
        <v>32</v>
      </c>
      <c r="G48" s="259">
        <f>G47</f>
        <v>-227756.19242931908</v>
      </c>
      <c r="H48" s="262">
        <f>SUM(H24:H35)</f>
        <v>150917.00367677212</v>
      </c>
      <c r="I48" s="263"/>
      <c r="J48" s="89" t="s">
        <v>32</v>
      </c>
      <c r="K48" s="90">
        <f>K47</f>
        <v>158429.35381751452</v>
      </c>
      <c r="L48" s="262">
        <f>SUM(L36:L47)</f>
        <v>-202507.92104399201</v>
      </c>
      <c r="M48" s="263"/>
      <c r="N48" s="89" t="s">
        <v>32</v>
      </c>
      <c r="O48" s="90">
        <f>O47</f>
        <v>-205819.87622055953</v>
      </c>
    </row>
    <row r="49" spans="1:15" ht="26.25" customHeight="1" thickBot="1" x14ac:dyDescent="0.4">
      <c r="A49" s="37"/>
      <c r="B49" s="38"/>
      <c r="C49" s="38"/>
      <c r="D49" s="38"/>
      <c r="E49" s="38"/>
      <c r="F49" s="38"/>
      <c r="G49" s="38"/>
      <c r="H49" s="264"/>
      <c r="I49" s="264"/>
      <c r="J49" s="264"/>
      <c r="K49" s="264"/>
      <c r="L49" s="38"/>
      <c r="M49" s="265"/>
      <c r="N49" s="138" t="s">
        <v>296</v>
      </c>
      <c r="O49" s="139">
        <f>SUM(G48,K48,O48)</f>
        <v>-275146.71483236412</v>
      </c>
    </row>
    <row r="50" spans="1:15" x14ac:dyDescent="0.25">
      <c r="I50" s="91"/>
      <c r="J50" s="91"/>
      <c r="K50" s="91"/>
    </row>
    <row r="51" spans="1:15" x14ac:dyDescent="0.25">
      <c r="E51" s="20"/>
    </row>
    <row r="53" spans="1:15" x14ac:dyDescent="0.25">
      <c r="A53" s="21"/>
      <c r="F53" s="44"/>
    </row>
    <row r="54" spans="1:15" x14ac:dyDescent="0.25">
      <c r="E54" s="22"/>
    </row>
    <row r="59" spans="1:15" x14ac:dyDescent="0.25">
      <c r="A59" s="21"/>
    </row>
    <row r="63" spans="1:15" x14ac:dyDescent="0.25">
      <c r="D63" s="23"/>
      <c r="F63" s="24"/>
    </row>
    <row r="64" spans="1:15" x14ac:dyDescent="0.25">
      <c r="E64" s="25"/>
    </row>
    <row r="65" spans="5:6" x14ac:dyDescent="0.25">
      <c r="F65" s="26"/>
    </row>
    <row r="67" spans="5:6" x14ac:dyDescent="0.25">
      <c r="E67" s="25"/>
      <c r="F67" s="24"/>
    </row>
  </sheetData>
  <mergeCells count="3">
    <mergeCell ref="H5:K5"/>
    <mergeCell ref="A5:G5"/>
    <mergeCell ref="L5:O5"/>
  </mergeCells>
  <printOptions horizontalCentered="1"/>
  <pageMargins left="0.7" right="0.7" top="0.75" bottom="0.75" header="0.3" footer="0.3"/>
  <pageSetup scale="57" orientation="landscape" cellComments="asDisplayed" r:id="rId1"/>
  <headerFooter>
    <oddHeader>&amp;RTO11 Annual Update
Attachment 4
WP-Schedule 3-One Time Adj True Up Adj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6"/>
  <sheetViews>
    <sheetView zoomScaleNormal="100" workbookViewId="0"/>
  </sheetViews>
  <sheetFormatPr defaultRowHeight="15" x14ac:dyDescent="0.25"/>
  <cols>
    <col min="1" max="1" width="20" style="193" customWidth="1"/>
    <col min="2" max="2" width="13.28515625" style="193" customWidth="1"/>
    <col min="3" max="3" width="18.7109375" style="193" customWidth="1"/>
    <col min="4" max="4" width="15.140625" style="193" bestFit="1" customWidth="1"/>
    <col min="5" max="5" width="14.42578125" style="193" customWidth="1"/>
    <col min="6" max="6" width="14.28515625" style="193" bestFit="1" customWidth="1"/>
    <col min="7" max="7" width="3.7109375" style="193" customWidth="1"/>
    <col min="8" max="8" width="18.5703125" style="193" bestFit="1" customWidth="1"/>
    <col min="9" max="9" width="11" style="193" customWidth="1"/>
    <col min="10" max="10" width="3.42578125" style="193" customWidth="1"/>
    <col min="11" max="16384" width="9.140625" style="193"/>
  </cols>
  <sheetData>
    <row r="3" spans="1:9" x14ac:dyDescent="0.25">
      <c r="A3" s="421" t="s">
        <v>303</v>
      </c>
      <c r="B3" s="421"/>
      <c r="C3" s="421"/>
      <c r="D3" s="421"/>
      <c r="E3" s="421"/>
      <c r="F3" s="421"/>
    </row>
    <row r="4" spans="1:9" ht="30" x14ac:dyDescent="0.25">
      <c r="A4" s="194" t="s">
        <v>304</v>
      </c>
      <c r="B4" s="194" t="s">
        <v>305</v>
      </c>
      <c r="C4" s="194" t="s">
        <v>33</v>
      </c>
      <c r="D4" s="194" t="s">
        <v>170</v>
      </c>
      <c r="E4" s="195" t="s">
        <v>306</v>
      </c>
      <c r="F4" s="196" t="s">
        <v>307</v>
      </c>
    </row>
    <row r="5" spans="1:9" ht="45" x14ac:dyDescent="0.25">
      <c r="A5" s="198">
        <v>2013</v>
      </c>
      <c r="B5" s="199">
        <v>926</v>
      </c>
      <c r="C5" s="197" t="s">
        <v>308</v>
      </c>
      <c r="D5" s="200">
        <f>12833014.68</f>
        <v>12833014.68</v>
      </c>
      <c r="E5" s="201">
        <v>2716417.96</v>
      </c>
      <c r="F5" s="201">
        <f>D5-E5</f>
        <v>10116596.719999999</v>
      </c>
    </row>
    <row r="6" spans="1:9" ht="15" customHeight="1" x14ac:dyDescent="0.25">
      <c r="A6" s="198">
        <v>2013</v>
      </c>
      <c r="B6" s="198">
        <v>928</v>
      </c>
      <c r="C6" s="202" t="s">
        <v>309</v>
      </c>
      <c r="D6" s="200">
        <v>927070.34000000008</v>
      </c>
      <c r="E6" s="203">
        <v>0</v>
      </c>
      <c r="F6" s="201">
        <f>D6-E6</f>
        <v>927070.34000000008</v>
      </c>
    </row>
    <row r="7" spans="1:9" ht="45" x14ac:dyDescent="0.25">
      <c r="A7" s="198">
        <v>2013</v>
      </c>
      <c r="B7" s="204">
        <v>930.2</v>
      </c>
      <c r="C7" s="205" t="s">
        <v>310</v>
      </c>
      <c r="D7" s="200">
        <v>19390017.059999999</v>
      </c>
      <c r="E7" s="201">
        <v>5583098.4900000002</v>
      </c>
      <c r="F7" s="201">
        <f>D7-E7</f>
        <v>13806918.569999998</v>
      </c>
    </row>
    <row r="8" spans="1:9" x14ac:dyDescent="0.25">
      <c r="A8" s="421" t="s">
        <v>311</v>
      </c>
      <c r="B8" s="421"/>
      <c r="C8" s="194"/>
      <c r="D8" s="206">
        <f>SUM(D5:D7)</f>
        <v>33150102.079999998</v>
      </c>
      <c r="E8" s="206">
        <f>SUM(E5:E7)</f>
        <v>8299516.4500000002</v>
      </c>
      <c r="F8" s="206">
        <f>SUM(F5:F7)</f>
        <v>24850585.629999995</v>
      </c>
    </row>
    <row r="9" spans="1:9" customFormat="1" ht="39" x14ac:dyDescent="0.25">
      <c r="A9" s="208">
        <v>2014</v>
      </c>
      <c r="B9" s="208">
        <v>926</v>
      </c>
      <c r="C9" s="209" t="s">
        <v>308</v>
      </c>
      <c r="D9" s="210">
        <v>10515415</v>
      </c>
      <c r="E9" s="211">
        <v>2177156.3199999998</v>
      </c>
      <c r="F9" s="211">
        <f>D9-E9</f>
        <v>8338258.6799999997</v>
      </c>
      <c r="H9" s="193"/>
      <c r="I9" s="193"/>
    </row>
    <row r="10" spans="1:9" customFormat="1" ht="26.25" x14ac:dyDescent="0.25">
      <c r="A10" s="213">
        <v>2014</v>
      </c>
      <c r="B10" s="213">
        <v>928</v>
      </c>
      <c r="C10" s="214" t="s">
        <v>309</v>
      </c>
      <c r="D10" s="212">
        <v>2972279.13</v>
      </c>
      <c r="E10" s="215">
        <v>0</v>
      </c>
      <c r="F10" s="211">
        <f t="shared" ref="F10:F11" si="0">D10-E10</f>
        <v>2972279.13</v>
      </c>
      <c r="H10" s="193"/>
      <c r="I10" s="193"/>
    </row>
    <row r="11" spans="1:9" customFormat="1" ht="39" x14ac:dyDescent="0.25">
      <c r="A11" s="216">
        <v>2014</v>
      </c>
      <c r="B11" s="217">
        <v>930.2</v>
      </c>
      <c r="C11" s="218" t="s">
        <v>310</v>
      </c>
      <c r="D11" s="219">
        <v>15727586.16</v>
      </c>
      <c r="E11" s="220">
        <v>4321513.3400000101</v>
      </c>
      <c r="F11" s="211">
        <f t="shared" si="0"/>
        <v>11406072.819999989</v>
      </c>
      <c r="H11" s="193"/>
      <c r="I11" s="193"/>
    </row>
    <row r="12" spans="1:9" customFormat="1" x14ac:dyDescent="0.25">
      <c r="A12" s="422" t="s">
        <v>312</v>
      </c>
      <c r="B12" s="423"/>
      <c r="C12" s="221"/>
      <c r="D12" s="222">
        <f>SUM(D9:D10,D11)</f>
        <v>29215280.289999999</v>
      </c>
      <c r="E12" s="222">
        <f>SUM(E9:E11)</f>
        <v>6498669.6600000095</v>
      </c>
      <c r="F12" s="222">
        <f>SUM(F9:F10,F11)</f>
        <v>22716610.629999988</v>
      </c>
    </row>
    <row r="13" spans="1:9" customFormat="1" x14ac:dyDescent="0.25">
      <c r="A13" s="422" t="s">
        <v>313</v>
      </c>
      <c r="B13" s="423"/>
      <c r="C13" s="221"/>
      <c r="D13" s="222">
        <f>D8+D12</f>
        <v>62365382.369999997</v>
      </c>
      <c r="E13" s="222">
        <f>E8+E12</f>
        <v>14798186.110000011</v>
      </c>
      <c r="F13" s="222">
        <f>F8+F12</f>
        <v>47567196.259999983</v>
      </c>
    </row>
    <row r="14" spans="1:9" x14ac:dyDescent="0.25">
      <c r="A14" s="207"/>
      <c r="H14"/>
      <c r="I14"/>
    </row>
    <row r="15" spans="1:9" x14ac:dyDescent="0.25">
      <c r="H15"/>
      <c r="I15"/>
    </row>
    <row r="16" spans="1:9" x14ac:dyDescent="0.25">
      <c r="H16"/>
      <c r="I16"/>
    </row>
  </sheetData>
  <mergeCells count="4">
    <mergeCell ref="A8:B8"/>
    <mergeCell ref="A12:B12"/>
    <mergeCell ref="A13:B13"/>
    <mergeCell ref="A3:F3"/>
  </mergeCells>
  <pageMargins left="0.7" right="0.7" top="0.75" bottom="0.75" header="0.3" footer="0.3"/>
  <pageSetup scale="57" orientation="portrait" r:id="rId1"/>
  <headerFooter>
    <oddHeader>&amp;RTO11 Annual Update
Attachment 4
WP-Schedule 3-One Time Adj True Up Adj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
  <sheetViews>
    <sheetView zoomScaleNormal="100" workbookViewId="0"/>
  </sheetViews>
  <sheetFormatPr defaultRowHeight="15" x14ac:dyDescent="0.25"/>
  <cols>
    <col min="1" max="2" width="9.140625" style="45"/>
    <col min="3" max="3" width="17.85546875" style="45" customWidth="1"/>
    <col min="4" max="4" width="14" style="45" bestFit="1" customWidth="1"/>
    <col min="5" max="6" width="9.140625" style="45"/>
    <col min="7" max="7" width="13.85546875" style="45" customWidth="1"/>
    <col min="8" max="16384" width="9.140625" style="45"/>
  </cols>
  <sheetData>
    <row r="2" spans="1:9" ht="21" customHeight="1" x14ac:dyDescent="0.25"/>
    <row r="3" spans="1:9" ht="15" customHeight="1" x14ac:dyDescent="0.25">
      <c r="A3" s="430" t="s">
        <v>344</v>
      </c>
      <c r="B3" s="430"/>
      <c r="C3" s="430"/>
      <c r="D3" s="430"/>
      <c r="E3" s="430"/>
      <c r="F3" s="430"/>
      <c r="G3" s="430"/>
    </row>
    <row r="4" spans="1:9" ht="15" customHeight="1" x14ac:dyDescent="0.25">
      <c r="A4" s="430"/>
      <c r="B4" s="430"/>
      <c r="C4" s="430"/>
      <c r="D4" s="430"/>
      <c r="E4" s="430"/>
      <c r="F4" s="430"/>
      <c r="G4" s="430"/>
    </row>
    <row r="5" spans="1:9" x14ac:dyDescent="0.25">
      <c r="A5" s="431" t="s">
        <v>33</v>
      </c>
      <c r="B5" s="431"/>
      <c r="C5" s="431"/>
      <c r="D5" s="254" t="s">
        <v>34</v>
      </c>
      <c r="E5" s="432" t="s">
        <v>35</v>
      </c>
      <c r="F5" s="432"/>
      <c r="G5" s="432"/>
      <c r="H5" s="47"/>
      <c r="I5" s="47"/>
    </row>
    <row r="6" spans="1:9" ht="42.75" customHeight="1" x14ac:dyDescent="0.25">
      <c r="A6" s="433" t="s">
        <v>345</v>
      </c>
      <c r="B6" s="434"/>
      <c r="C6" s="435"/>
      <c r="D6" s="266">
        <v>626502600.50540948</v>
      </c>
      <c r="E6" s="436" t="s">
        <v>346</v>
      </c>
      <c r="F6" s="437"/>
      <c r="G6" s="438"/>
    </row>
    <row r="7" spans="1:9" ht="50.25" customHeight="1" x14ac:dyDescent="0.25">
      <c r="A7" s="433" t="s">
        <v>347</v>
      </c>
      <c r="B7" s="434"/>
      <c r="C7" s="435"/>
      <c r="D7" s="49">
        <v>626292551.54439044</v>
      </c>
      <c r="E7" s="439" t="s">
        <v>407</v>
      </c>
      <c r="F7" s="440"/>
      <c r="G7" s="440"/>
    </row>
    <row r="8" spans="1:9" x14ac:dyDescent="0.25">
      <c r="A8" s="424" t="s">
        <v>36</v>
      </c>
      <c r="B8" s="424"/>
      <c r="C8" s="425"/>
      <c r="D8" s="50">
        <f>D7-D6</f>
        <v>-210048.96101903915</v>
      </c>
      <c r="E8" s="426"/>
      <c r="F8" s="426"/>
      <c r="G8" s="427"/>
    </row>
    <row r="11" spans="1:9" x14ac:dyDescent="0.25">
      <c r="A11" s="93" t="s">
        <v>287</v>
      </c>
    </row>
    <row r="12" spans="1:9" x14ac:dyDescent="0.25">
      <c r="A12" s="428" t="s">
        <v>353</v>
      </c>
      <c r="B12" s="429"/>
      <c r="C12" s="429"/>
      <c r="D12" s="429"/>
      <c r="E12" s="429"/>
      <c r="F12" s="429"/>
      <c r="G12" s="429"/>
      <c r="H12" s="429"/>
      <c r="I12" s="429"/>
    </row>
  </sheetData>
  <mergeCells count="10">
    <mergeCell ref="A8:C8"/>
    <mergeCell ref="E8:G8"/>
    <mergeCell ref="A12:I12"/>
    <mergeCell ref="A3:G4"/>
    <mergeCell ref="A5:C5"/>
    <mergeCell ref="E5:G5"/>
    <mergeCell ref="A6:C6"/>
    <mergeCell ref="E6:G6"/>
    <mergeCell ref="A7:C7"/>
    <mergeCell ref="E7:G7"/>
  </mergeCells>
  <pageMargins left="0.7" right="0.7" top="0.75" bottom="0.75" header="0.3" footer="0.3"/>
  <pageSetup orientation="portrait" r:id="rId1"/>
  <headerFooter>
    <oddHeader>&amp;RTO11 Annual Update
Attachment 4
WP-Schedule 3-One Time Adj True Up Adj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L171"/>
  <sheetViews>
    <sheetView zoomScaleNormal="100" workbookViewId="0"/>
  </sheetViews>
  <sheetFormatPr defaultRowHeight="12.75" x14ac:dyDescent="0.2"/>
  <cols>
    <col min="1" max="2" width="4.7109375" style="67" customWidth="1"/>
    <col min="3" max="3" width="18.7109375" style="67" customWidth="1"/>
    <col min="4" max="4" width="10.28515625" style="67" bestFit="1" customWidth="1"/>
    <col min="5" max="7" width="15.7109375" style="67" customWidth="1"/>
    <col min="8" max="8" width="24.7109375" style="67" customWidth="1"/>
    <col min="9" max="9" width="4.5703125" style="67" customWidth="1"/>
    <col min="10" max="10" width="15.7109375" style="67" customWidth="1"/>
    <col min="11" max="11" width="9.140625" style="67"/>
    <col min="12" max="12" width="9.140625" style="67" customWidth="1"/>
    <col min="13" max="16384" width="9.140625" style="67"/>
  </cols>
  <sheetData>
    <row r="1" spans="1:10" x14ac:dyDescent="0.2">
      <c r="A1" s="116" t="s">
        <v>38</v>
      </c>
    </row>
    <row r="2" spans="1:10" x14ac:dyDescent="0.2">
      <c r="H2" s="111"/>
    </row>
    <row r="3" spans="1:10" x14ac:dyDescent="0.2">
      <c r="B3" s="143" t="s">
        <v>39</v>
      </c>
    </row>
    <row r="4" spans="1:10" x14ac:dyDescent="0.2">
      <c r="B4" s="144"/>
      <c r="F4" s="98" t="s">
        <v>40</v>
      </c>
      <c r="G4" s="98"/>
      <c r="H4" s="98" t="s">
        <v>41</v>
      </c>
    </row>
    <row r="5" spans="1:10" x14ac:dyDescent="0.2">
      <c r="A5" s="99" t="s">
        <v>42</v>
      </c>
      <c r="B5" s="122"/>
      <c r="C5" s="129" t="s">
        <v>43</v>
      </c>
      <c r="F5" s="100" t="s">
        <v>44</v>
      </c>
      <c r="G5" s="100" t="s">
        <v>45</v>
      </c>
      <c r="H5" s="100" t="s">
        <v>46</v>
      </c>
      <c r="J5" s="100" t="s">
        <v>34</v>
      </c>
    </row>
    <row r="6" spans="1:10" x14ac:dyDescent="0.2">
      <c r="A6" s="118">
        <v>1</v>
      </c>
      <c r="B6" s="111"/>
      <c r="C6" s="145" t="s">
        <v>47</v>
      </c>
      <c r="D6" s="111"/>
      <c r="E6" s="111"/>
      <c r="F6" s="111" t="s">
        <v>48</v>
      </c>
      <c r="G6" s="111"/>
      <c r="H6" s="145" t="s">
        <v>369</v>
      </c>
      <c r="I6" s="111"/>
      <c r="J6" s="152">
        <v>3645278335.1812367</v>
      </c>
    </row>
    <row r="7" spans="1:10" x14ac:dyDescent="0.2">
      <c r="A7" s="118">
        <f>A6+1</f>
        <v>2</v>
      </c>
      <c r="B7" s="111"/>
      <c r="C7" s="145" t="s">
        <v>49</v>
      </c>
      <c r="D7" s="111"/>
      <c r="E7" s="111"/>
      <c r="F7" s="111" t="s">
        <v>50</v>
      </c>
      <c r="G7" s="111"/>
      <c r="H7" s="145" t="s">
        <v>370</v>
      </c>
      <c r="I7" s="111"/>
      <c r="J7" s="152">
        <v>144597591.87310612</v>
      </c>
    </row>
    <row r="8" spans="1:10" x14ac:dyDescent="0.2">
      <c r="A8" s="118">
        <f>A7+1</f>
        <v>3</v>
      </c>
      <c r="B8" s="111"/>
      <c r="C8" s="145" t="s">
        <v>51</v>
      </c>
      <c r="D8" s="111"/>
      <c r="E8" s="111"/>
      <c r="F8" s="111" t="s">
        <v>50</v>
      </c>
      <c r="G8" s="111"/>
      <c r="H8" s="111" t="s">
        <v>371</v>
      </c>
      <c r="I8" s="111"/>
      <c r="J8" s="152">
        <v>9942155</v>
      </c>
    </row>
    <row r="9" spans="1:10" x14ac:dyDescent="0.2">
      <c r="A9" s="118">
        <f>A8+1</f>
        <v>4</v>
      </c>
      <c r="B9" s="111"/>
      <c r="C9" s="145" t="s">
        <v>52</v>
      </c>
      <c r="D9" s="111"/>
      <c r="E9" s="111"/>
      <c r="F9" s="111" t="s">
        <v>50</v>
      </c>
      <c r="G9" s="111"/>
      <c r="H9" s="127" t="s">
        <v>372</v>
      </c>
      <c r="I9" s="111"/>
      <c r="J9" s="152">
        <v>5514000</v>
      </c>
    </row>
    <row r="10" spans="1:10" x14ac:dyDescent="0.2">
      <c r="A10" s="118"/>
      <c r="B10" s="111"/>
      <c r="C10" s="145"/>
      <c r="D10" s="111"/>
      <c r="E10" s="111"/>
      <c r="F10" s="111"/>
      <c r="G10" s="111"/>
      <c r="H10" s="111"/>
      <c r="I10" s="111"/>
      <c r="J10" s="152"/>
    </row>
    <row r="11" spans="1:10" x14ac:dyDescent="0.2">
      <c r="A11" s="118"/>
      <c r="B11" s="111"/>
      <c r="C11" s="146" t="s">
        <v>53</v>
      </c>
      <c r="D11" s="111"/>
      <c r="E11" s="111"/>
      <c r="F11" s="111"/>
      <c r="G11" s="111"/>
      <c r="H11" s="111"/>
      <c r="I11" s="111"/>
      <c r="J11" s="152"/>
    </row>
    <row r="12" spans="1:10" x14ac:dyDescent="0.2">
      <c r="A12" s="118">
        <f>A9+1</f>
        <v>5</v>
      </c>
      <c r="B12" s="111"/>
      <c r="C12" s="110" t="s">
        <v>54</v>
      </c>
      <c r="D12" s="111"/>
      <c r="E12" s="111"/>
      <c r="F12" s="111" t="s">
        <v>48</v>
      </c>
      <c r="G12" s="111"/>
      <c r="H12" s="145" t="s">
        <v>373</v>
      </c>
      <c r="I12" s="111"/>
      <c r="J12" s="152">
        <v>11870352.876835456</v>
      </c>
    </row>
    <row r="13" spans="1:10" x14ac:dyDescent="0.2">
      <c r="A13" s="118">
        <f>A12+1</f>
        <v>6</v>
      </c>
      <c r="B13" s="111"/>
      <c r="C13" s="105" t="s">
        <v>55</v>
      </c>
      <c r="D13" s="111"/>
      <c r="E13" s="111"/>
      <c r="F13" s="111" t="s">
        <v>48</v>
      </c>
      <c r="G13" s="111"/>
      <c r="H13" s="145" t="s">
        <v>374</v>
      </c>
      <c r="I13" s="111"/>
      <c r="J13" s="152">
        <v>1853021.6013951434</v>
      </c>
    </row>
    <row r="14" spans="1:10" x14ac:dyDescent="0.2">
      <c r="A14" s="118">
        <f>A13+1</f>
        <v>7</v>
      </c>
      <c r="B14" s="111"/>
      <c r="C14" s="110" t="s">
        <v>56</v>
      </c>
      <c r="D14" s="111"/>
      <c r="E14" s="111"/>
      <c r="F14" s="127" t="s">
        <v>57</v>
      </c>
      <c r="G14" s="111"/>
      <c r="H14" s="111" t="s">
        <v>375</v>
      </c>
      <c r="I14" s="111"/>
      <c r="J14" s="405">
        <v>7067301.219461957</v>
      </c>
    </row>
    <row r="15" spans="1:10" x14ac:dyDescent="0.2">
      <c r="A15" s="118">
        <f>A14+1</f>
        <v>8</v>
      </c>
      <c r="B15" s="111"/>
      <c r="C15" s="110" t="s">
        <v>58</v>
      </c>
      <c r="D15" s="111"/>
      <c r="E15" s="111"/>
      <c r="F15" s="111"/>
      <c r="G15" s="111"/>
      <c r="H15" s="111" t="str">
        <f>"Line "&amp;A12&amp;" + Line "&amp;A13&amp;" + Line "&amp;A14&amp;""</f>
        <v>Line 5 + Line 6 + Line 7</v>
      </c>
      <c r="I15" s="111"/>
      <c r="J15" s="153">
        <f>SUM(J12:J14)</f>
        <v>20790675.697692558</v>
      </c>
    </row>
    <row r="16" spans="1:10" x14ac:dyDescent="0.2">
      <c r="A16" s="118"/>
      <c r="B16" s="111"/>
      <c r="C16" s="110"/>
      <c r="D16" s="111"/>
      <c r="E16" s="111"/>
      <c r="F16" s="111"/>
      <c r="G16" s="111"/>
      <c r="H16" s="111"/>
      <c r="I16" s="111"/>
      <c r="J16" s="152"/>
    </row>
    <row r="17" spans="1:10" x14ac:dyDescent="0.2">
      <c r="A17" s="118"/>
      <c r="B17" s="111"/>
      <c r="C17" s="147" t="s">
        <v>59</v>
      </c>
      <c r="D17" s="111"/>
      <c r="E17" s="111"/>
      <c r="F17" s="111"/>
      <c r="G17" s="111"/>
      <c r="H17" s="111"/>
      <c r="I17" s="111"/>
      <c r="J17" s="152"/>
    </row>
    <row r="18" spans="1:10" x14ac:dyDescent="0.2">
      <c r="A18" s="118">
        <f>A15+1</f>
        <v>9</v>
      </c>
      <c r="B18" s="111"/>
      <c r="C18" s="110" t="s">
        <v>60</v>
      </c>
      <c r="D18" s="111"/>
      <c r="E18" s="111"/>
      <c r="F18" s="111" t="s">
        <v>48</v>
      </c>
      <c r="G18" s="111" t="s">
        <v>61</v>
      </c>
      <c r="H18" s="145" t="s">
        <v>392</v>
      </c>
      <c r="I18" s="111"/>
      <c r="J18" s="152">
        <v>-1016502799.254263</v>
      </c>
    </row>
    <row r="19" spans="1:10" x14ac:dyDescent="0.2">
      <c r="A19" s="118">
        <f>A18+1</f>
        <v>10</v>
      </c>
      <c r="B19" s="111"/>
      <c r="C19" s="110" t="s">
        <v>62</v>
      </c>
      <c r="D19" s="111"/>
      <c r="E19" s="111"/>
      <c r="F19" s="111" t="s">
        <v>50</v>
      </c>
      <c r="G19" s="111" t="s">
        <v>61</v>
      </c>
      <c r="H19" s="145" t="s">
        <v>393</v>
      </c>
      <c r="I19" s="111"/>
      <c r="J19" s="152">
        <v>-1125318.0869653528</v>
      </c>
    </row>
    <row r="20" spans="1:10" x14ac:dyDescent="0.2">
      <c r="A20" s="118">
        <f>A19+1</f>
        <v>11</v>
      </c>
      <c r="B20" s="111"/>
      <c r="C20" s="110" t="s">
        <v>63</v>
      </c>
      <c r="D20" s="51"/>
      <c r="E20" s="111"/>
      <c r="F20" s="111" t="s">
        <v>50</v>
      </c>
      <c r="G20" s="111" t="s">
        <v>61</v>
      </c>
      <c r="H20" s="145" t="s">
        <v>394</v>
      </c>
      <c r="I20" s="111"/>
      <c r="J20" s="267">
        <v>-52619745.790288039</v>
      </c>
    </row>
    <row r="21" spans="1:10" x14ac:dyDescent="0.2">
      <c r="A21" s="118">
        <f>A20+1</f>
        <v>12</v>
      </c>
      <c r="B21" s="111"/>
      <c r="C21" s="52" t="s">
        <v>64</v>
      </c>
      <c r="D21" s="51"/>
      <c r="E21" s="111"/>
      <c r="F21" s="111"/>
      <c r="G21" s="111"/>
      <c r="H21" s="111" t="str">
        <f>"Line "&amp;A18&amp;" + Line "&amp;A19&amp;" + Line "&amp;A20&amp;""</f>
        <v>Line 9 + Line 10 + Line 11</v>
      </c>
      <c r="I21" s="111"/>
      <c r="J21" s="152">
        <f>SUM(J18:J20)</f>
        <v>-1070247863.1315165</v>
      </c>
    </row>
    <row r="22" spans="1:10" x14ac:dyDescent="0.2">
      <c r="A22" s="118"/>
      <c r="B22" s="111"/>
      <c r="C22" s="127"/>
      <c r="D22" s="111"/>
      <c r="E22" s="111"/>
      <c r="F22" s="111"/>
      <c r="G22" s="111"/>
      <c r="H22" s="111"/>
      <c r="I22" s="111"/>
      <c r="J22" s="152"/>
    </row>
    <row r="23" spans="1:10" x14ac:dyDescent="0.2">
      <c r="A23" s="118">
        <f>A21+1</f>
        <v>13</v>
      </c>
      <c r="B23" s="111"/>
      <c r="C23" s="148" t="s">
        <v>65</v>
      </c>
      <c r="D23" s="111"/>
      <c r="E23" s="111"/>
      <c r="F23" s="111" t="s">
        <v>50</v>
      </c>
      <c r="G23" s="111"/>
      <c r="H23" s="145" t="s">
        <v>395</v>
      </c>
      <c r="I23" s="111"/>
      <c r="J23" s="152">
        <v>-553203286.56209517</v>
      </c>
    </row>
    <row r="24" spans="1:10" x14ac:dyDescent="0.2">
      <c r="A24" s="118">
        <f>A23+1</f>
        <v>14</v>
      </c>
      <c r="B24" s="111"/>
      <c r="C24" s="145" t="s">
        <v>66</v>
      </c>
      <c r="D24" s="111"/>
      <c r="E24" s="111"/>
      <c r="F24" s="111" t="s">
        <v>48</v>
      </c>
      <c r="G24" s="111"/>
      <c r="H24" s="145" t="s">
        <v>396</v>
      </c>
      <c r="I24" s="111"/>
      <c r="J24" s="152">
        <v>1414493589.3113952</v>
      </c>
    </row>
    <row r="25" spans="1:10" x14ac:dyDescent="0.2">
      <c r="A25" s="118">
        <f>A24+1</f>
        <v>15</v>
      </c>
      <c r="B25" s="111"/>
      <c r="C25" s="148" t="s">
        <v>67</v>
      </c>
      <c r="D25" s="111"/>
      <c r="E25" s="111"/>
      <c r="F25" s="111" t="s">
        <v>50</v>
      </c>
      <c r="G25" s="111" t="s">
        <v>61</v>
      </c>
      <c r="H25" s="145" t="s">
        <v>397</v>
      </c>
      <c r="I25" s="111"/>
      <c r="J25" s="152">
        <v>-15595540</v>
      </c>
    </row>
    <row r="26" spans="1:10" x14ac:dyDescent="0.2">
      <c r="A26" s="118" t="s">
        <v>68</v>
      </c>
      <c r="B26" s="111"/>
      <c r="C26" s="145" t="s">
        <v>69</v>
      </c>
      <c r="D26" s="111"/>
      <c r="E26" s="111"/>
      <c r="F26" s="111"/>
      <c r="G26" s="111"/>
      <c r="H26" s="127" t="s">
        <v>398</v>
      </c>
      <c r="I26" s="111"/>
      <c r="J26" s="152">
        <v>-8128032.9490774116</v>
      </c>
    </row>
    <row r="27" spans="1:10" x14ac:dyDescent="0.2">
      <c r="A27" s="118">
        <v>16</v>
      </c>
      <c r="B27" s="111"/>
      <c r="C27" s="148" t="s">
        <v>70</v>
      </c>
      <c r="D27" s="111"/>
      <c r="E27" s="111"/>
      <c r="F27" s="111" t="s">
        <v>50</v>
      </c>
      <c r="G27" s="111"/>
      <c r="H27" s="145" t="s">
        <v>399</v>
      </c>
      <c r="I27" s="111"/>
      <c r="J27" s="152">
        <v>0</v>
      </c>
    </row>
    <row r="28" spans="1:10" x14ac:dyDescent="0.2">
      <c r="A28" s="118"/>
      <c r="B28" s="111"/>
      <c r="C28" s="148"/>
      <c r="D28" s="111"/>
      <c r="E28" s="111"/>
      <c r="F28" s="111"/>
      <c r="G28" s="111"/>
      <c r="H28" s="111"/>
      <c r="I28" s="111"/>
      <c r="J28" s="132"/>
    </row>
    <row r="29" spans="1:10" x14ac:dyDescent="0.2">
      <c r="A29" s="118">
        <v>17</v>
      </c>
      <c r="B29" s="111"/>
      <c r="C29" s="111" t="s">
        <v>71</v>
      </c>
      <c r="D29" s="111"/>
      <c r="E29" s="111"/>
      <c r="F29" s="111"/>
      <c r="G29" s="111"/>
      <c r="H29" s="111" t="str">
        <f>"L"&amp;A6&amp;"+L"&amp;A7&amp;"+L"&amp;A8&amp;"+L"&amp;A9&amp;"+L"&amp;A15&amp;"+L"&amp;A21&amp;"+"</f>
        <v>L1+L2+L3+L4+L8+L12+</v>
      </c>
      <c r="I29" s="111"/>
      <c r="J29" s="153">
        <f>J6+ J7+J8+J9+J15+J21+J23+J24+J25+J26+J27</f>
        <v>3593441624.4207411</v>
      </c>
    </row>
    <row r="30" spans="1:10" x14ac:dyDescent="0.2">
      <c r="A30" s="118"/>
      <c r="B30" s="111"/>
      <c r="C30" s="111"/>
      <c r="D30" s="111"/>
      <c r="E30" s="111"/>
      <c r="F30" s="111"/>
      <c r="G30" s="111"/>
      <c r="H30" s="111" t="str">
        <f>"L"&amp;A23&amp;"+L"&amp;A24&amp;"+L"&amp;A25&amp;"+L"&amp;A26&amp;"+L"&amp;A27&amp;""</f>
        <v>L13+L14+L15+L15a+L16</v>
      </c>
      <c r="I30" s="111"/>
      <c r="J30" s="152"/>
    </row>
    <row r="31" spans="1:10" x14ac:dyDescent="0.2">
      <c r="A31" s="118"/>
      <c r="B31" s="126" t="s">
        <v>72</v>
      </c>
      <c r="D31" s="111"/>
      <c r="E31" s="111"/>
      <c r="F31" s="111"/>
      <c r="G31" s="111"/>
      <c r="H31" s="111"/>
      <c r="I31" s="111"/>
      <c r="J31" s="152"/>
    </row>
    <row r="32" spans="1:10" x14ac:dyDescent="0.2">
      <c r="A32" s="149" t="s">
        <v>42</v>
      </c>
      <c r="B32" s="111"/>
      <c r="C32" s="126"/>
      <c r="D32" s="111"/>
      <c r="E32" s="111"/>
      <c r="F32" s="111"/>
      <c r="G32" s="111"/>
      <c r="H32" s="111"/>
      <c r="I32" s="111"/>
      <c r="J32" s="152"/>
    </row>
    <row r="33" spans="1:10" x14ac:dyDescent="0.2">
      <c r="A33" s="118">
        <f>A29+1</f>
        <v>18</v>
      </c>
      <c r="B33" s="111"/>
      <c r="C33" s="111" t="s">
        <v>73</v>
      </c>
      <c r="D33" s="111"/>
      <c r="E33" s="111"/>
      <c r="F33" s="111"/>
      <c r="G33" s="127" t="s">
        <v>74</v>
      </c>
      <c r="H33" s="127" t="str">
        <f>"Instruction 1, Line "&amp;B97&amp;""</f>
        <v>Instruction 1, Line j</v>
      </c>
      <c r="I33" s="111"/>
      <c r="J33" s="268">
        <f>E97</f>
        <v>7.4939357100168899E-2</v>
      </c>
    </row>
    <row r="34" spans="1:10" x14ac:dyDescent="0.2">
      <c r="A34" s="98">
        <f>A33+1</f>
        <v>19</v>
      </c>
      <c r="C34" s="127" t="s">
        <v>75</v>
      </c>
      <c r="D34" s="127"/>
      <c r="E34" s="127"/>
      <c r="F34" s="127"/>
      <c r="G34" s="127"/>
      <c r="H34" s="67" t="str">
        <f>"Line "&amp;A29&amp;" * Line "&amp;A33&amp;""</f>
        <v>Line 17 * Line 18</v>
      </c>
      <c r="J34" s="269">
        <f>J29*J33</f>
        <v>269290205.11107695</v>
      </c>
    </row>
    <row r="35" spans="1:10" x14ac:dyDescent="0.2">
      <c r="A35" s="98"/>
      <c r="B35" s="122"/>
      <c r="J35" s="132"/>
    </row>
    <row r="36" spans="1:10" x14ac:dyDescent="0.2">
      <c r="A36" s="98"/>
      <c r="B36" s="116" t="s">
        <v>76</v>
      </c>
      <c r="J36" s="132"/>
    </row>
    <row r="37" spans="1:10" x14ac:dyDescent="0.2">
      <c r="A37" s="118"/>
      <c r="B37" s="105"/>
      <c r="C37" s="111"/>
      <c r="D37" s="111"/>
      <c r="E37" s="111"/>
      <c r="F37" s="111"/>
      <c r="G37" s="111"/>
      <c r="H37" s="111"/>
      <c r="I37" s="111"/>
      <c r="J37" s="132"/>
    </row>
    <row r="38" spans="1:10" x14ac:dyDescent="0.2">
      <c r="A38" s="118">
        <f>A34+1</f>
        <v>20</v>
      </c>
      <c r="B38" s="111"/>
      <c r="C38" s="127" t="s">
        <v>77</v>
      </c>
      <c r="D38" s="111"/>
      <c r="E38" s="111"/>
      <c r="F38" s="111"/>
      <c r="G38" s="111"/>
      <c r="H38" s="111"/>
      <c r="I38" s="111"/>
      <c r="J38" s="153">
        <f>(((J29*J42) + J45) *(J43/(1-J43)))+(J44/(1-J43))</f>
        <v>126351307.8385503</v>
      </c>
    </row>
    <row r="39" spans="1:10" x14ac:dyDescent="0.2">
      <c r="A39" s="118"/>
      <c r="B39" s="111"/>
      <c r="C39" s="111"/>
      <c r="D39" s="111"/>
      <c r="E39" s="111"/>
      <c r="F39" s="111"/>
      <c r="G39" s="111"/>
      <c r="H39" s="111"/>
      <c r="I39" s="111"/>
      <c r="J39" s="151"/>
    </row>
    <row r="40" spans="1:10" x14ac:dyDescent="0.2">
      <c r="A40" s="118"/>
      <c r="B40" s="111"/>
      <c r="C40" s="111"/>
      <c r="D40" s="111" t="s">
        <v>78</v>
      </c>
      <c r="E40" s="111"/>
      <c r="F40" s="111"/>
      <c r="G40" s="111"/>
      <c r="H40" s="111"/>
      <c r="I40" s="111"/>
      <c r="J40" s="132"/>
    </row>
    <row r="41" spans="1:10" x14ac:dyDescent="0.2">
      <c r="A41" s="118">
        <f>A38+1</f>
        <v>21</v>
      </c>
      <c r="B41" s="111"/>
      <c r="C41" s="111"/>
      <c r="D41" s="105" t="s">
        <v>79</v>
      </c>
      <c r="E41" s="111"/>
      <c r="F41" s="111"/>
      <c r="G41" s="111"/>
      <c r="H41" s="111" t="str">
        <f>"Line "&amp;A29&amp;""</f>
        <v>Line 17</v>
      </c>
      <c r="I41" s="111"/>
      <c r="J41" s="153">
        <f>J29</f>
        <v>3593441624.4207411</v>
      </c>
    </row>
    <row r="42" spans="1:10" x14ac:dyDescent="0.2">
      <c r="A42" s="118">
        <f>A41+1</f>
        <v>22</v>
      </c>
      <c r="B42" s="111"/>
      <c r="C42" s="111"/>
      <c r="D42" s="110" t="s">
        <v>80</v>
      </c>
      <c r="E42" s="111"/>
      <c r="F42" s="111"/>
      <c r="G42" s="127" t="s">
        <v>81</v>
      </c>
      <c r="H42" s="127" t="str">
        <f>"Instruction 1, Line "&amp;B102&amp;""</f>
        <v>Instruction 1, Line k</v>
      </c>
      <c r="I42" s="111"/>
      <c r="J42" s="270">
        <f>E102</f>
        <v>5.0894164829164965E-2</v>
      </c>
    </row>
    <row r="43" spans="1:10" x14ac:dyDescent="0.2">
      <c r="A43" s="118">
        <f>A42+1</f>
        <v>23</v>
      </c>
      <c r="B43" s="111"/>
      <c r="C43" s="111"/>
      <c r="D43" s="105" t="s">
        <v>82</v>
      </c>
      <c r="E43" s="111"/>
      <c r="F43" s="111"/>
      <c r="G43" s="111"/>
      <c r="H43" s="111" t="s">
        <v>376</v>
      </c>
      <c r="I43" s="111"/>
      <c r="J43" s="270">
        <v>0.39936028204298801</v>
      </c>
    </row>
    <row r="44" spans="1:10" x14ac:dyDescent="0.2">
      <c r="A44" s="118">
        <f>A43+1</f>
        <v>24</v>
      </c>
      <c r="B44" s="111"/>
      <c r="C44" s="111"/>
      <c r="D44" s="105" t="s">
        <v>83</v>
      </c>
      <c r="E44" s="111"/>
      <c r="F44" s="111"/>
      <c r="G44" s="111"/>
      <c r="H44" s="111" t="s">
        <v>377</v>
      </c>
      <c r="I44" s="111"/>
      <c r="J44" s="152">
        <v>2086200</v>
      </c>
    </row>
    <row r="45" spans="1:10" x14ac:dyDescent="0.2">
      <c r="A45" s="118">
        <f>A44+1</f>
        <v>25</v>
      </c>
      <c r="B45" s="111"/>
      <c r="C45" s="111"/>
      <c r="D45" s="105" t="s">
        <v>84</v>
      </c>
      <c r="E45" s="111"/>
      <c r="F45" s="111"/>
      <c r="G45" s="111"/>
      <c r="H45" s="111" t="s">
        <v>378</v>
      </c>
      <c r="I45" s="111"/>
      <c r="J45" s="271">
        <v>1923888.67</v>
      </c>
    </row>
    <row r="46" spans="1:10" x14ac:dyDescent="0.2">
      <c r="A46" s="118"/>
      <c r="B46" s="105"/>
      <c r="C46" s="111"/>
      <c r="D46" s="111"/>
      <c r="E46" s="111"/>
      <c r="F46" s="111"/>
      <c r="G46" s="111"/>
      <c r="H46" s="111"/>
      <c r="I46" s="111"/>
      <c r="J46" s="132"/>
    </row>
    <row r="47" spans="1:10" x14ac:dyDescent="0.2">
      <c r="A47" s="118"/>
      <c r="B47" s="126" t="s">
        <v>85</v>
      </c>
      <c r="D47" s="111"/>
      <c r="E47" s="111"/>
      <c r="F47" s="111"/>
      <c r="G47" s="111"/>
      <c r="H47" s="111"/>
      <c r="I47" s="111"/>
      <c r="J47" s="132"/>
    </row>
    <row r="48" spans="1:10" x14ac:dyDescent="0.2">
      <c r="A48" s="118">
        <f>A45+1</f>
        <v>26</v>
      </c>
      <c r="B48" s="105"/>
      <c r="C48" s="111" t="s">
        <v>86</v>
      </c>
      <c r="D48" s="111"/>
      <c r="E48" s="111"/>
      <c r="F48" s="111"/>
      <c r="G48" s="111"/>
      <c r="H48" s="111" t="s">
        <v>379</v>
      </c>
      <c r="I48" s="111"/>
      <c r="J48" s="152">
        <v>79435590.430285335</v>
      </c>
    </row>
    <row r="49" spans="1:10" x14ac:dyDescent="0.2">
      <c r="A49" s="118">
        <f t="shared" ref="A49:A59" si="0">A48+1</f>
        <v>27</v>
      </c>
      <c r="B49" s="105"/>
      <c r="C49" s="127" t="s">
        <v>87</v>
      </c>
      <c r="D49" s="111"/>
      <c r="E49" s="111"/>
      <c r="F49" s="111"/>
      <c r="G49" s="111"/>
      <c r="H49" s="111" t="s">
        <v>380</v>
      </c>
      <c r="I49" s="111"/>
      <c r="J49" s="153">
        <v>33641229.081105985</v>
      </c>
    </row>
    <row r="50" spans="1:10" x14ac:dyDescent="0.2">
      <c r="A50" s="118">
        <f t="shared" si="0"/>
        <v>28</v>
      </c>
      <c r="B50" s="105"/>
      <c r="C50" s="111" t="s">
        <v>88</v>
      </c>
      <c r="D50" s="111"/>
      <c r="E50" s="111"/>
      <c r="F50" s="111"/>
      <c r="G50" s="111"/>
      <c r="H50" s="111" t="s">
        <v>381</v>
      </c>
      <c r="I50" s="111"/>
      <c r="J50" s="152">
        <v>617891</v>
      </c>
    </row>
    <row r="51" spans="1:10" x14ac:dyDescent="0.2">
      <c r="A51" s="118">
        <f t="shared" si="0"/>
        <v>29</v>
      </c>
      <c r="B51" s="105"/>
      <c r="C51" s="127" t="s">
        <v>89</v>
      </c>
      <c r="D51" s="111"/>
      <c r="E51" s="111"/>
      <c r="F51" s="111"/>
      <c r="G51" s="111"/>
      <c r="H51" s="111" t="s">
        <v>382</v>
      </c>
      <c r="I51" s="111"/>
      <c r="J51" s="152">
        <v>104188251.23380898</v>
      </c>
    </row>
    <row r="52" spans="1:10" x14ac:dyDescent="0.2">
      <c r="A52" s="118">
        <f t="shared" si="0"/>
        <v>30</v>
      </c>
      <c r="B52" s="105"/>
      <c r="C52" s="127" t="s">
        <v>90</v>
      </c>
      <c r="D52" s="111"/>
      <c r="E52" s="111"/>
      <c r="F52" s="111"/>
      <c r="G52" s="111"/>
      <c r="H52" s="111" t="s">
        <v>383</v>
      </c>
      <c r="I52" s="111"/>
      <c r="J52" s="152">
        <v>11028000</v>
      </c>
    </row>
    <row r="53" spans="1:10" x14ac:dyDescent="0.2">
      <c r="A53" s="118">
        <f t="shared" si="0"/>
        <v>31</v>
      </c>
      <c r="B53" s="105"/>
      <c r="C53" s="127" t="s">
        <v>91</v>
      </c>
      <c r="D53" s="111"/>
      <c r="E53" s="111"/>
      <c r="F53" s="111"/>
      <c r="G53" s="111"/>
      <c r="H53" s="111" t="s">
        <v>384</v>
      </c>
      <c r="I53" s="111"/>
      <c r="J53" s="152">
        <v>25270453.324389562</v>
      </c>
    </row>
    <row r="54" spans="1:10" x14ac:dyDescent="0.2">
      <c r="A54" s="118">
        <f t="shared" si="0"/>
        <v>32</v>
      </c>
      <c r="B54" s="105"/>
      <c r="C54" s="111" t="s">
        <v>92</v>
      </c>
      <c r="D54" s="111"/>
      <c r="E54" s="111"/>
      <c r="F54" s="111"/>
      <c r="G54" s="127"/>
      <c r="H54" s="111" t="s">
        <v>385</v>
      </c>
      <c r="I54" s="111"/>
      <c r="J54" s="152">
        <v>-49681901.698689714</v>
      </c>
    </row>
    <row r="55" spans="1:10" x14ac:dyDescent="0.2">
      <c r="A55" s="118">
        <f t="shared" si="0"/>
        <v>33</v>
      </c>
      <c r="B55" s="105"/>
      <c r="C55" s="111" t="s">
        <v>93</v>
      </c>
      <c r="D55" s="111"/>
      <c r="E55" s="111"/>
      <c r="F55" s="111"/>
      <c r="G55" s="111"/>
      <c r="H55" s="111" t="str">
        <f>"Line "&amp;A34&amp;""</f>
        <v>Line 19</v>
      </c>
      <c r="I55" s="111"/>
      <c r="J55" s="153">
        <f>J34</f>
        <v>269290205.11107695</v>
      </c>
    </row>
    <row r="56" spans="1:10" x14ac:dyDescent="0.2">
      <c r="A56" s="118">
        <f t="shared" si="0"/>
        <v>34</v>
      </c>
      <c r="B56" s="105"/>
      <c r="C56" s="111" t="s">
        <v>94</v>
      </c>
      <c r="D56" s="111"/>
      <c r="E56" s="111"/>
      <c r="F56" s="111"/>
      <c r="G56" s="111"/>
      <c r="H56" s="111" t="str">
        <f>"Line "&amp;A38&amp;""</f>
        <v>Line 20</v>
      </c>
      <c r="I56" s="111"/>
      <c r="J56" s="269">
        <f>J38</f>
        <v>126351307.8385503</v>
      </c>
    </row>
    <row r="57" spans="1:10" x14ac:dyDescent="0.2">
      <c r="A57" s="118">
        <f t="shared" si="0"/>
        <v>35</v>
      </c>
      <c r="B57" s="105"/>
      <c r="C57" s="127" t="s">
        <v>95</v>
      </c>
      <c r="D57" s="111"/>
      <c r="E57" s="111"/>
      <c r="F57" s="111"/>
      <c r="G57" s="111"/>
      <c r="H57" s="111" t="s">
        <v>386</v>
      </c>
      <c r="I57" s="111"/>
      <c r="J57" s="271">
        <v>0</v>
      </c>
    </row>
    <row r="58" spans="1:10" x14ac:dyDescent="0.2">
      <c r="A58" s="118">
        <f t="shared" si="0"/>
        <v>36</v>
      </c>
      <c r="B58" s="105"/>
      <c r="C58" s="53" t="s">
        <v>96</v>
      </c>
      <c r="D58" s="54"/>
      <c r="E58" s="111"/>
      <c r="F58" s="111"/>
      <c r="G58" s="111"/>
      <c r="H58" s="111" t="s">
        <v>387</v>
      </c>
      <c r="I58" s="111"/>
      <c r="J58" s="267">
        <v>0</v>
      </c>
    </row>
    <row r="59" spans="1:10" x14ac:dyDescent="0.2">
      <c r="A59" s="118">
        <f t="shared" si="0"/>
        <v>37</v>
      </c>
      <c r="B59" s="105"/>
      <c r="C59" s="127" t="s">
        <v>97</v>
      </c>
      <c r="D59" s="111"/>
      <c r="E59" s="111"/>
      <c r="F59" s="111"/>
      <c r="G59" s="111"/>
      <c r="H59" s="111" t="str">
        <f>"Sum Line "&amp;A48&amp;" to Line "&amp;A58&amp;""</f>
        <v>Sum Line 26 to Line 36</v>
      </c>
      <c r="I59" s="111"/>
      <c r="J59" s="153">
        <f>SUM(J48:J58)</f>
        <v>600141026.32052743</v>
      </c>
    </row>
    <row r="60" spans="1:10" x14ac:dyDescent="0.2">
      <c r="A60" s="118"/>
      <c r="B60" s="105"/>
      <c r="C60" s="111"/>
      <c r="D60" s="111"/>
      <c r="E60" s="111"/>
      <c r="F60" s="111"/>
      <c r="G60" s="111"/>
      <c r="H60" s="111"/>
      <c r="I60" s="111"/>
      <c r="J60" s="152"/>
    </row>
    <row r="61" spans="1:10" ht="12.75" customHeight="1" x14ac:dyDescent="0.2">
      <c r="A61" s="118">
        <f>A59+1</f>
        <v>38</v>
      </c>
      <c r="B61" s="105"/>
      <c r="C61" s="127" t="s">
        <v>98</v>
      </c>
      <c r="D61" s="111"/>
      <c r="E61" s="111"/>
      <c r="F61" s="111"/>
      <c r="G61" s="111"/>
      <c r="H61" s="111" t="s">
        <v>400</v>
      </c>
      <c r="I61" s="111"/>
      <c r="J61" s="152">
        <v>19216578.126865491</v>
      </c>
    </row>
    <row r="62" spans="1:10" x14ac:dyDescent="0.2">
      <c r="A62" s="118"/>
      <c r="B62" s="105"/>
      <c r="C62" s="127"/>
      <c r="D62" s="111"/>
      <c r="E62" s="111"/>
      <c r="F62" s="111"/>
      <c r="G62" s="111"/>
      <c r="H62" s="111"/>
      <c r="I62" s="111"/>
      <c r="J62" s="152"/>
    </row>
    <row r="63" spans="1:10" x14ac:dyDescent="0.2">
      <c r="A63" s="118">
        <f>A61+1</f>
        <v>39</v>
      </c>
      <c r="B63" s="105"/>
      <c r="C63" s="127" t="s">
        <v>99</v>
      </c>
      <c r="D63" s="111"/>
      <c r="E63" s="111"/>
      <c r="F63" s="111"/>
      <c r="G63" s="111"/>
      <c r="H63" s="111" t="str">
        <f>"Line "&amp;A59&amp;" + Line "&amp;A61&amp;""</f>
        <v>Line 37 + Line 38</v>
      </c>
      <c r="I63" s="111"/>
      <c r="J63" s="153">
        <f>J59+J61</f>
        <v>619357604.44739294</v>
      </c>
    </row>
    <row r="64" spans="1:10" x14ac:dyDescent="0.2">
      <c r="A64" s="118"/>
      <c r="B64" s="105"/>
      <c r="C64" s="127"/>
      <c r="D64" s="111"/>
      <c r="E64" s="111"/>
      <c r="F64" s="111"/>
      <c r="G64" s="111"/>
      <c r="H64" s="111"/>
      <c r="I64" s="111"/>
      <c r="J64" s="102"/>
    </row>
    <row r="65" spans="1:12" x14ac:dyDescent="0.2">
      <c r="A65" s="118"/>
      <c r="B65" s="154" t="s">
        <v>100</v>
      </c>
      <c r="C65" s="127"/>
      <c r="D65" s="111"/>
      <c r="E65" s="111"/>
      <c r="F65" s="111"/>
      <c r="G65" s="111"/>
      <c r="H65" s="111"/>
      <c r="I65" s="111"/>
      <c r="J65" s="102"/>
    </row>
    <row r="66" spans="1:12" ht="13.5" thickBot="1" x14ac:dyDescent="0.25">
      <c r="A66" s="99" t="s">
        <v>42</v>
      </c>
      <c r="B66" s="155"/>
      <c r="G66" s="129" t="s">
        <v>101</v>
      </c>
    </row>
    <row r="67" spans="1:12" x14ac:dyDescent="0.2">
      <c r="A67" s="118">
        <f>A63+1</f>
        <v>40</v>
      </c>
      <c r="B67" s="148"/>
      <c r="C67" s="111"/>
      <c r="D67" s="109" t="s">
        <v>102</v>
      </c>
      <c r="E67" s="153">
        <f>J63</f>
        <v>619357604.44739294</v>
      </c>
      <c r="F67" s="111"/>
      <c r="G67" s="111" t="str">
        <f>"Line "&amp;A63&amp;""</f>
        <v>Line 39</v>
      </c>
      <c r="H67" s="111"/>
      <c r="I67" s="111"/>
      <c r="J67" s="156" t="s">
        <v>103</v>
      </c>
    </row>
    <row r="68" spans="1:12" x14ac:dyDescent="0.2">
      <c r="A68" s="118">
        <f>A67+1</f>
        <v>41</v>
      </c>
      <c r="B68" s="148"/>
      <c r="C68" s="111"/>
      <c r="D68" s="109" t="s">
        <v>104</v>
      </c>
      <c r="E68" s="272">
        <v>9.1427999999999995E-3</v>
      </c>
      <c r="F68" s="111"/>
      <c r="G68" s="111" t="s">
        <v>401</v>
      </c>
      <c r="H68" s="111"/>
      <c r="I68" s="111"/>
      <c r="J68" s="157" t="s">
        <v>348</v>
      </c>
    </row>
    <row r="69" spans="1:12" x14ac:dyDescent="0.2">
      <c r="A69" s="118">
        <f>A68+1</f>
        <v>42</v>
      </c>
      <c r="B69" s="148"/>
      <c r="C69" s="111"/>
      <c r="D69" s="113" t="s">
        <v>105</v>
      </c>
      <c r="E69" s="153">
        <v>5662662.705941624</v>
      </c>
      <c r="F69" s="111"/>
      <c r="G69" s="111" t="str">
        <f>"Line "&amp;A67&amp;" * Line "&amp;A68&amp;""</f>
        <v>Line 40 * Line 41</v>
      </c>
      <c r="H69" s="111"/>
      <c r="I69" s="111"/>
      <c r="J69" s="159">
        <f>E72</f>
        <v>626292551.54439044</v>
      </c>
      <c r="L69" s="73"/>
    </row>
    <row r="70" spans="1:12" x14ac:dyDescent="0.2">
      <c r="A70" s="118">
        <f>A69+1</f>
        <v>43</v>
      </c>
      <c r="B70" s="148"/>
      <c r="C70" s="111"/>
      <c r="D70" s="109" t="s">
        <v>106</v>
      </c>
      <c r="E70" s="272">
        <v>2.0541999999999999E-3</v>
      </c>
      <c r="F70" s="111"/>
      <c r="G70" s="111" t="s">
        <v>401</v>
      </c>
      <c r="H70" s="111"/>
      <c r="I70" s="111"/>
      <c r="J70" s="160">
        <v>626502600.50540948</v>
      </c>
    </row>
    <row r="71" spans="1:12" ht="13.5" thickBot="1" x14ac:dyDescent="0.25">
      <c r="A71" s="118">
        <f>A70+1</f>
        <v>44</v>
      </c>
      <c r="B71" s="148"/>
      <c r="C71" s="111"/>
      <c r="D71" s="109" t="s">
        <v>107</v>
      </c>
      <c r="E71" s="153">
        <v>1272284.3910558345</v>
      </c>
      <c r="F71" s="111"/>
      <c r="G71" s="111" t="str">
        <f>"Line "&amp;A69&amp;" * Line "&amp;A70&amp;""</f>
        <v>Line 42 * Line 43</v>
      </c>
      <c r="H71" s="111"/>
      <c r="I71" s="132"/>
      <c r="J71" s="161">
        <f>J69-J70</f>
        <v>-210048.96101903915</v>
      </c>
    </row>
    <row r="72" spans="1:12" x14ac:dyDescent="0.2">
      <c r="A72" s="118">
        <f>A71+1</f>
        <v>45</v>
      </c>
      <c r="B72" s="148"/>
      <c r="C72" s="111"/>
      <c r="D72" s="109" t="s">
        <v>108</v>
      </c>
      <c r="E72" s="153">
        <f>E67+E69+E71</f>
        <v>626292551.54439044</v>
      </c>
      <c r="F72" s="111"/>
      <c r="G72" s="111" t="str">
        <f>"L "&amp;A67&amp;" + L "&amp;A69&amp;" + L "&amp;A71&amp;""</f>
        <v>L 40 + L 42 + L 44</v>
      </c>
      <c r="H72" s="111"/>
      <c r="I72" s="111"/>
      <c r="J72" s="111"/>
    </row>
    <row r="73" spans="1:12" x14ac:dyDescent="0.2">
      <c r="A73" s="111"/>
      <c r="B73" s="162" t="s">
        <v>109</v>
      </c>
      <c r="C73" s="111"/>
      <c r="D73" s="113"/>
      <c r="E73" s="102"/>
      <c r="F73" s="111"/>
      <c r="G73" s="111"/>
      <c r="H73" s="55"/>
      <c r="I73" s="111"/>
      <c r="J73" s="111"/>
    </row>
    <row r="74" spans="1:12" x14ac:dyDescent="0.2">
      <c r="A74" s="118"/>
      <c r="B74" s="127" t="s">
        <v>110</v>
      </c>
      <c r="C74" s="154"/>
      <c r="D74" s="113"/>
      <c r="E74" s="102"/>
      <c r="F74" s="111"/>
      <c r="G74" s="111"/>
      <c r="H74" s="111"/>
      <c r="I74" s="111"/>
      <c r="J74" s="111"/>
    </row>
    <row r="75" spans="1:12" x14ac:dyDescent="0.2">
      <c r="A75" s="118"/>
      <c r="B75" s="127" t="s">
        <v>111</v>
      </c>
      <c r="C75" s="154"/>
      <c r="D75" s="113"/>
      <c r="E75" s="102"/>
      <c r="F75" s="111"/>
      <c r="G75" s="111"/>
      <c r="H75" s="111"/>
      <c r="I75" s="111"/>
      <c r="J75" s="111"/>
    </row>
    <row r="76" spans="1:12" x14ac:dyDescent="0.2">
      <c r="A76" s="118"/>
      <c r="B76" s="145" t="s">
        <v>112</v>
      </c>
      <c r="C76" s="127"/>
      <c r="D76" s="113"/>
      <c r="E76" s="102"/>
      <c r="F76" s="111"/>
      <c r="G76" s="111"/>
      <c r="H76" s="111"/>
      <c r="I76" s="111"/>
      <c r="J76" s="111"/>
    </row>
    <row r="77" spans="1:12" x14ac:dyDescent="0.2">
      <c r="A77" s="118"/>
      <c r="B77" s="145" t="s">
        <v>113</v>
      </c>
      <c r="C77" s="111"/>
      <c r="D77" s="113"/>
      <c r="E77" s="102"/>
      <c r="F77" s="111"/>
      <c r="G77" s="111"/>
      <c r="H77" s="111"/>
      <c r="I77" s="111"/>
      <c r="J77" s="111"/>
    </row>
    <row r="78" spans="1:12" x14ac:dyDescent="0.2">
      <c r="A78" s="118"/>
      <c r="B78" s="111"/>
      <c r="C78" s="111"/>
      <c r="D78" s="111"/>
      <c r="E78" s="111"/>
      <c r="F78" s="111"/>
      <c r="G78" s="111"/>
      <c r="H78" s="111"/>
      <c r="I78" s="111"/>
      <c r="J78" s="111"/>
    </row>
    <row r="79" spans="1:12" x14ac:dyDescent="0.2">
      <c r="A79" s="118"/>
      <c r="B79" s="127" t="s">
        <v>114</v>
      </c>
      <c r="C79" s="111"/>
      <c r="D79" s="111"/>
      <c r="E79" s="111"/>
      <c r="F79" s="111"/>
      <c r="G79" s="111"/>
      <c r="H79" s="111"/>
      <c r="I79" s="111"/>
      <c r="J79" s="111"/>
    </row>
    <row r="80" spans="1:12" x14ac:dyDescent="0.2">
      <c r="A80" s="118"/>
      <c r="B80" s="127"/>
      <c r="C80" s="127" t="s">
        <v>115</v>
      </c>
      <c r="D80" s="111"/>
      <c r="E80" s="111"/>
      <c r="F80" s="111"/>
      <c r="G80" s="111"/>
      <c r="H80" s="111"/>
      <c r="I80" s="111"/>
      <c r="J80" s="111"/>
    </row>
    <row r="81" spans="1:12" x14ac:dyDescent="0.2">
      <c r="A81" s="118"/>
      <c r="B81" s="127"/>
      <c r="C81" s="111"/>
      <c r="D81" s="111"/>
      <c r="E81" s="111"/>
      <c r="F81" s="111"/>
      <c r="G81" s="111"/>
      <c r="H81" s="111"/>
      <c r="I81" s="111"/>
      <c r="J81" s="118" t="s">
        <v>116</v>
      </c>
    </row>
    <row r="82" spans="1:12" x14ac:dyDescent="0.2">
      <c r="A82" s="118"/>
      <c r="B82" s="111"/>
      <c r="C82" s="111"/>
      <c r="D82" s="111"/>
      <c r="E82" s="66" t="s">
        <v>117</v>
      </c>
      <c r="F82" s="163" t="s">
        <v>101</v>
      </c>
      <c r="G82" s="66" t="s">
        <v>118</v>
      </c>
      <c r="H82" s="66" t="s">
        <v>119</v>
      </c>
      <c r="I82" s="111"/>
      <c r="J82" s="66" t="s">
        <v>120</v>
      </c>
    </row>
    <row r="83" spans="1:12" x14ac:dyDescent="0.2">
      <c r="B83" s="164" t="s">
        <v>121</v>
      </c>
      <c r="C83" s="127" t="s">
        <v>122</v>
      </c>
      <c r="D83" s="111"/>
      <c r="E83" s="165">
        <v>9.8000000000000004E-2</v>
      </c>
      <c r="F83" s="111" t="s">
        <v>388</v>
      </c>
      <c r="G83" s="166" t="s">
        <v>349</v>
      </c>
      <c r="H83" s="167" t="s">
        <v>350</v>
      </c>
      <c r="I83" s="127"/>
      <c r="J83" s="168">
        <v>366</v>
      </c>
      <c r="K83" s="127"/>
      <c r="L83" s="127"/>
    </row>
    <row r="84" spans="1:12" x14ac:dyDescent="0.2">
      <c r="B84" s="164" t="s">
        <v>123</v>
      </c>
      <c r="C84" s="127" t="s">
        <v>124</v>
      </c>
      <c r="D84" s="111"/>
      <c r="E84" s="169">
        <v>9.8000000000000004E-2</v>
      </c>
      <c r="F84" s="170" t="s">
        <v>125</v>
      </c>
      <c r="G84" s="167" t="s">
        <v>126</v>
      </c>
      <c r="H84" s="167" t="s">
        <v>126</v>
      </c>
      <c r="I84" s="127"/>
      <c r="J84" s="168">
        <v>0</v>
      </c>
      <c r="K84" s="127"/>
      <c r="L84" s="127"/>
    </row>
    <row r="85" spans="1:12" x14ac:dyDescent="0.2">
      <c r="B85" s="164" t="s">
        <v>127</v>
      </c>
      <c r="C85" s="127"/>
      <c r="D85" s="111"/>
      <c r="E85" s="171"/>
      <c r="F85" s="170"/>
      <c r="G85" s="172"/>
      <c r="H85" s="172"/>
      <c r="I85" s="109" t="s">
        <v>128</v>
      </c>
      <c r="J85" s="127">
        <f>SUM(J83:J84)</f>
        <v>366</v>
      </c>
      <c r="K85" s="127"/>
      <c r="L85" s="127"/>
    </row>
    <row r="86" spans="1:12" x14ac:dyDescent="0.2">
      <c r="A86" s="111"/>
      <c r="B86" s="164" t="s">
        <v>129</v>
      </c>
      <c r="C86" s="127" t="s">
        <v>130</v>
      </c>
      <c r="D86" s="111"/>
      <c r="E86" s="165">
        <f>((E83*J83) + (E84* J84)) / J85</f>
        <v>9.8000000000000004E-2</v>
      </c>
      <c r="F86" s="127" t="s">
        <v>131</v>
      </c>
      <c r="G86" s="111"/>
      <c r="H86" s="127"/>
      <c r="I86" s="127"/>
      <c r="J86" s="127"/>
      <c r="K86" s="127"/>
      <c r="L86" s="127"/>
    </row>
    <row r="87" spans="1:12" x14ac:dyDescent="0.2">
      <c r="A87" s="118"/>
      <c r="B87" s="127"/>
      <c r="C87" s="111"/>
      <c r="D87" s="111"/>
      <c r="E87" s="111"/>
      <c r="F87" s="111"/>
      <c r="G87" s="111"/>
      <c r="H87" s="127"/>
      <c r="I87" s="127"/>
      <c r="J87" s="127"/>
      <c r="K87" s="127"/>
      <c r="L87" s="127"/>
    </row>
    <row r="88" spans="1:12" x14ac:dyDescent="0.2">
      <c r="A88" s="118"/>
      <c r="B88" s="127" t="s">
        <v>132</v>
      </c>
      <c r="C88" s="111"/>
      <c r="D88" s="111"/>
      <c r="E88" s="111"/>
      <c r="F88" s="111"/>
      <c r="G88" s="111"/>
      <c r="H88" s="127"/>
      <c r="I88" s="127"/>
      <c r="J88" s="127"/>
      <c r="K88" s="127"/>
      <c r="L88" s="127"/>
    </row>
    <row r="89" spans="1:12" x14ac:dyDescent="0.2">
      <c r="A89" s="118"/>
      <c r="B89" s="127"/>
      <c r="C89" s="111"/>
      <c r="D89" s="111"/>
      <c r="E89" s="163" t="s">
        <v>101</v>
      </c>
      <c r="F89" s="111"/>
      <c r="G89" s="111"/>
      <c r="H89" s="127"/>
      <c r="I89" s="127"/>
      <c r="J89" s="127"/>
      <c r="K89" s="127"/>
      <c r="L89" s="127"/>
    </row>
    <row r="90" spans="1:12" x14ac:dyDescent="0.2">
      <c r="A90" s="111"/>
      <c r="B90" s="164" t="s">
        <v>133</v>
      </c>
      <c r="C90" s="127" t="s">
        <v>134</v>
      </c>
      <c r="D90" s="111"/>
      <c r="E90" s="95" t="s">
        <v>135</v>
      </c>
      <c r="F90" s="95"/>
      <c r="G90" s="95"/>
      <c r="H90" s="168"/>
      <c r="I90" s="168"/>
      <c r="J90" s="168"/>
      <c r="K90" s="127"/>
      <c r="L90" s="127"/>
    </row>
    <row r="91" spans="1:12" x14ac:dyDescent="0.2">
      <c r="B91" s="164" t="s">
        <v>136</v>
      </c>
      <c r="C91" s="127" t="s">
        <v>137</v>
      </c>
      <c r="D91" s="111"/>
      <c r="E91" s="95" t="s">
        <v>135</v>
      </c>
      <c r="F91" s="95"/>
      <c r="G91" s="95"/>
      <c r="H91" s="168"/>
      <c r="I91" s="168"/>
      <c r="J91" s="168"/>
      <c r="K91" s="127"/>
      <c r="L91" s="127"/>
    </row>
    <row r="92" spans="1:12" x14ac:dyDescent="0.2">
      <c r="B92" s="111"/>
      <c r="C92" s="127"/>
      <c r="D92" s="111"/>
      <c r="E92" s="172"/>
      <c r="F92" s="111"/>
      <c r="G92" s="111"/>
      <c r="H92" s="111"/>
      <c r="I92" s="127"/>
      <c r="J92" s="127"/>
      <c r="K92" s="127"/>
      <c r="L92" s="127"/>
    </row>
    <row r="93" spans="1:12" x14ac:dyDescent="0.2">
      <c r="B93" s="111"/>
      <c r="C93" s="111"/>
      <c r="D93" s="111"/>
      <c r="E93" s="66" t="s">
        <v>117</v>
      </c>
      <c r="F93" s="163" t="s">
        <v>101</v>
      </c>
      <c r="G93" s="111"/>
      <c r="H93" s="127"/>
      <c r="I93" s="127"/>
      <c r="J93" s="111"/>
    </row>
    <row r="94" spans="1:12" x14ac:dyDescent="0.2">
      <c r="B94" s="164" t="s">
        <v>138</v>
      </c>
      <c r="C94" s="127" t="s">
        <v>139</v>
      </c>
      <c r="D94" s="127"/>
      <c r="E94" s="115">
        <v>2.4045192271003935E-2</v>
      </c>
      <c r="F94" s="111" t="s">
        <v>389</v>
      </c>
      <c r="G94" s="111"/>
      <c r="H94" s="127"/>
      <c r="I94" s="127"/>
      <c r="J94" s="111"/>
    </row>
    <row r="95" spans="1:12" x14ac:dyDescent="0.2">
      <c r="B95" s="164" t="s">
        <v>140</v>
      </c>
      <c r="C95" s="127" t="s">
        <v>141</v>
      </c>
      <c r="D95" s="111"/>
      <c r="E95" s="115">
        <v>4.7288960950770823E-3</v>
      </c>
      <c r="F95" s="111" t="s">
        <v>390</v>
      </c>
      <c r="G95" s="111"/>
      <c r="H95" s="127"/>
      <c r="I95" s="127"/>
      <c r="J95" s="111"/>
    </row>
    <row r="96" spans="1:12" x14ac:dyDescent="0.2">
      <c r="B96" s="164" t="s">
        <v>142</v>
      </c>
      <c r="C96" s="127" t="s">
        <v>143</v>
      </c>
      <c r="D96" s="111"/>
      <c r="E96" s="114">
        <v>4.6165268734087883E-2</v>
      </c>
      <c r="F96" s="111" t="s">
        <v>391</v>
      </c>
      <c r="G96" s="127"/>
      <c r="H96" s="127"/>
      <c r="I96" s="111"/>
      <c r="J96" s="111"/>
    </row>
    <row r="97" spans="1:10" x14ac:dyDescent="0.2">
      <c r="A97" s="111"/>
      <c r="B97" s="118" t="s">
        <v>144</v>
      </c>
      <c r="C97" s="110" t="s">
        <v>73</v>
      </c>
      <c r="D97" s="111"/>
      <c r="E97" s="150">
        <f>SUM(E94:E96)</f>
        <v>7.4939357100168899E-2</v>
      </c>
      <c r="F97" s="102" t="str">
        <f>"Sum of Lines "&amp;B91&amp;" to "&amp;B95&amp;""</f>
        <v>Sum of Lines f to h</v>
      </c>
      <c r="G97" s="173"/>
      <c r="H97" s="111"/>
      <c r="I97" s="111"/>
      <c r="J97" s="174"/>
    </row>
    <row r="98" spans="1:10" x14ac:dyDescent="0.2">
      <c r="A98" s="118"/>
      <c r="B98" s="111"/>
      <c r="C98" s="56"/>
      <c r="D98" s="57"/>
      <c r="E98" s="102"/>
      <c r="F98" s="102"/>
      <c r="G98" s="173"/>
      <c r="H98" s="102"/>
      <c r="I98" s="111"/>
      <c r="J98" s="174"/>
    </row>
    <row r="99" spans="1:10" x14ac:dyDescent="0.2">
      <c r="A99" s="118"/>
      <c r="B99" s="127" t="s">
        <v>145</v>
      </c>
      <c r="C99" s="111"/>
      <c r="D99" s="111"/>
      <c r="E99" s="111"/>
      <c r="F99" s="111"/>
      <c r="G99" s="111"/>
      <c r="H99" s="111"/>
      <c r="I99" s="111"/>
      <c r="J99" s="111"/>
    </row>
    <row r="100" spans="1:10" x14ac:dyDescent="0.2">
      <c r="A100" s="118"/>
      <c r="B100" s="111"/>
      <c r="C100" s="111"/>
      <c r="D100" s="111"/>
      <c r="E100" s="111"/>
      <c r="F100" s="111"/>
      <c r="G100" s="111"/>
      <c r="H100" s="111"/>
      <c r="I100" s="111"/>
      <c r="J100" s="111"/>
    </row>
    <row r="101" spans="1:10" x14ac:dyDescent="0.2">
      <c r="A101" s="118"/>
      <c r="B101" s="111"/>
      <c r="C101" s="111"/>
      <c r="D101" s="111"/>
      <c r="E101" s="66" t="s">
        <v>117</v>
      </c>
      <c r="F101" s="163" t="s">
        <v>101</v>
      </c>
      <c r="G101" s="111"/>
      <c r="H101" s="111"/>
      <c r="I101" s="111"/>
      <c r="J101" s="111"/>
    </row>
    <row r="102" spans="1:10" x14ac:dyDescent="0.2">
      <c r="A102" s="111"/>
      <c r="B102" s="164" t="s">
        <v>146</v>
      </c>
      <c r="C102" s="111"/>
      <c r="D102" s="111"/>
      <c r="E102" s="115">
        <f>E95+E96</f>
        <v>5.0894164829164965E-2</v>
      </c>
      <c r="F102" s="102" t="str">
        <f>"Sum of Lines "&amp;B94&amp;" to "&amp;B95&amp;""</f>
        <v>Sum of Lines g to h</v>
      </c>
      <c r="G102" s="111"/>
      <c r="H102" s="111"/>
      <c r="I102" s="111"/>
      <c r="J102" s="111"/>
    </row>
    <row r="103" spans="1:10" x14ac:dyDescent="0.2">
      <c r="A103" s="118"/>
      <c r="B103" s="111"/>
      <c r="C103" s="111"/>
      <c r="D103" s="111"/>
      <c r="E103" s="115"/>
      <c r="F103" s="102"/>
      <c r="G103" s="111"/>
      <c r="H103" s="111"/>
      <c r="I103" s="111"/>
      <c r="J103" s="111"/>
    </row>
    <row r="104" spans="1:10" x14ac:dyDescent="0.2">
      <c r="A104" s="118"/>
      <c r="B104" s="145" t="s">
        <v>147</v>
      </c>
      <c r="C104" s="111"/>
      <c r="D104" s="111"/>
      <c r="E104" s="173"/>
      <c r="F104" s="173"/>
      <c r="G104" s="173"/>
      <c r="H104" s="102"/>
      <c r="I104" s="111"/>
      <c r="J104" s="111"/>
    </row>
    <row r="105" spans="1:10" x14ac:dyDescent="0.2">
      <c r="A105" s="118"/>
      <c r="B105" s="170" t="s">
        <v>148</v>
      </c>
      <c r="C105" s="111"/>
      <c r="D105" s="111"/>
      <c r="E105" s="111"/>
      <c r="F105" s="111"/>
      <c r="G105" s="111"/>
      <c r="H105" s="111"/>
      <c r="I105" s="111"/>
      <c r="J105" s="111"/>
    </row>
    <row r="106" spans="1:10" x14ac:dyDescent="0.2">
      <c r="A106" s="98"/>
      <c r="B106" s="170" t="s">
        <v>149</v>
      </c>
      <c r="C106" s="111"/>
      <c r="D106" s="118"/>
      <c r="E106" s="118"/>
      <c r="F106" s="118"/>
      <c r="G106" s="118"/>
      <c r="H106" s="118"/>
      <c r="I106" s="111"/>
      <c r="J106" s="111"/>
    </row>
    <row r="107" spans="1:10" x14ac:dyDescent="0.2">
      <c r="A107" s="98"/>
      <c r="B107" s="145" t="s">
        <v>150</v>
      </c>
      <c r="C107" s="111"/>
      <c r="D107" s="118"/>
      <c r="E107" s="118"/>
      <c r="F107" s="118"/>
      <c r="G107" s="118"/>
      <c r="H107" s="118"/>
      <c r="I107" s="111"/>
      <c r="J107" s="111"/>
    </row>
    <row r="108" spans="1:10" x14ac:dyDescent="0.2">
      <c r="A108" s="98"/>
      <c r="B108" s="111" t="s">
        <v>151</v>
      </c>
      <c r="C108" s="58"/>
      <c r="D108" s="58"/>
      <c r="E108" s="66"/>
      <c r="F108" s="66"/>
      <c r="G108" s="66"/>
      <c r="H108" s="66"/>
      <c r="I108" s="111"/>
      <c r="J108" s="111"/>
    </row>
    <row r="109" spans="1:10" x14ac:dyDescent="0.2">
      <c r="A109" s="98"/>
    </row>
    <row r="110" spans="1:10" x14ac:dyDescent="0.2">
      <c r="A110" s="98"/>
    </row>
    <row r="111" spans="1:10" x14ac:dyDescent="0.2">
      <c r="A111" s="98"/>
    </row>
    <row r="112" spans="1:10" x14ac:dyDescent="0.2">
      <c r="A112" s="98"/>
      <c r="C112" s="56"/>
      <c r="E112" s="102"/>
      <c r="F112" s="102"/>
      <c r="H112" s="103"/>
      <c r="J112" s="175"/>
    </row>
    <row r="113" spans="1:10" x14ac:dyDescent="0.2">
      <c r="A113" s="98"/>
      <c r="C113" s="56"/>
      <c r="E113" s="102"/>
      <c r="F113" s="102"/>
      <c r="H113" s="103"/>
      <c r="J113" s="175"/>
    </row>
    <row r="114" spans="1:10" x14ac:dyDescent="0.2">
      <c r="A114" s="99"/>
      <c r="C114" s="56"/>
      <c r="E114" s="102"/>
      <c r="F114" s="102"/>
      <c r="H114" s="103"/>
      <c r="J114" s="175"/>
    </row>
    <row r="115" spans="1:10" x14ac:dyDescent="0.2">
      <c r="A115" s="98"/>
      <c r="D115" s="59"/>
      <c r="E115" s="102"/>
      <c r="F115" s="102"/>
      <c r="G115" s="104"/>
      <c r="H115" s="103"/>
      <c r="J115" s="175"/>
    </row>
    <row r="116" spans="1:10" x14ac:dyDescent="0.2">
      <c r="A116" s="98"/>
      <c r="C116" s="56"/>
      <c r="D116" s="128"/>
      <c r="E116" s="107"/>
      <c r="F116" s="103"/>
      <c r="G116" s="104"/>
      <c r="H116" s="103"/>
      <c r="J116" s="175"/>
    </row>
    <row r="117" spans="1:10" x14ac:dyDescent="0.2">
      <c r="A117" s="98"/>
      <c r="C117" s="56"/>
      <c r="D117" s="128"/>
      <c r="E117" s="103"/>
      <c r="F117" s="103"/>
      <c r="G117" s="104"/>
      <c r="H117" s="103"/>
      <c r="J117" s="175"/>
    </row>
    <row r="118" spans="1:10" x14ac:dyDescent="0.2">
      <c r="A118" s="98"/>
    </row>
    <row r="119" spans="1:10" x14ac:dyDescent="0.2">
      <c r="A119" s="98"/>
      <c r="B119" s="116"/>
    </row>
    <row r="120" spans="1:10" x14ac:dyDescent="0.2">
      <c r="A120" s="98"/>
    </row>
    <row r="121" spans="1:10" x14ac:dyDescent="0.2">
      <c r="A121" s="98"/>
    </row>
    <row r="122" spans="1:10" x14ac:dyDescent="0.2">
      <c r="A122" s="98"/>
      <c r="F122" s="98"/>
    </row>
    <row r="123" spans="1:10" x14ac:dyDescent="0.2">
      <c r="A123" s="98"/>
      <c r="F123" s="98"/>
    </row>
    <row r="124" spans="1:10" x14ac:dyDescent="0.2">
      <c r="A124" s="98"/>
      <c r="D124" s="98"/>
      <c r="E124" s="98"/>
      <c r="F124" s="98"/>
      <c r="H124" s="98"/>
    </row>
    <row r="125" spans="1:10" x14ac:dyDescent="0.2">
      <c r="A125" s="98"/>
      <c r="D125" s="98"/>
      <c r="E125" s="98"/>
      <c r="F125" s="98"/>
      <c r="G125" s="98"/>
      <c r="H125" s="176"/>
    </row>
    <row r="126" spans="1:10" x14ac:dyDescent="0.2">
      <c r="A126" s="99"/>
      <c r="C126" s="60"/>
      <c r="D126" s="60"/>
      <c r="E126" s="100"/>
      <c r="F126" s="97"/>
      <c r="G126" s="100"/>
      <c r="H126" s="176"/>
    </row>
    <row r="127" spans="1:10" x14ac:dyDescent="0.2">
      <c r="A127" s="98"/>
      <c r="C127" s="61"/>
      <c r="D127" s="57"/>
      <c r="E127" s="102"/>
      <c r="F127" s="102"/>
      <c r="G127" s="165"/>
      <c r="H127" s="103"/>
    </row>
    <row r="128" spans="1:10" x14ac:dyDescent="0.2">
      <c r="A128" s="98"/>
      <c r="C128" s="56"/>
      <c r="D128" s="57"/>
      <c r="E128" s="102"/>
      <c r="F128" s="102"/>
      <c r="G128" s="165"/>
      <c r="H128" s="103"/>
    </row>
    <row r="129" spans="1:8" x14ac:dyDescent="0.2">
      <c r="A129" s="98"/>
      <c r="C129" s="56"/>
      <c r="D129" s="57"/>
      <c r="E129" s="102"/>
      <c r="F129" s="102"/>
      <c r="G129" s="165"/>
      <c r="H129" s="103"/>
    </row>
    <row r="130" spans="1:8" x14ac:dyDescent="0.2">
      <c r="A130" s="98"/>
      <c r="C130" s="61"/>
      <c r="D130" s="57"/>
      <c r="E130" s="102"/>
      <c r="F130" s="102"/>
      <c r="G130" s="165"/>
      <c r="H130" s="103"/>
    </row>
    <row r="131" spans="1:8" x14ac:dyDescent="0.2">
      <c r="A131" s="98"/>
      <c r="C131" s="56"/>
      <c r="D131" s="57"/>
      <c r="E131" s="102"/>
      <c r="F131" s="102"/>
      <c r="G131" s="165"/>
      <c r="H131" s="103"/>
    </row>
    <row r="132" spans="1:8" x14ac:dyDescent="0.2">
      <c r="A132" s="98"/>
      <c r="C132" s="56"/>
      <c r="D132" s="57"/>
      <c r="E132" s="102"/>
      <c r="F132" s="102"/>
      <c r="G132" s="165"/>
      <c r="H132" s="103"/>
    </row>
    <row r="133" spans="1:8" x14ac:dyDescent="0.2">
      <c r="A133" s="98"/>
      <c r="C133" s="61"/>
      <c r="D133" s="57"/>
      <c r="E133" s="102"/>
      <c r="F133" s="102"/>
      <c r="G133" s="165"/>
      <c r="H133" s="103"/>
    </row>
    <row r="134" spans="1:8" x14ac:dyDescent="0.2">
      <c r="A134" s="98"/>
      <c r="C134" s="56"/>
      <c r="D134" s="57"/>
      <c r="E134" s="102"/>
      <c r="F134" s="102"/>
      <c r="G134" s="165"/>
      <c r="H134" s="103"/>
    </row>
    <row r="135" spans="1:8" x14ac:dyDescent="0.2">
      <c r="A135" s="98"/>
      <c r="C135" s="56"/>
      <c r="D135" s="57"/>
      <c r="E135" s="102"/>
      <c r="F135" s="102"/>
      <c r="G135" s="165"/>
      <c r="H135" s="103"/>
    </row>
    <row r="136" spans="1:8" x14ac:dyDescent="0.2">
      <c r="A136" s="98"/>
      <c r="C136" s="61"/>
      <c r="D136" s="57"/>
      <c r="E136" s="102"/>
      <c r="F136" s="102"/>
      <c r="G136" s="165"/>
      <c r="H136" s="103"/>
    </row>
    <row r="137" spans="1:8" x14ac:dyDescent="0.2">
      <c r="A137" s="98"/>
      <c r="C137" s="61"/>
      <c r="D137" s="57"/>
      <c r="E137" s="102"/>
      <c r="F137" s="102"/>
      <c r="G137" s="165"/>
      <c r="H137" s="103"/>
    </row>
    <row r="138" spans="1:8" x14ac:dyDescent="0.2">
      <c r="A138" s="98"/>
      <c r="C138" s="56"/>
      <c r="D138" s="57"/>
      <c r="E138" s="102"/>
      <c r="F138" s="102"/>
      <c r="G138" s="165"/>
      <c r="H138" s="107"/>
    </row>
    <row r="139" spans="1:8" x14ac:dyDescent="0.2">
      <c r="A139" s="98"/>
      <c r="E139" s="111"/>
      <c r="F139" s="111"/>
      <c r="G139" s="111"/>
      <c r="H139" s="103"/>
    </row>
    <row r="140" spans="1:8" x14ac:dyDescent="0.2">
      <c r="A140" s="98"/>
      <c r="C140" s="56"/>
      <c r="D140" s="57"/>
      <c r="E140" s="111"/>
      <c r="F140" s="177"/>
      <c r="G140" s="165"/>
      <c r="H140" s="158"/>
    </row>
    <row r="141" spans="1:8" x14ac:dyDescent="0.2">
      <c r="A141" s="98"/>
      <c r="B141" s="116"/>
      <c r="C141" s="56"/>
      <c r="D141" s="57"/>
      <c r="E141" s="111"/>
      <c r="F141" s="177"/>
      <c r="G141" s="165"/>
      <c r="H141" s="158"/>
    </row>
    <row r="142" spans="1:8" x14ac:dyDescent="0.2">
      <c r="A142" s="99"/>
      <c r="B142" s="116"/>
      <c r="C142" s="56"/>
      <c r="D142" s="57"/>
      <c r="E142" s="111"/>
      <c r="F142" s="177"/>
      <c r="G142" s="165"/>
      <c r="H142" s="158"/>
    </row>
    <row r="143" spans="1:8" x14ac:dyDescent="0.2">
      <c r="A143" s="98"/>
      <c r="C143" s="56"/>
      <c r="D143" s="62"/>
      <c r="E143" s="102"/>
      <c r="F143" s="178"/>
      <c r="G143" s="165"/>
      <c r="H143" s="158"/>
    </row>
    <row r="144" spans="1:8" x14ac:dyDescent="0.2">
      <c r="A144" s="98"/>
      <c r="C144" s="56"/>
      <c r="D144" s="108"/>
      <c r="E144" s="102"/>
      <c r="F144" s="178"/>
      <c r="G144" s="165"/>
      <c r="H144" s="158"/>
    </row>
    <row r="145" spans="1:10" x14ac:dyDescent="0.2">
      <c r="A145" s="98"/>
      <c r="C145" s="56"/>
      <c r="D145" s="108"/>
      <c r="E145" s="107"/>
      <c r="F145" s="179"/>
      <c r="G145" s="165"/>
      <c r="H145" s="158"/>
    </row>
    <row r="146" spans="1:10" x14ac:dyDescent="0.2">
      <c r="A146" s="98"/>
      <c r="C146" s="56"/>
      <c r="D146" s="62"/>
      <c r="E146" s="103"/>
      <c r="F146" s="158"/>
      <c r="G146" s="165"/>
      <c r="H146" s="158"/>
    </row>
    <row r="147" spans="1:10" x14ac:dyDescent="0.2">
      <c r="A147" s="98"/>
      <c r="C147" s="56"/>
      <c r="D147" s="57"/>
      <c r="F147" s="158"/>
      <c r="G147" s="165"/>
      <c r="H147" s="158"/>
    </row>
    <row r="148" spans="1:10" x14ac:dyDescent="0.2">
      <c r="A148" s="98"/>
    </row>
    <row r="149" spans="1:10" x14ac:dyDescent="0.2">
      <c r="A149" s="98"/>
    </row>
    <row r="150" spans="1:10" x14ac:dyDescent="0.2">
      <c r="A150" s="98"/>
    </row>
    <row r="151" spans="1:10" x14ac:dyDescent="0.2">
      <c r="A151" s="98"/>
      <c r="B151" s="116"/>
    </row>
    <row r="152" spans="1:10" x14ac:dyDescent="0.2">
      <c r="A152" s="98"/>
      <c r="B152" s="104"/>
    </row>
    <row r="153" spans="1:10" x14ac:dyDescent="0.2">
      <c r="A153" s="98"/>
      <c r="B153" s="104"/>
    </row>
    <row r="154" spans="1:10" x14ac:dyDescent="0.2">
      <c r="A154" s="98"/>
      <c r="B154" s="104"/>
    </row>
    <row r="155" spans="1:10" x14ac:dyDescent="0.2">
      <c r="A155" s="98"/>
    </row>
    <row r="156" spans="1:10" x14ac:dyDescent="0.2">
      <c r="A156" s="98"/>
      <c r="B156" s="116"/>
    </row>
    <row r="157" spans="1:10" x14ac:dyDescent="0.2">
      <c r="A157" s="98"/>
    </row>
    <row r="158" spans="1:10" x14ac:dyDescent="0.2">
      <c r="A158" s="99"/>
      <c r="C158" s="60"/>
      <c r="D158" s="100"/>
      <c r="G158" s="111"/>
      <c r="H158" s="111"/>
      <c r="I158" s="111"/>
      <c r="J158" s="111"/>
    </row>
    <row r="159" spans="1:10" x14ac:dyDescent="0.2">
      <c r="A159" s="98"/>
      <c r="C159" s="61"/>
      <c r="D159" s="180"/>
      <c r="F159" s="181"/>
      <c r="G159" s="111"/>
      <c r="H159" s="111"/>
      <c r="I159" s="111"/>
      <c r="J159" s="111"/>
    </row>
    <row r="160" spans="1:10" x14ac:dyDescent="0.2">
      <c r="A160" s="98"/>
      <c r="C160" s="56"/>
      <c r="D160" s="180"/>
      <c r="F160" s="181"/>
      <c r="G160" s="111"/>
      <c r="H160" s="111"/>
      <c r="I160" s="111"/>
      <c r="J160" s="111"/>
    </row>
    <row r="161" spans="1:10" x14ac:dyDescent="0.2">
      <c r="A161" s="98"/>
      <c r="C161" s="56"/>
      <c r="D161" s="180"/>
      <c r="F161" s="181"/>
      <c r="G161" s="111"/>
      <c r="H161" s="111"/>
      <c r="I161" s="111"/>
      <c r="J161" s="111"/>
    </row>
    <row r="162" spans="1:10" x14ac:dyDescent="0.2">
      <c r="A162" s="98"/>
      <c r="C162" s="61"/>
      <c r="D162" s="180"/>
      <c r="F162" s="181"/>
      <c r="G162" s="111"/>
      <c r="H162" s="111"/>
      <c r="I162" s="111"/>
      <c r="J162" s="111"/>
    </row>
    <row r="163" spans="1:10" x14ac:dyDescent="0.2">
      <c r="A163" s="98"/>
      <c r="C163" s="56"/>
      <c r="D163" s="180"/>
      <c r="F163" s="181"/>
      <c r="G163" s="111"/>
      <c r="H163" s="111"/>
      <c r="I163" s="111"/>
      <c r="J163" s="111"/>
    </row>
    <row r="164" spans="1:10" x14ac:dyDescent="0.2">
      <c r="A164" s="98"/>
      <c r="C164" s="56"/>
      <c r="D164" s="180"/>
      <c r="F164" s="181"/>
      <c r="G164" s="111"/>
      <c r="H164" s="111"/>
      <c r="I164" s="111"/>
      <c r="J164" s="111"/>
    </row>
    <row r="165" spans="1:10" x14ac:dyDescent="0.2">
      <c r="A165" s="98"/>
      <c r="C165" s="61"/>
      <c r="D165" s="180"/>
      <c r="F165" s="181"/>
      <c r="G165" s="111"/>
      <c r="H165" s="111"/>
      <c r="I165" s="111"/>
      <c r="J165" s="111"/>
    </row>
    <row r="166" spans="1:10" x14ac:dyDescent="0.2">
      <c r="A166" s="98"/>
      <c r="C166" s="56"/>
      <c r="D166" s="180"/>
      <c r="F166" s="181"/>
      <c r="G166" s="111"/>
      <c r="H166" s="111"/>
      <c r="I166" s="111"/>
      <c r="J166" s="111"/>
    </row>
    <row r="167" spans="1:10" x14ac:dyDescent="0.2">
      <c r="A167" s="98"/>
      <c r="C167" s="56"/>
      <c r="D167" s="180"/>
      <c r="F167" s="181"/>
      <c r="G167" s="111"/>
      <c r="H167" s="111"/>
      <c r="I167" s="111"/>
      <c r="J167" s="111"/>
    </row>
    <row r="168" spans="1:10" x14ac:dyDescent="0.2">
      <c r="A168" s="98"/>
      <c r="C168" s="61"/>
      <c r="D168" s="180"/>
      <c r="F168" s="181"/>
      <c r="G168" s="111"/>
      <c r="H168" s="111"/>
      <c r="I168" s="111"/>
      <c r="J168" s="111"/>
    </row>
    <row r="169" spans="1:10" x14ac:dyDescent="0.2">
      <c r="A169" s="98"/>
      <c r="C169" s="61"/>
      <c r="D169" s="180"/>
      <c r="F169" s="181"/>
    </row>
    <row r="170" spans="1:10" x14ac:dyDescent="0.2">
      <c r="A170" s="98"/>
      <c r="C170" s="56"/>
      <c r="D170" s="182"/>
      <c r="F170" s="183"/>
    </row>
    <row r="171" spans="1:10" x14ac:dyDescent="0.2">
      <c r="A171" s="98"/>
      <c r="C171" s="59"/>
      <c r="D171" s="180"/>
    </row>
  </sheetData>
  <pageMargins left="0.75" right="0.75" top="1" bottom="1" header="0.5" footer="0.5"/>
  <pageSetup scale="80" orientation="landscape" cellComments="asDisplayed" r:id="rId1"/>
  <headerFooter alignWithMargins="0">
    <oddHeader>&amp;CSchedule 4
True Up TRR
(Revised 2012 True Up TRR)
&amp;RTO11 Annual Update
Attachment 4
WP-Schedule 3-One Time Adj True Up Adj
Page &amp;P of &amp;N</oddHeader>
    <oddFooter>&amp;R&amp;A</oddFooter>
  </headerFooter>
  <rowBreaks count="4" manualBreakCount="4">
    <brk id="46" max="9" man="1"/>
    <brk id="72" max="16383" man="1"/>
    <brk id="118" max="9" man="1"/>
    <brk id="150"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CC"/>
  </sheetPr>
  <dimension ref="A1:X112"/>
  <sheetViews>
    <sheetView zoomScaleNormal="100" workbookViewId="0"/>
  </sheetViews>
  <sheetFormatPr defaultRowHeight="12.75" x14ac:dyDescent="0.2"/>
  <cols>
    <col min="1" max="1" width="4.7109375" style="67" customWidth="1"/>
    <col min="2" max="2" width="2.7109375" style="67" customWidth="1"/>
    <col min="3" max="3" width="6.7109375" style="67" customWidth="1"/>
    <col min="4" max="4" width="32.5703125" style="67" customWidth="1"/>
    <col min="5" max="5" width="14.7109375" style="67" customWidth="1"/>
    <col min="6" max="6" width="15.7109375" style="67" customWidth="1"/>
    <col min="7" max="8" width="14.7109375" style="67" customWidth="1"/>
    <col min="9" max="9" width="18.7109375" style="67" customWidth="1"/>
    <col min="10" max="10" width="14.7109375" style="67" customWidth="1"/>
    <col min="11" max="11" width="11" style="67" bestFit="1" customWidth="1"/>
    <col min="12" max="16384" width="9.140625" style="67"/>
  </cols>
  <sheetData>
    <row r="1" spans="1:24" x14ac:dyDescent="0.2">
      <c r="A1" s="116" t="s">
        <v>167</v>
      </c>
      <c r="F1" s="94" t="s">
        <v>164</v>
      </c>
      <c r="G1" s="95"/>
      <c r="H1" s="96"/>
      <c r="I1" s="96"/>
    </row>
    <row r="2" spans="1:24" x14ac:dyDescent="0.2">
      <c r="E2" s="97" t="s">
        <v>152</v>
      </c>
      <c r="F2" s="97" t="s">
        <v>153</v>
      </c>
      <c r="G2" s="97" t="s">
        <v>154</v>
      </c>
      <c r="H2" s="97" t="s">
        <v>155</v>
      </c>
      <c r="I2" s="96"/>
    </row>
    <row r="3" spans="1:24" x14ac:dyDescent="0.2">
      <c r="G3" s="96" t="s">
        <v>168</v>
      </c>
    </row>
    <row r="4" spans="1:24" x14ac:dyDescent="0.2">
      <c r="E4" s="98" t="s">
        <v>169</v>
      </c>
      <c r="F4" s="65" t="s">
        <v>165</v>
      </c>
      <c r="G4" s="98" t="s">
        <v>170</v>
      </c>
      <c r="I4" s="98"/>
    </row>
    <row r="5" spans="1:24" x14ac:dyDescent="0.2">
      <c r="A5" s="99" t="s">
        <v>42</v>
      </c>
      <c r="B5" s="100"/>
      <c r="C5" s="100" t="s">
        <v>171</v>
      </c>
      <c r="D5" s="100" t="s">
        <v>33</v>
      </c>
      <c r="E5" s="100" t="s">
        <v>34</v>
      </c>
      <c r="F5" s="60" t="s">
        <v>35</v>
      </c>
      <c r="G5" s="100" t="s">
        <v>172</v>
      </c>
      <c r="H5" s="100" t="s">
        <v>87</v>
      </c>
      <c r="I5" s="100" t="s">
        <v>45</v>
      </c>
      <c r="K5" s="100"/>
      <c r="L5" s="100"/>
      <c r="M5" s="100"/>
      <c r="N5" s="100"/>
      <c r="O5" s="100"/>
      <c r="P5" s="100"/>
      <c r="Q5" s="100"/>
      <c r="R5" s="100"/>
      <c r="S5" s="100"/>
      <c r="T5" s="100"/>
      <c r="U5" s="100"/>
      <c r="V5" s="100"/>
      <c r="W5" s="100"/>
      <c r="X5" s="100"/>
    </row>
    <row r="6" spans="1:24" x14ac:dyDescent="0.2">
      <c r="A6" s="98">
        <v>1</v>
      </c>
      <c r="C6" s="96">
        <v>920</v>
      </c>
      <c r="D6" s="67" t="s">
        <v>173</v>
      </c>
      <c r="E6" s="101">
        <v>536918160</v>
      </c>
      <c r="F6" s="96" t="s">
        <v>174</v>
      </c>
      <c r="G6" s="102">
        <f>D37</f>
        <v>153351483.1391997</v>
      </c>
      <c r="H6" s="103">
        <f t="shared" ref="H6:H19" si="0">E6-G6</f>
        <v>383566676.86080027</v>
      </c>
    </row>
    <row r="7" spans="1:24" x14ac:dyDescent="0.2">
      <c r="A7" s="98">
        <f>A6+1</f>
        <v>2</v>
      </c>
      <c r="C7" s="96">
        <v>921</v>
      </c>
      <c r="D7" s="67" t="s">
        <v>175</v>
      </c>
      <c r="E7" s="101">
        <v>106486299</v>
      </c>
      <c r="F7" s="96" t="s">
        <v>176</v>
      </c>
      <c r="G7" s="102">
        <f t="shared" ref="G7:G19" si="1">D38</f>
        <v>582736.48</v>
      </c>
      <c r="H7" s="103">
        <f t="shared" si="0"/>
        <v>105903562.52</v>
      </c>
    </row>
    <row r="8" spans="1:24" x14ac:dyDescent="0.2">
      <c r="A8" s="98">
        <f>A7+1</f>
        <v>3</v>
      </c>
      <c r="C8" s="96">
        <v>922</v>
      </c>
      <c r="D8" s="67" t="s">
        <v>177</v>
      </c>
      <c r="E8" s="101">
        <v>-123052542</v>
      </c>
      <c r="F8" s="96" t="s">
        <v>178</v>
      </c>
      <c r="G8" s="102">
        <f t="shared" si="1"/>
        <v>-45644534</v>
      </c>
      <c r="H8" s="103">
        <f t="shared" si="0"/>
        <v>-77408008</v>
      </c>
      <c r="I8" s="105" t="s">
        <v>179</v>
      </c>
    </row>
    <row r="9" spans="1:24" x14ac:dyDescent="0.2">
      <c r="A9" s="98">
        <f t="shared" ref="A9:A20" si="2">A8+1</f>
        <v>4</v>
      </c>
      <c r="B9" s="98"/>
      <c r="C9" s="96">
        <v>923</v>
      </c>
      <c r="D9" s="67" t="s">
        <v>180</v>
      </c>
      <c r="E9" s="101">
        <v>67510845</v>
      </c>
      <c r="F9" s="96" t="s">
        <v>181</v>
      </c>
      <c r="G9" s="407">
        <f t="shared" si="1"/>
        <v>8316980.2699999986</v>
      </c>
      <c r="H9" s="407">
        <f t="shared" si="0"/>
        <v>59193864.730000004</v>
      </c>
    </row>
    <row r="10" spans="1:24" x14ac:dyDescent="0.2">
      <c r="A10" s="98">
        <f t="shared" si="2"/>
        <v>5</v>
      </c>
      <c r="B10" s="98"/>
      <c r="C10" s="96">
        <v>924</v>
      </c>
      <c r="D10" s="67" t="s">
        <v>182</v>
      </c>
      <c r="E10" s="101">
        <v>18713258</v>
      </c>
      <c r="F10" s="96" t="s">
        <v>183</v>
      </c>
      <c r="G10" s="102">
        <f t="shared" si="1"/>
        <v>0</v>
      </c>
      <c r="H10" s="103">
        <f t="shared" si="0"/>
        <v>18713258</v>
      </c>
    </row>
    <row r="11" spans="1:24" x14ac:dyDescent="0.2">
      <c r="A11" s="98">
        <f t="shared" si="2"/>
        <v>6</v>
      </c>
      <c r="B11" s="98"/>
      <c r="C11" s="96">
        <v>925</v>
      </c>
      <c r="D11" s="67" t="s">
        <v>184</v>
      </c>
      <c r="E11" s="101">
        <v>88220482</v>
      </c>
      <c r="F11" s="96" t="s">
        <v>185</v>
      </c>
      <c r="G11" s="102">
        <f t="shared" si="1"/>
        <v>117812.72</v>
      </c>
      <c r="H11" s="103">
        <f t="shared" si="0"/>
        <v>88102669.280000001</v>
      </c>
    </row>
    <row r="12" spans="1:24" x14ac:dyDescent="0.2">
      <c r="A12" s="98">
        <f t="shared" si="2"/>
        <v>7</v>
      </c>
      <c r="B12" s="98"/>
      <c r="C12" s="96">
        <v>926</v>
      </c>
      <c r="D12" s="67" t="s">
        <v>186</v>
      </c>
      <c r="E12" s="101">
        <v>293595750</v>
      </c>
      <c r="F12" s="96" t="s">
        <v>187</v>
      </c>
      <c r="G12" s="102">
        <f t="shared" si="1"/>
        <v>33969912.859999999</v>
      </c>
      <c r="H12" s="103">
        <f t="shared" si="0"/>
        <v>259625837.13999999</v>
      </c>
    </row>
    <row r="13" spans="1:24" x14ac:dyDescent="0.2">
      <c r="A13" s="98">
        <f t="shared" si="2"/>
        <v>8</v>
      </c>
      <c r="B13" s="98"/>
      <c r="C13" s="96">
        <v>927</v>
      </c>
      <c r="D13" s="67" t="s">
        <v>156</v>
      </c>
      <c r="E13" s="101">
        <v>100359146</v>
      </c>
      <c r="F13" s="96" t="s">
        <v>188</v>
      </c>
      <c r="G13" s="102">
        <f t="shared" si="1"/>
        <v>100359146</v>
      </c>
      <c r="H13" s="103">
        <f t="shared" si="0"/>
        <v>0</v>
      </c>
    </row>
    <row r="14" spans="1:24" x14ac:dyDescent="0.2">
      <c r="A14" s="98">
        <f t="shared" si="2"/>
        <v>9</v>
      </c>
      <c r="B14" s="98"/>
      <c r="C14" s="96">
        <v>928</v>
      </c>
      <c r="D14" s="104" t="s">
        <v>189</v>
      </c>
      <c r="E14" s="101">
        <v>16645461</v>
      </c>
      <c r="F14" s="96" t="s">
        <v>190</v>
      </c>
      <c r="G14" s="407">
        <f t="shared" si="1"/>
        <v>14197575.07</v>
      </c>
      <c r="H14" s="407">
        <f t="shared" si="0"/>
        <v>2447885.9299999997</v>
      </c>
    </row>
    <row r="15" spans="1:24" x14ac:dyDescent="0.2">
      <c r="A15" s="98">
        <f t="shared" si="2"/>
        <v>10</v>
      </c>
      <c r="B15" s="98"/>
      <c r="C15" s="96">
        <v>929</v>
      </c>
      <c r="D15" s="67" t="s">
        <v>191</v>
      </c>
      <c r="E15" s="101">
        <v>0</v>
      </c>
      <c r="F15" s="96" t="s">
        <v>192</v>
      </c>
      <c r="G15" s="102">
        <f t="shared" si="1"/>
        <v>0</v>
      </c>
      <c r="H15" s="103">
        <f t="shared" si="0"/>
        <v>0</v>
      </c>
    </row>
    <row r="16" spans="1:24" x14ac:dyDescent="0.2">
      <c r="A16" s="98">
        <f t="shared" si="2"/>
        <v>11</v>
      </c>
      <c r="B16" s="98"/>
      <c r="C16" s="96">
        <v>930.1</v>
      </c>
      <c r="D16" s="67" t="s">
        <v>193</v>
      </c>
      <c r="E16" s="101">
        <v>163377</v>
      </c>
      <c r="F16" s="96" t="s">
        <v>194</v>
      </c>
      <c r="G16" s="102">
        <f t="shared" si="1"/>
        <v>67883.75</v>
      </c>
      <c r="H16" s="103">
        <f t="shared" si="0"/>
        <v>95493.25</v>
      </c>
    </row>
    <row r="17" spans="1:11" x14ac:dyDescent="0.2">
      <c r="A17" s="98">
        <f t="shared" si="2"/>
        <v>12</v>
      </c>
      <c r="B17" s="98"/>
      <c r="C17" s="96">
        <v>930.2</v>
      </c>
      <c r="D17" s="67" t="s">
        <v>195</v>
      </c>
      <c r="E17" s="101">
        <v>4026668</v>
      </c>
      <c r="F17" s="96" t="s">
        <v>196</v>
      </c>
      <c r="G17" s="102">
        <f t="shared" si="1"/>
        <v>9668385</v>
      </c>
      <c r="H17" s="103">
        <f t="shared" si="0"/>
        <v>-5641717</v>
      </c>
    </row>
    <row r="18" spans="1:11" x14ac:dyDescent="0.2">
      <c r="A18" s="98">
        <f t="shared" si="2"/>
        <v>13</v>
      </c>
      <c r="B18" s="98"/>
      <c r="C18" s="96">
        <v>931</v>
      </c>
      <c r="D18" s="67" t="s">
        <v>197</v>
      </c>
      <c r="E18" s="101">
        <v>24059237</v>
      </c>
      <c r="F18" s="96" t="s">
        <v>198</v>
      </c>
      <c r="G18" s="102">
        <f t="shared" si="1"/>
        <v>75290.61</v>
      </c>
      <c r="H18" s="103">
        <f t="shared" si="0"/>
        <v>23983946.390000001</v>
      </c>
    </row>
    <row r="19" spans="1:11" x14ac:dyDescent="0.2">
      <c r="A19" s="98">
        <f t="shared" si="2"/>
        <v>14</v>
      </c>
      <c r="B19" s="98"/>
      <c r="C19" s="96">
        <v>935</v>
      </c>
      <c r="D19" s="67" t="s">
        <v>199</v>
      </c>
      <c r="E19" s="106">
        <v>11685945</v>
      </c>
      <c r="F19" s="96" t="s">
        <v>200</v>
      </c>
      <c r="G19" s="102">
        <f t="shared" si="1"/>
        <v>2273673.9900000002</v>
      </c>
      <c r="H19" s="107">
        <f t="shared" si="0"/>
        <v>9412271.0099999998</v>
      </c>
    </row>
    <row r="20" spans="1:11" x14ac:dyDescent="0.2">
      <c r="A20" s="98">
        <f t="shared" si="2"/>
        <v>15</v>
      </c>
      <c r="E20" s="103">
        <f>SUM(E6:E19)</f>
        <v>1145332086</v>
      </c>
      <c r="G20" s="108" t="s">
        <v>201</v>
      </c>
      <c r="H20" s="406">
        <f>SUM(H6:H19)</f>
        <v>867995740.11080015</v>
      </c>
    </row>
    <row r="22" spans="1:11" x14ac:dyDescent="0.2">
      <c r="F22" s="100" t="s">
        <v>34</v>
      </c>
      <c r="G22" s="100" t="s">
        <v>35</v>
      </c>
    </row>
    <row r="23" spans="1:11" x14ac:dyDescent="0.2">
      <c r="A23" s="98">
        <f>A20+1</f>
        <v>16</v>
      </c>
      <c r="E23" s="109" t="s">
        <v>202</v>
      </c>
      <c r="F23" s="407">
        <f>H20</f>
        <v>867995740.11080015</v>
      </c>
      <c r="G23" s="110" t="str">
        <f>"Line "&amp;A20&amp;""</f>
        <v>Line 15</v>
      </c>
      <c r="H23" s="111"/>
      <c r="I23" s="111"/>
      <c r="J23" s="111"/>
      <c r="K23" s="111"/>
    </row>
    <row r="24" spans="1:11" x14ac:dyDescent="0.2">
      <c r="A24" s="98">
        <f t="shared" ref="A24:A30" si="3">A23+1</f>
        <v>17</v>
      </c>
      <c r="E24" s="109" t="s">
        <v>203</v>
      </c>
      <c r="F24" s="112">
        <f>E10</f>
        <v>18713258</v>
      </c>
      <c r="G24" s="110" t="str">
        <f>"Line "&amp;A10&amp;""</f>
        <v>Line 5</v>
      </c>
      <c r="H24" s="111"/>
      <c r="I24" s="111"/>
      <c r="J24" s="111"/>
      <c r="K24" s="111"/>
    </row>
    <row r="25" spans="1:11" x14ac:dyDescent="0.2">
      <c r="A25" s="98">
        <f t="shared" si="3"/>
        <v>18</v>
      </c>
      <c r="E25" s="109" t="s">
        <v>204</v>
      </c>
      <c r="F25" s="407">
        <f>F23-F24</f>
        <v>849282482.11080015</v>
      </c>
      <c r="G25" s="110" t="str">
        <f>"Line "&amp;A23&amp;" - Line "&amp;A24&amp;""</f>
        <v>Line 16 - Line 17</v>
      </c>
      <c r="H25" s="111"/>
      <c r="I25" s="111"/>
      <c r="J25" s="111"/>
      <c r="K25" s="111"/>
    </row>
    <row r="26" spans="1:11" x14ac:dyDescent="0.2">
      <c r="A26" s="98">
        <f t="shared" si="3"/>
        <v>19</v>
      </c>
      <c r="E26" s="113" t="s">
        <v>205</v>
      </c>
      <c r="F26" s="273">
        <v>3.7193704666678068E-2</v>
      </c>
      <c r="G26" s="110" t="s">
        <v>402</v>
      </c>
      <c r="H26" s="111"/>
      <c r="I26" s="111"/>
      <c r="J26" s="111"/>
      <c r="K26" s="111"/>
    </row>
    <row r="27" spans="1:11" x14ac:dyDescent="0.2">
      <c r="A27" s="98">
        <f t="shared" si="3"/>
        <v>20</v>
      </c>
      <c r="E27" s="109" t="s">
        <v>206</v>
      </c>
      <c r="F27" s="153">
        <f>F25*F26</f>
        <v>31587961.818212401</v>
      </c>
      <c r="G27" s="110" t="str">
        <f>"Line "&amp;A25&amp;" * Line "&amp;A26&amp;""</f>
        <v>Line 18 * Line 19</v>
      </c>
      <c r="H27" s="111"/>
      <c r="I27" s="111"/>
      <c r="J27" s="111"/>
      <c r="K27" s="111"/>
    </row>
    <row r="28" spans="1:11" x14ac:dyDescent="0.2">
      <c r="A28" s="98">
        <f t="shared" si="3"/>
        <v>21</v>
      </c>
      <c r="E28" s="109" t="s">
        <v>207</v>
      </c>
      <c r="F28" s="270">
        <v>0.10972259682913496</v>
      </c>
      <c r="G28" s="105" t="s">
        <v>403</v>
      </c>
      <c r="H28" s="111"/>
      <c r="I28" s="111"/>
      <c r="J28" s="111"/>
      <c r="K28" s="111"/>
    </row>
    <row r="29" spans="1:11" x14ac:dyDescent="0.2">
      <c r="A29" s="98">
        <f t="shared" si="3"/>
        <v>22</v>
      </c>
      <c r="E29" s="109" t="s">
        <v>208</v>
      </c>
      <c r="F29" s="267">
        <f>H10*F28</f>
        <v>2053267.2628935843</v>
      </c>
      <c r="G29" s="110" t="str">
        <f>"Line "&amp;A10&amp;" Col 4 * Line "&amp;A28&amp;""</f>
        <v>Line 5 Col 4 * Line 21</v>
      </c>
      <c r="H29" s="111"/>
      <c r="I29" s="111"/>
      <c r="J29" s="111"/>
      <c r="K29" s="111"/>
    </row>
    <row r="30" spans="1:11" x14ac:dyDescent="0.2">
      <c r="A30" s="98">
        <f t="shared" si="3"/>
        <v>23</v>
      </c>
      <c r="E30" s="109" t="s">
        <v>209</v>
      </c>
      <c r="F30" s="269">
        <f>F27+F29</f>
        <v>33641229.081105985</v>
      </c>
      <c r="G30" s="110" t="str">
        <f>"Line "&amp;A27&amp;" + Line "&amp;A29&amp;""</f>
        <v>Line 20 + Line 22</v>
      </c>
      <c r="H30" s="111"/>
      <c r="I30" s="111"/>
      <c r="J30" s="111"/>
      <c r="K30" s="111"/>
    </row>
    <row r="31" spans="1:11" x14ac:dyDescent="0.2">
      <c r="E31" s="111"/>
      <c r="F31" s="111"/>
      <c r="G31" s="111"/>
      <c r="H31" s="111"/>
      <c r="I31" s="111"/>
      <c r="J31" s="111"/>
      <c r="K31" s="111"/>
    </row>
    <row r="32" spans="1:11" x14ac:dyDescent="0.2">
      <c r="B32" s="116" t="s">
        <v>210</v>
      </c>
      <c r="E32" s="117" t="s">
        <v>152</v>
      </c>
      <c r="F32" s="117" t="s">
        <v>153</v>
      </c>
      <c r="G32" s="117" t="s">
        <v>154</v>
      </c>
      <c r="H32" s="117" t="s">
        <v>155</v>
      </c>
      <c r="I32" s="111"/>
      <c r="J32" s="111"/>
      <c r="K32" s="111"/>
    </row>
    <row r="33" spans="1:11" x14ac:dyDescent="0.2">
      <c r="B33" s="116"/>
      <c r="E33" s="118" t="s">
        <v>211</v>
      </c>
      <c r="F33" s="117"/>
      <c r="G33" s="117"/>
      <c r="H33" s="117"/>
      <c r="I33" s="111"/>
      <c r="J33" s="111"/>
      <c r="K33" s="111"/>
    </row>
    <row r="34" spans="1:11" x14ac:dyDescent="0.2">
      <c r="E34" s="118" t="s">
        <v>212</v>
      </c>
      <c r="F34" s="111"/>
      <c r="G34" s="111"/>
      <c r="H34" s="111"/>
      <c r="I34" s="111"/>
      <c r="J34" s="111"/>
      <c r="K34" s="111"/>
    </row>
    <row r="35" spans="1:11" x14ac:dyDescent="0.2">
      <c r="D35" s="98" t="s">
        <v>213</v>
      </c>
      <c r="E35" s="118" t="s">
        <v>214</v>
      </c>
      <c r="F35" s="118" t="s">
        <v>215</v>
      </c>
      <c r="G35" s="118"/>
      <c r="H35" s="118"/>
      <c r="I35" s="111"/>
      <c r="J35" s="111"/>
      <c r="K35" s="111"/>
    </row>
    <row r="36" spans="1:11" x14ac:dyDescent="0.2">
      <c r="C36" s="100" t="s">
        <v>171</v>
      </c>
      <c r="D36" s="97" t="s">
        <v>216</v>
      </c>
      <c r="E36" s="66" t="s">
        <v>217</v>
      </c>
      <c r="F36" s="66" t="s">
        <v>218</v>
      </c>
      <c r="G36" s="66" t="s">
        <v>219</v>
      </c>
      <c r="H36" s="66" t="s">
        <v>220</v>
      </c>
      <c r="I36" s="66" t="s">
        <v>45</v>
      </c>
      <c r="J36" s="111"/>
      <c r="K36" s="111"/>
    </row>
    <row r="37" spans="1:11" x14ac:dyDescent="0.2">
      <c r="A37" s="98">
        <f>A30+1</f>
        <v>24</v>
      </c>
      <c r="C37" s="96">
        <v>920</v>
      </c>
      <c r="D37" s="119">
        <f>SUM(E37:H37)</f>
        <v>153351483.1391997</v>
      </c>
      <c r="E37" s="120">
        <v>18663631.559999999</v>
      </c>
      <c r="F37" s="121"/>
      <c r="G37" s="102">
        <f>G58</f>
        <v>134687851.5791997</v>
      </c>
      <c r="H37" s="121"/>
      <c r="I37" s="110" t="s">
        <v>221</v>
      </c>
      <c r="J37" s="111"/>
    </row>
    <row r="38" spans="1:11" x14ac:dyDescent="0.2">
      <c r="A38" s="98">
        <f>A37+1</f>
        <v>25</v>
      </c>
      <c r="C38" s="96">
        <v>921</v>
      </c>
      <c r="D38" s="119">
        <f t="shared" ref="D38:D50" si="4">SUM(E38:H38)</f>
        <v>582736.48</v>
      </c>
      <c r="E38" s="120">
        <v>582736.48</v>
      </c>
      <c r="F38" s="121"/>
      <c r="G38" s="121"/>
      <c r="H38" s="121"/>
      <c r="I38" s="122"/>
    </row>
    <row r="39" spans="1:11" ht="13.5" thickBot="1" x14ac:dyDescent="0.25">
      <c r="A39" s="98">
        <f t="shared" ref="A39:A50" si="5">A38+1</f>
        <v>26</v>
      </c>
      <c r="C39" s="96">
        <v>922</v>
      </c>
      <c r="D39" s="119">
        <f t="shared" si="4"/>
        <v>-45644534</v>
      </c>
      <c r="E39" s="185">
        <v>-12079206</v>
      </c>
      <c r="F39" s="121"/>
      <c r="G39" s="63">
        <v>-33565328</v>
      </c>
      <c r="H39" s="121"/>
      <c r="I39" s="122"/>
    </row>
    <row r="40" spans="1:11" ht="13.5" thickBot="1" x14ac:dyDescent="0.25">
      <c r="A40" s="98">
        <f t="shared" si="5"/>
        <v>27</v>
      </c>
      <c r="C40" s="96">
        <v>923</v>
      </c>
      <c r="D40" s="408">
        <f t="shared" si="4"/>
        <v>8316980.2699999986</v>
      </c>
      <c r="E40" s="187">
        <v>8316980.2699999986</v>
      </c>
      <c r="F40" s="121"/>
      <c r="G40" s="121"/>
      <c r="H40" s="121"/>
      <c r="I40" s="122"/>
      <c r="J40" s="100"/>
      <c r="K40" s="100"/>
    </row>
    <row r="41" spans="1:11" x14ac:dyDescent="0.2">
      <c r="A41" s="98">
        <f t="shared" si="5"/>
        <v>28</v>
      </c>
      <c r="C41" s="96">
        <v>924</v>
      </c>
      <c r="D41" s="119">
        <f t="shared" si="4"/>
        <v>0</v>
      </c>
      <c r="E41" s="120"/>
      <c r="F41" s="121"/>
      <c r="G41" s="121"/>
      <c r="H41" s="121"/>
      <c r="I41" s="122"/>
      <c r="K41" s="103"/>
    </row>
    <row r="42" spans="1:11" x14ac:dyDescent="0.2">
      <c r="A42" s="98">
        <f t="shared" si="5"/>
        <v>29</v>
      </c>
      <c r="C42" s="96">
        <v>925</v>
      </c>
      <c r="D42" s="119">
        <f t="shared" si="4"/>
        <v>117812.72</v>
      </c>
      <c r="E42" s="120">
        <v>117812.72</v>
      </c>
      <c r="F42" s="121"/>
      <c r="G42" s="121"/>
      <c r="H42" s="121"/>
      <c r="I42" s="123"/>
      <c r="K42" s="103"/>
    </row>
    <row r="43" spans="1:11" x14ac:dyDescent="0.2">
      <c r="A43" s="98">
        <f t="shared" si="5"/>
        <v>30</v>
      </c>
      <c r="C43" s="96">
        <v>926</v>
      </c>
      <c r="D43" s="119">
        <f t="shared" si="4"/>
        <v>33969912.859999999</v>
      </c>
      <c r="E43" s="120">
        <v>35400912.859999999</v>
      </c>
      <c r="F43" s="121"/>
      <c r="G43" s="121"/>
      <c r="H43" s="102">
        <f>E70</f>
        <v>-1431000</v>
      </c>
      <c r="I43" s="123" t="s">
        <v>157</v>
      </c>
      <c r="K43" s="103"/>
    </row>
    <row r="44" spans="1:11" ht="13.5" thickBot="1" x14ac:dyDescent="0.25">
      <c r="A44" s="98">
        <f t="shared" si="5"/>
        <v>31</v>
      </c>
      <c r="C44" s="96">
        <v>927</v>
      </c>
      <c r="D44" s="119">
        <f t="shared" si="4"/>
        <v>100359146</v>
      </c>
      <c r="E44" s="274">
        <v>0</v>
      </c>
      <c r="F44" s="124">
        <f>E13</f>
        <v>100359146</v>
      </c>
      <c r="G44" s="102">
        <v>0</v>
      </c>
      <c r="H44" s="102">
        <v>0</v>
      </c>
      <c r="I44" s="122" t="s">
        <v>222</v>
      </c>
      <c r="K44" s="103"/>
    </row>
    <row r="45" spans="1:11" ht="13.5" thickBot="1" x14ac:dyDescent="0.25">
      <c r="A45" s="98">
        <f t="shared" si="5"/>
        <v>32</v>
      </c>
      <c r="C45" s="96">
        <v>928</v>
      </c>
      <c r="D45" s="408">
        <f t="shared" si="4"/>
        <v>14197575.07</v>
      </c>
      <c r="E45" s="186">
        <v>14197575.07</v>
      </c>
      <c r="F45" s="121"/>
      <c r="G45" s="121"/>
      <c r="H45" s="121"/>
      <c r="I45" s="122"/>
      <c r="K45" s="103"/>
    </row>
    <row r="46" spans="1:11" x14ac:dyDescent="0.2">
      <c r="A46" s="98">
        <f t="shared" si="5"/>
        <v>33</v>
      </c>
      <c r="C46" s="96">
        <v>929</v>
      </c>
      <c r="D46" s="119">
        <f t="shared" si="4"/>
        <v>0</v>
      </c>
      <c r="E46" s="120"/>
      <c r="F46" s="121"/>
      <c r="G46" s="121"/>
      <c r="H46" s="121"/>
      <c r="I46" s="122"/>
      <c r="K46" s="103"/>
    </row>
    <row r="47" spans="1:11" x14ac:dyDescent="0.2">
      <c r="A47" s="98">
        <f t="shared" si="5"/>
        <v>34</v>
      </c>
      <c r="C47" s="96">
        <v>930.1</v>
      </c>
      <c r="D47" s="119">
        <f t="shared" si="4"/>
        <v>67883.75</v>
      </c>
      <c r="E47" s="120">
        <v>67883.75</v>
      </c>
      <c r="F47" s="121"/>
      <c r="G47" s="121"/>
      <c r="H47" s="121"/>
      <c r="I47" s="122"/>
      <c r="K47" s="103"/>
    </row>
    <row r="48" spans="1:11" x14ac:dyDescent="0.2">
      <c r="A48" s="98">
        <f t="shared" si="5"/>
        <v>35</v>
      </c>
      <c r="C48" s="96">
        <v>930.2</v>
      </c>
      <c r="D48" s="119">
        <f t="shared" si="4"/>
        <v>9668385</v>
      </c>
      <c r="E48" s="120">
        <v>9668385</v>
      </c>
      <c r="F48" s="121"/>
      <c r="G48" s="121"/>
      <c r="H48" s="121"/>
      <c r="I48" s="122"/>
      <c r="J48" s="125"/>
    </row>
    <row r="49" spans="1:10" x14ac:dyDescent="0.2">
      <c r="A49" s="98">
        <f t="shared" si="5"/>
        <v>36</v>
      </c>
      <c r="C49" s="96">
        <v>931</v>
      </c>
      <c r="D49" s="119">
        <f t="shared" si="4"/>
        <v>75290.61</v>
      </c>
      <c r="E49" s="120">
        <v>75290.61</v>
      </c>
      <c r="F49" s="121"/>
      <c r="G49" s="121"/>
      <c r="H49" s="121"/>
      <c r="I49" s="122"/>
      <c r="J49" s="103"/>
    </row>
    <row r="50" spans="1:10" x14ac:dyDescent="0.2">
      <c r="A50" s="98">
        <f t="shared" si="5"/>
        <v>37</v>
      </c>
      <c r="C50" s="96">
        <v>935</v>
      </c>
      <c r="D50" s="119">
        <f t="shared" si="4"/>
        <v>2273673.9900000002</v>
      </c>
      <c r="E50" s="120">
        <v>2273673.9900000002</v>
      </c>
      <c r="F50" s="121"/>
      <c r="G50" s="121"/>
      <c r="H50" s="121"/>
      <c r="I50" s="122"/>
    </row>
    <row r="51" spans="1:10" x14ac:dyDescent="0.2">
      <c r="B51" s="126" t="s">
        <v>223</v>
      </c>
      <c r="C51" s="111"/>
      <c r="D51" s="111"/>
      <c r="E51" s="111"/>
      <c r="F51" s="111"/>
      <c r="G51" s="111"/>
      <c r="H51" s="111"/>
    </row>
    <row r="52" spans="1:10" x14ac:dyDescent="0.2">
      <c r="B52" s="126"/>
      <c r="C52" s="111" t="s">
        <v>224</v>
      </c>
      <c r="D52" s="111"/>
      <c r="E52" s="111"/>
      <c r="F52" s="111"/>
      <c r="G52" s="111"/>
      <c r="H52" s="111"/>
    </row>
    <row r="53" spans="1:10" x14ac:dyDescent="0.2">
      <c r="B53" s="126"/>
      <c r="C53" s="127" t="s">
        <v>225</v>
      </c>
      <c r="D53" s="111"/>
      <c r="E53" s="111"/>
      <c r="F53" s="111"/>
      <c r="G53" s="118"/>
      <c r="H53" s="118"/>
    </row>
    <row r="54" spans="1:10" x14ac:dyDescent="0.2">
      <c r="B54" s="126"/>
      <c r="C54" s="64" t="s">
        <v>226</v>
      </c>
      <c r="D54" s="55"/>
      <c r="E54" s="55"/>
      <c r="F54" s="111"/>
      <c r="G54" s="118"/>
      <c r="H54" s="118"/>
    </row>
    <row r="55" spans="1:10" x14ac:dyDescent="0.2">
      <c r="B55" s="126"/>
      <c r="C55" s="111"/>
      <c r="D55" s="111"/>
      <c r="E55" s="111"/>
      <c r="F55" s="111"/>
      <c r="G55" s="66" t="s">
        <v>34</v>
      </c>
      <c r="H55" s="66" t="s">
        <v>35</v>
      </c>
    </row>
    <row r="56" spans="1:10" x14ac:dyDescent="0.2">
      <c r="A56" s="98"/>
      <c r="B56" s="98" t="s">
        <v>121</v>
      </c>
      <c r="E56" s="111"/>
      <c r="F56" s="109" t="s">
        <v>227</v>
      </c>
      <c r="G56" s="120">
        <v>169521859</v>
      </c>
      <c r="H56" s="110" t="s">
        <v>228</v>
      </c>
    </row>
    <row r="57" spans="1:10" x14ac:dyDescent="0.2">
      <c r="A57" s="98"/>
      <c r="B57" s="98" t="s">
        <v>123</v>
      </c>
      <c r="C57" s="104"/>
      <c r="E57" s="111"/>
      <c r="F57" s="109" t="s">
        <v>229</v>
      </c>
      <c r="G57" s="112">
        <f>E61</f>
        <v>34834007.420800306</v>
      </c>
      <c r="H57" s="123" t="str">
        <f>"Note 2, "&amp;B61&amp;""</f>
        <v>Note 2, d</v>
      </c>
    </row>
    <row r="58" spans="1:10" x14ac:dyDescent="0.2">
      <c r="A58" s="98"/>
      <c r="B58" s="98" t="s">
        <v>127</v>
      </c>
      <c r="F58" s="128" t="s">
        <v>230</v>
      </c>
      <c r="G58" s="103">
        <f>G56-G57</f>
        <v>134687851.5791997</v>
      </c>
    </row>
    <row r="59" spans="1:10" x14ac:dyDescent="0.2">
      <c r="A59" s="98"/>
      <c r="C59" s="64" t="s">
        <v>231</v>
      </c>
      <c r="D59" s="55"/>
      <c r="E59" s="55"/>
      <c r="G59" s="103"/>
    </row>
    <row r="60" spans="1:10" x14ac:dyDescent="0.2">
      <c r="A60" s="98"/>
      <c r="D60" s="129" t="s">
        <v>232</v>
      </c>
      <c r="E60" s="100" t="s">
        <v>34</v>
      </c>
      <c r="F60" s="130" t="s">
        <v>35</v>
      </c>
      <c r="G60" s="103"/>
    </row>
    <row r="61" spans="1:10" x14ac:dyDescent="0.2">
      <c r="A61" s="98"/>
      <c r="B61" s="98" t="s">
        <v>129</v>
      </c>
      <c r="D61" s="67" t="s">
        <v>233</v>
      </c>
      <c r="E61" s="63">
        <v>34834007.420800306</v>
      </c>
      <c r="F61" s="110" t="s">
        <v>234</v>
      </c>
      <c r="G61" s="102"/>
      <c r="I61" s="111"/>
    </row>
    <row r="62" spans="1:10" x14ac:dyDescent="0.2">
      <c r="A62" s="98"/>
      <c r="B62" s="118" t="s">
        <v>133</v>
      </c>
      <c r="C62" s="111"/>
      <c r="D62" s="127" t="s">
        <v>235</v>
      </c>
      <c r="E62" s="63">
        <v>29719729.140198916</v>
      </c>
      <c r="F62" s="110" t="s">
        <v>234</v>
      </c>
      <c r="G62" s="102"/>
      <c r="I62" s="69"/>
    </row>
    <row r="63" spans="1:10" x14ac:dyDescent="0.2">
      <c r="A63" s="98"/>
      <c r="B63" s="118" t="s">
        <v>136</v>
      </c>
      <c r="C63" s="111"/>
      <c r="D63" s="127" t="s">
        <v>236</v>
      </c>
      <c r="E63" s="70">
        <v>31528841.039000787</v>
      </c>
      <c r="F63" s="110" t="s">
        <v>234</v>
      </c>
      <c r="G63" s="102"/>
      <c r="I63" s="102"/>
    </row>
    <row r="64" spans="1:10" x14ac:dyDescent="0.2">
      <c r="A64" s="98"/>
      <c r="B64" s="118" t="s">
        <v>138</v>
      </c>
      <c r="C64" s="111"/>
      <c r="D64" s="109" t="s">
        <v>166</v>
      </c>
      <c r="E64" s="103">
        <f>SUM(E61:E63)</f>
        <v>96082577.600000009</v>
      </c>
      <c r="F64" s="110" t="str">
        <f>"Sum of "&amp;B61&amp;" to "&amp;B63&amp;""</f>
        <v>Sum of d to f</v>
      </c>
      <c r="G64" s="102"/>
      <c r="I64" s="111"/>
    </row>
    <row r="65" spans="1:10" x14ac:dyDescent="0.2">
      <c r="F65" s="111"/>
      <c r="G65" s="111"/>
    </row>
    <row r="66" spans="1:10" x14ac:dyDescent="0.2">
      <c r="B66" s="116" t="s">
        <v>237</v>
      </c>
      <c r="F66" s="111"/>
      <c r="G66" s="111"/>
    </row>
    <row r="67" spans="1:10" x14ac:dyDescent="0.2">
      <c r="E67" s="100" t="s">
        <v>34</v>
      </c>
      <c r="F67" s="163" t="s">
        <v>238</v>
      </c>
      <c r="G67" s="111"/>
    </row>
    <row r="68" spans="1:10" x14ac:dyDescent="0.2">
      <c r="A68" s="98"/>
      <c r="B68" s="98" t="s">
        <v>121</v>
      </c>
      <c r="D68" s="128" t="s">
        <v>239</v>
      </c>
      <c r="E68" s="249">
        <v>52707000</v>
      </c>
      <c r="F68" s="110" t="s">
        <v>240</v>
      </c>
      <c r="G68" s="111"/>
    </row>
    <row r="69" spans="1:10" x14ac:dyDescent="0.2">
      <c r="A69" s="98"/>
      <c r="B69" s="98" t="s">
        <v>123</v>
      </c>
      <c r="D69" s="128" t="s">
        <v>241</v>
      </c>
      <c r="E69" s="275">
        <v>51276000</v>
      </c>
      <c r="F69" s="110" t="s">
        <v>228</v>
      </c>
      <c r="G69" s="111"/>
    </row>
    <row r="70" spans="1:10" x14ac:dyDescent="0.2">
      <c r="A70" s="98"/>
      <c r="B70" s="98" t="s">
        <v>127</v>
      </c>
      <c r="D70" s="128" t="s">
        <v>242</v>
      </c>
      <c r="E70" s="133">
        <f>E69-E68</f>
        <v>-1431000</v>
      </c>
      <c r="F70" s="123" t="str">
        <f>""&amp;B69&amp;" - "&amp;B68&amp;""</f>
        <v>b - a</v>
      </c>
    </row>
    <row r="71" spans="1:10" x14ac:dyDescent="0.2">
      <c r="A71" s="98"/>
      <c r="B71" s="116" t="s">
        <v>243</v>
      </c>
      <c r="D71" s="128"/>
      <c r="E71" s="133"/>
      <c r="F71" s="123"/>
    </row>
    <row r="72" spans="1:10" x14ac:dyDescent="0.2">
      <c r="A72" s="98"/>
      <c r="B72" s="116"/>
      <c r="C72" s="67" t="str">
        <f>"Amount in Line "&amp;A44&amp;", column 2 equals amount in Line "&amp;A13&amp;", column 1 because all Franchise Requirements Expenses are excluded"</f>
        <v>Amount in Line 31, column 2 equals amount in Line 8, column 1 because all Franchise Requirements Expenses are excluded</v>
      </c>
      <c r="D72" s="128"/>
      <c r="E72" s="133"/>
      <c r="F72" s="123"/>
    </row>
    <row r="73" spans="1:10" x14ac:dyDescent="0.2">
      <c r="A73" s="98"/>
      <c r="B73" s="116"/>
      <c r="C73" s="104" t="s">
        <v>244</v>
      </c>
      <c r="D73" s="128"/>
      <c r="E73" s="133"/>
      <c r="F73" s="123"/>
    </row>
    <row r="75" spans="1:10" x14ac:dyDescent="0.2">
      <c r="B75" s="116" t="s">
        <v>109</v>
      </c>
    </row>
    <row r="76" spans="1:10" x14ac:dyDescent="0.2">
      <c r="C76" s="127" t="str">
        <f>"1) Enter amounts of A&amp;G expenses from FERC Form 1 in Lines "&amp;A6&amp;" to "&amp;A19&amp;"."</f>
        <v>1) Enter amounts of A&amp;G expenses from FERC Form 1 in Lines 1 to 14.</v>
      </c>
      <c r="D76" s="111"/>
      <c r="E76" s="111"/>
      <c r="F76" s="111"/>
      <c r="G76" s="111"/>
      <c r="H76" s="111"/>
      <c r="I76" s="111"/>
      <c r="J76" s="111"/>
    </row>
    <row r="77" spans="1:10" x14ac:dyDescent="0.2">
      <c r="C77" s="127" t="s">
        <v>245</v>
      </c>
      <c r="D77" s="111"/>
      <c r="E77" s="111"/>
      <c r="F77" s="111"/>
      <c r="G77" s="111" t="str">
        <f>"Column 3, Line "&amp;A37&amp;""</f>
        <v>Column 3, Line 24</v>
      </c>
      <c r="H77" s="111"/>
      <c r="I77" s="111"/>
      <c r="J77" s="111"/>
    </row>
    <row r="78" spans="1:10" x14ac:dyDescent="0.2">
      <c r="C78" s="110" t="str">
        <f>"is calculated in Note 2.  The PBOPs exclusion in Column 4, Line "&amp;A43&amp;" is calculated in Note 3."</f>
        <v>is calculated in Note 2.  The PBOPs exclusion in Column 4, Line 30 is calculated in Note 3.</v>
      </c>
      <c r="D78" s="111"/>
      <c r="E78" s="111"/>
      <c r="F78" s="111"/>
      <c r="G78" s="127"/>
      <c r="H78" s="111"/>
      <c r="I78" s="111"/>
      <c r="J78" s="111"/>
    </row>
    <row r="79" spans="1:10" x14ac:dyDescent="0.2">
      <c r="C79" s="110" t="s">
        <v>246</v>
      </c>
      <c r="D79" s="111"/>
      <c r="E79" s="111"/>
      <c r="F79" s="111"/>
      <c r="G79" s="111"/>
      <c r="H79" s="111"/>
      <c r="I79" s="111"/>
      <c r="J79" s="111"/>
    </row>
    <row r="80" spans="1:10" x14ac:dyDescent="0.2">
      <c r="C80" s="110" t="s">
        <v>247</v>
      </c>
      <c r="D80" s="109"/>
      <c r="E80" s="124"/>
      <c r="F80" s="110"/>
      <c r="G80" s="111"/>
      <c r="H80" s="111"/>
      <c r="I80" s="111"/>
      <c r="J80" s="111"/>
    </row>
    <row r="81" spans="3:10" x14ac:dyDescent="0.2">
      <c r="C81" s="110" t="s">
        <v>248</v>
      </c>
      <c r="D81" s="109"/>
      <c r="E81" s="124"/>
      <c r="F81" s="110"/>
      <c r="G81" s="111"/>
      <c r="H81" s="111"/>
      <c r="I81" s="111"/>
      <c r="J81" s="111"/>
    </row>
    <row r="82" spans="3:10" x14ac:dyDescent="0.2">
      <c r="C82" s="110" t="s">
        <v>249</v>
      </c>
      <c r="D82" s="111"/>
      <c r="E82" s="111"/>
      <c r="F82" s="111"/>
      <c r="G82" s="111"/>
      <c r="H82" s="111"/>
      <c r="I82" s="111"/>
      <c r="J82" s="111"/>
    </row>
    <row r="83" spans="3:10" x14ac:dyDescent="0.2">
      <c r="C83" s="110" t="s">
        <v>250</v>
      </c>
      <c r="D83" s="111"/>
      <c r="E83" s="111"/>
      <c r="F83" s="111"/>
      <c r="G83" s="111"/>
      <c r="H83" s="111"/>
      <c r="I83" s="111"/>
      <c r="J83" s="111"/>
    </row>
    <row r="84" spans="3:10" x14ac:dyDescent="0.2">
      <c r="C84" s="110" t="s">
        <v>251</v>
      </c>
      <c r="D84" s="111"/>
      <c r="E84" s="111"/>
      <c r="F84" s="111"/>
      <c r="G84" s="111"/>
      <c r="H84" s="111"/>
      <c r="I84" s="111"/>
      <c r="J84" s="111"/>
    </row>
    <row r="85" spans="3:10" x14ac:dyDescent="0.2">
      <c r="C85" s="110" t="s">
        <v>252</v>
      </c>
      <c r="D85" s="111"/>
      <c r="E85" s="111"/>
      <c r="F85" s="111"/>
      <c r="G85" s="111"/>
      <c r="H85" s="111"/>
      <c r="I85" s="111"/>
      <c r="J85" s="111"/>
    </row>
    <row r="86" spans="3:10" x14ac:dyDescent="0.2">
      <c r="C86" s="110" t="s">
        <v>253</v>
      </c>
      <c r="D86" s="111"/>
      <c r="E86" s="111"/>
      <c r="F86" s="111"/>
      <c r="G86" s="111"/>
      <c r="H86" s="111"/>
      <c r="I86" s="111"/>
      <c r="J86" s="111"/>
    </row>
    <row r="87" spans="3:10" x14ac:dyDescent="0.2">
      <c r="C87" s="110" t="s">
        <v>254</v>
      </c>
      <c r="D87" s="127"/>
      <c r="E87" s="134"/>
      <c r="F87" s="134"/>
      <c r="G87" s="134"/>
      <c r="H87" s="111"/>
      <c r="I87" s="111"/>
      <c r="J87" s="111"/>
    </row>
    <row r="88" spans="3:10" x14ac:dyDescent="0.2">
      <c r="C88" s="135" t="s">
        <v>255</v>
      </c>
      <c r="D88" s="127"/>
      <c r="E88" s="134"/>
      <c r="F88" s="134"/>
      <c r="G88" s="134"/>
      <c r="H88" s="111"/>
      <c r="I88" s="111"/>
      <c r="J88" s="111"/>
    </row>
    <row r="89" spans="3:10" x14ac:dyDescent="0.2">
      <c r="C89" s="135" t="s">
        <v>256</v>
      </c>
      <c r="D89" s="127"/>
      <c r="E89" s="134"/>
      <c r="F89" s="134"/>
      <c r="G89" s="134"/>
      <c r="H89" s="111"/>
      <c r="I89" s="111"/>
      <c r="J89" s="111"/>
    </row>
    <row r="90" spans="3:10" x14ac:dyDescent="0.2">
      <c r="C90" s="135" t="s">
        <v>257</v>
      </c>
      <c r="D90" s="127"/>
      <c r="E90" s="134"/>
      <c r="F90" s="134"/>
      <c r="G90" s="134"/>
      <c r="H90" s="111"/>
      <c r="I90" s="111"/>
      <c r="J90" s="111"/>
    </row>
    <row r="91" spans="3:10" x14ac:dyDescent="0.2">
      <c r="C91" s="110" t="s">
        <v>258</v>
      </c>
      <c r="D91" s="127"/>
      <c r="E91" s="134"/>
      <c r="F91" s="134"/>
      <c r="G91" s="134"/>
      <c r="H91" s="111"/>
      <c r="I91" s="111"/>
      <c r="J91" s="111"/>
    </row>
    <row r="92" spans="3:10" x14ac:dyDescent="0.2">
      <c r="C92" s="135" t="s">
        <v>259</v>
      </c>
      <c r="D92" s="127"/>
      <c r="E92" s="134"/>
      <c r="F92" s="134"/>
      <c r="G92" s="134"/>
      <c r="H92" s="111"/>
      <c r="I92" s="111"/>
      <c r="J92" s="111"/>
    </row>
    <row r="93" spans="3:10" x14ac:dyDescent="0.2">
      <c r="C93" s="135" t="s">
        <v>260</v>
      </c>
      <c r="D93" s="127"/>
      <c r="E93" s="134"/>
      <c r="F93" s="134"/>
      <c r="G93" s="134"/>
      <c r="H93" s="111"/>
      <c r="I93" s="111"/>
      <c r="J93" s="111"/>
    </row>
    <row r="94" spans="3:10" x14ac:dyDescent="0.2">
      <c r="C94" s="135" t="s">
        <v>261</v>
      </c>
      <c r="D94" s="127"/>
      <c r="E94" s="134"/>
      <c r="F94" s="134"/>
      <c r="G94" s="134"/>
      <c r="H94" s="111"/>
      <c r="I94" s="111"/>
      <c r="J94" s="111"/>
    </row>
    <row r="95" spans="3:10" x14ac:dyDescent="0.2">
      <c r="C95" s="135" t="s">
        <v>262</v>
      </c>
      <c r="D95" s="127"/>
      <c r="E95" s="134"/>
      <c r="F95" s="134"/>
      <c r="G95" s="134"/>
      <c r="H95" s="111"/>
      <c r="I95" s="111"/>
      <c r="J95" s="111"/>
    </row>
    <row r="96" spans="3:10" x14ac:dyDescent="0.2">
      <c r="C96" s="110" t="s">
        <v>263</v>
      </c>
      <c r="D96" s="127"/>
      <c r="E96" s="134"/>
      <c r="F96" s="134"/>
      <c r="G96" s="134"/>
      <c r="H96" s="134"/>
      <c r="I96" s="111"/>
      <c r="J96" s="111"/>
    </row>
    <row r="97" spans="3:10" x14ac:dyDescent="0.2">
      <c r="C97" s="135" t="s">
        <v>264</v>
      </c>
      <c r="D97" s="127"/>
      <c r="E97" s="134"/>
      <c r="F97" s="134"/>
      <c r="G97" s="134"/>
      <c r="H97" s="111"/>
      <c r="I97" s="111"/>
      <c r="J97" s="111"/>
    </row>
    <row r="98" spans="3:10" x14ac:dyDescent="0.2">
      <c r="C98" s="71" t="s">
        <v>265</v>
      </c>
      <c r="D98" s="127"/>
      <c r="E98" s="134"/>
      <c r="F98" s="134"/>
      <c r="G98" s="134"/>
      <c r="H98" s="111"/>
      <c r="I98" s="111"/>
      <c r="J98" s="111"/>
    </row>
    <row r="99" spans="3:10" x14ac:dyDescent="0.2">
      <c r="C99" s="71" t="s">
        <v>266</v>
      </c>
      <c r="D99" s="127"/>
      <c r="E99" s="134"/>
      <c r="F99" s="134"/>
      <c r="G99" s="134"/>
      <c r="H99" s="111"/>
      <c r="I99" s="111"/>
      <c r="J99" s="111"/>
    </row>
    <row r="100" spans="3:10" x14ac:dyDescent="0.2">
      <c r="C100" s="71" t="s">
        <v>267</v>
      </c>
      <c r="D100" s="127"/>
      <c r="E100" s="134"/>
      <c r="F100" s="134"/>
      <c r="G100" s="134"/>
      <c r="H100" s="111"/>
      <c r="I100" s="111"/>
      <c r="J100" s="111"/>
    </row>
    <row r="101" spans="3:10" x14ac:dyDescent="0.2">
      <c r="C101" s="71" t="s">
        <v>266</v>
      </c>
      <c r="D101" s="127"/>
      <c r="E101" s="134"/>
      <c r="F101" s="134"/>
      <c r="G101" s="134"/>
      <c r="H101" s="111"/>
      <c r="I101" s="111"/>
      <c r="J101" s="111"/>
    </row>
    <row r="102" spans="3:10" x14ac:dyDescent="0.2">
      <c r="C102" s="71" t="s">
        <v>268</v>
      </c>
      <c r="D102" s="127"/>
      <c r="E102" s="134"/>
      <c r="F102" s="134"/>
      <c r="G102" s="134"/>
      <c r="H102" s="111"/>
      <c r="I102" s="111"/>
      <c r="J102" s="111"/>
    </row>
    <row r="103" spans="3:10" x14ac:dyDescent="0.2">
      <c r="C103" s="135" t="s">
        <v>269</v>
      </c>
      <c r="D103" s="127"/>
      <c r="E103" s="134"/>
      <c r="F103" s="134"/>
      <c r="G103" s="134"/>
      <c r="H103" s="111"/>
      <c r="I103" s="111"/>
      <c r="J103" s="111"/>
    </row>
    <row r="104" spans="3:10" x14ac:dyDescent="0.2">
      <c r="C104" s="135" t="s">
        <v>270</v>
      </c>
      <c r="D104" s="127"/>
      <c r="E104" s="134"/>
      <c r="F104" s="134"/>
      <c r="G104" s="134"/>
      <c r="H104" s="111"/>
      <c r="I104" s="111"/>
      <c r="J104" s="111"/>
    </row>
    <row r="105" spans="3:10" x14ac:dyDescent="0.2">
      <c r="C105" s="72" t="s">
        <v>271</v>
      </c>
      <c r="D105" s="55"/>
      <c r="E105" s="55"/>
      <c r="F105" s="55"/>
      <c r="G105" s="55"/>
      <c r="H105" s="55"/>
      <c r="I105" s="55"/>
      <c r="J105" s="55"/>
    </row>
    <row r="106" spans="3:10" x14ac:dyDescent="0.2">
      <c r="C106" s="127" t="s">
        <v>272</v>
      </c>
      <c r="D106" s="111"/>
      <c r="E106" s="111"/>
      <c r="F106" s="111"/>
      <c r="G106" s="111"/>
      <c r="H106" s="111"/>
      <c r="I106" s="111"/>
      <c r="J106" s="111"/>
    </row>
    <row r="107" spans="3:10" x14ac:dyDescent="0.2">
      <c r="C107" s="72" t="s">
        <v>273</v>
      </c>
      <c r="D107" s="64"/>
      <c r="E107" s="64"/>
      <c r="F107" s="64"/>
      <c r="G107" s="64"/>
      <c r="H107" s="64"/>
      <c r="I107" s="64"/>
      <c r="J107" s="111"/>
    </row>
    <row r="108" spans="3:10" x14ac:dyDescent="0.2">
      <c r="C108" s="127" t="str">
        <f>"4) Determine the PBOPs exclusion.  The authorized amount of PBOPs expense (line "&amp;B68&amp;") may only be revised"</f>
        <v>4) Determine the PBOPs exclusion.  The authorized amount of PBOPs expense (line a) may only be revised</v>
      </c>
      <c r="D108" s="111"/>
      <c r="E108" s="111"/>
      <c r="F108" s="111"/>
      <c r="G108" s="111"/>
      <c r="H108" s="111"/>
      <c r="I108" s="111"/>
      <c r="J108" s="111"/>
    </row>
    <row r="109" spans="3:10" x14ac:dyDescent="0.2">
      <c r="C109" s="127" t="s">
        <v>274</v>
      </c>
      <c r="D109" s="111"/>
      <c r="E109" s="111"/>
      <c r="F109" s="111"/>
      <c r="G109" s="111"/>
      <c r="H109" s="111"/>
      <c r="I109" s="111"/>
      <c r="J109" s="111"/>
    </row>
    <row r="110" spans="3:10" x14ac:dyDescent="0.2">
      <c r="C110" s="127" t="s">
        <v>275</v>
      </c>
      <c r="D110" s="111"/>
      <c r="E110" s="111"/>
      <c r="F110" s="111"/>
      <c r="G110" s="111"/>
      <c r="H110" s="111"/>
      <c r="I110" s="111"/>
      <c r="J110" s="111"/>
    </row>
    <row r="111" spans="3:10" x14ac:dyDescent="0.2">
      <c r="C111" s="127" t="s">
        <v>276</v>
      </c>
      <c r="D111" s="111"/>
      <c r="E111" s="111"/>
      <c r="F111" s="111"/>
      <c r="G111" s="111"/>
      <c r="H111" s="111"/>
      <c r="I111" s="168"/>
      <c r="J111" s="95"/>
    </row>
    <row r="112" spans="3:10" x14ac:dyDescent="0.2">
      <c r="C112" s="127" t="s">
        <v>278</v>
      </c>
      <c r="D112" s="111"/>
      <c r="E112" s="111"/>
      <c r="F112" s="111"/>
      <c r="G112" s="111"/>
      <c r="H112" s="111"/>
      <c r="I112" s="111"/>
    </row>
  </sheetData>
  <pageMargins left="0.75" right="0.75" top="1" bottom="1" header="0.5" footer="0.5"/>
  <pageSetup scale="75" orientation="landscape" cellComments="asDisplayed" r:id="rId1"/>
  <headerFooter alignWithMargins="0">
    <oddHeader>&amp;CSchedule 20
Administrative and General Expenses
(Revised 2012 True Up TRR)
&amp;RTO11 Annual Update
Attachment 4
WP-Schedule 3-One Time Adj True Up Adj
Page &amp;P of &amp;N</oddHeader>
    <oddFooter>&amp;R&amp;A</oddFooter>
  </headerFooter>
  <rowBreaks count="2" manualBreakCount="2">
    <brk id="50" max="9" man="1"/>
    <brk id="74"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
  <sheetViews>
    <sheetView zoomScaleNormal="100" workbookViewId="0"/>
  </sheetViews>
  <sheetFormatPr defaultRowHeight="15" x14ac:dyDescent="0.25"/>
  <cols>
    <col min="1" max="2" width="9.140625" style="45"/>
    <col min="3" max="3" width="17.85546875" style="45" customWidth="1"/>
    <col min="4" max="4" width="14" style="45" bestFit="1" customWidth="1"/>
    <col min="5" max="6" width="9.140625" style="45"/>
    <col min="7" max="7" width="13.85546875" style="45" customWidth="1"/>
    <col min="8" max="16384" width="9.140625" style="45"/>
  </cols>
  <sheetData>
    <row r="2" spans="1:9" ht="21" customHeight="1" x14ac:dyDescent="0.25"/>
    <row r="3" spans="1:9" ht="15" customHeight="1" x14ac:dyDescent="0.25">
      <c r="A3" s="430" t="s">
        <v>158</v>
      </c>
      <c r="B3" s="430"/>
      <c r="C3" s="430"/>
      <c r="D3" s="430"/>
      <c r="E3" s="430"/>
      <c r="F3" s="430"/>
      <c r="G3" s="430"/>
    </row>
    <row r="4" spans="1:9" ht="15" customHeight="1" x14ac:dyDescent="0.25">
      <c r="A4" s="430"/>
      <c r="B4" s="430"/>
      <c r="C4" s="430"/>
      <c r="D4" s="430"/>
      <c r="E4" s="430"/>
      <c r="F4" s="430"/>
      <c r="G4" s="430"/>
    </row>
    <row r="5" spans="1:9" x14ac:dyDescent="0.25">
      <c r="A5" s="431" t="s">
        <v>33</v>
      </c>
      <c r="B5" s="431"/>
      <c r="C5" s="431"/>
      <c r="D5" s="46" t="s">
        <v>34</v>
      </c>
      <c r="E5" s="432" t="s">
        <v>35</v>
      </c>
      <c r="F5" s="432"/>
      <c r="G5" s="432"/>
      <c r="H5" s="47"/>
      <c r="I5" s="47"/>
    </row>
    <row r="6" spans="1:9" ht="42.75" customHeight="1" x14ac:dyDescent="0.25">
      <c r="A6" s="445" t="s">
        <v>285</v>
      </c>
      <c r="B6" s="443"/>
      <c r="C6" s="444"/>
      <c r="D6" s="48">
        <f>'WP-2013 Sch4-TUTRR'!J71</f>
        <v>780549546</v>
      </c>
      <c r="E6" s="446" t="s">
        <v>288</v>
      </c>
      <c r="F6" s="437"/>
      <c r="G6" s="438"/>
    </row>
    <row r="7" spans="1:9" ht="50.25" customHeight="1" x14ac:dyDescent="0.25">
      <c r="A7" s="442" t="s">
        <v>299</v>
      </c>
      <c r="B7" s="443"/>
      <c r="C7" s="444"/>
      <c r="D7" s="49">
        <f>'WP-2013 Sch4-TUTRR'!E73</f>
        <v>780700463.00367677</v>
      </c>
      <c r="E7" s="439" t="s">
        <v>408</v>
      </c>
      <c r="F7" s="440"/>
      <c r="G7" s="440"/>
    </row>
    <row r="8" spans="1:9" x14ac:dyDescent="0.25">
      <c r="A8" s="424" t="s">
        <v>36</v>
      </c>
      <c r="B8" s="424"/>
      <c r="C8" s="425"/>
      <c r="D8" s="50">
        <f>D7-D6</f>
        <v>150917.00367677212</v>
      </c>
      <c r="E8" s="426"/>
      <c r="F8" s="426"/>
      <c r="G8" s="427"/>
    </row>
    <row r="11" spans="1:9" x14ac:dyDescent="0.25">
      <c r="A11" s="93" t="s">
        <v>287</v>
      </c>
    </row>
    <row r="12" spans="1:9" x14ac:dyDescent="0.25">
      <c r="A12" s="441" t="s">
        <v>286</v>
      </c>
      <c r="B12" s="429"/>
      <c r="C12" s="429"/>
      <c r="D12" s="429"/>
      <c r="E12" s="429"/>
      <c r="F12" s="429"/>
      <c r="G12" s="429"/>
      <c r="H12" s="429"/>
      <c r="I12" s="429"/>
    </row>
    <row r="13" spans="1:9" x14ac:dyDescent="0.25">
      <c r="A13" s="428" t="s">
        <v>352</v>
      </c>
      <c r="B13" s="429"/>
      <c r="C13" s="429"/>
      <c r="D13" s="429"/>
      <c r="E13" s="429"/>
      <c r="F13" s="429"/>
      <c r="G13" s="429"/>
      <c r="H13" s="429"/>
      <c r="I13" s="429"/>
    </row>
  </sheetData>
  <mergeCells count="11">
    <mergeCell ref="A3:G4"/>
    <mergeCell ref="A5:C5"/>
    <mergeCell ref="E5:G5"/>
    <mergeCell ref="A6:C6"/>
    <mergeCell ref="E6:G6"/>
    <mergeCell ref="A13:I13"/>
    <mergeCell ref="A8:C8"/>
    <mergeCell ref="E8:G8"/>
    <mergeCell ref="A12:I12"/>
    <mergeCell ref="E7:G7"/>
    <mergeCell ref="A7:C7"/>
  </mergeCells>
  <printOptions horizontalCentered="1"/>
  <pageMargins left="0.7" right="0.7" top="0.75" bottom="0.75" header="0.3" footer="0.3"/>
  <pageSetup orientation="portrait" r:id="rId1"/>
  <headerFooter>
    <oddHeader>&amp;RTO11 Annual Update
Attachment 4
WP-Schedule 3-One Time Adj True Up Adj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L172"/>
  <sheetViews>
    <sheetView zoomScaleNormal="100" zoomScaleSheetLayoutView="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3.42578125" bestFit="1" customWidth="1"/>
  </cols>
  <sheetData>
    <row r="1" spans="1:10" x14ac:dyDescent="0.2">
      <c r="A1" s="276" t="s">
        <v>38</v>
      </c>
    </row>
    <row r="2" spans="1:10" x14ac:dyDescent="0.2">
      <c r="H2" s="277"/>
    </row>
    <row r="3" spans="1:10" x14ac:dyDescent="0.2">
      <c r="B3" s="278" t="s">
        <v>39</v>
      </c>
    </row>
    <row r="4" spans="1:10" x14ac:dyDescent="0.2">
      <c r="B4" s="279"/>
      <c r="F4" s="280" t="s">
        <v>40</v>
      </c>
      <c r="G4" s="280"/>
      <c r="H4" s="280" t="s">
        <v>41</v>
      </c>
    </row>
    <row r="5" spans="1:10" x14ac:dyDescent="0.2">
      <c r="A5" s="281" t="s">
        <v>42</v>
      </c>
      <c r="B5" s="282"/>
      <c r="C5" s="283" t="s">
        <v>43</v>
      </c>
      <c r="F5" s="284" t="s">
        <v>44</v>
      </c>
      <c r="G5" s="284" t="s">
        <v>45</v>
      </c>
      <c r="H5" s="284" t="s">
        <v>46</v>
      </c>
      <c r="J5" s="284" t="s">
        <v>34</v>
      </c>
    </row>
    <row r="6" spans="1:10" x14ac:dyDescent="0.2">
      <c r="A6" s="285">
        <v>1</v>
      </c>
      <c r="B6" s="277"/>
      <c r="C6" s="286" t="s">
        <v>47</v>
      </c>
      <c r="D6" s="277"/>
      <c r="E6" s="277"/>
      <c r="F6" s="277" t="s">
        <v>48</v>
      </c>
      <c r="G6" s="277"/>
      <c r="H6" s="286" t="s">
        <v>369</v>
      </c>
      <c r="I6" s="277"/>
      <c r="J6" s="287">
        <v>4903403328.7761135</v>
      </c>
    </row>
    <row r="7" spans="1:10" x14ac:dyDescent="0.2">
      <c r="A7" s="285">
        <f>A6+1</f>
        <v>2</v>
      </c>
      <c r="B7" s="277"/>
      <c r="C7" s="286" t="s">
        <v>49</v>
      </c>
      <c r="D7" s="277"/>
      <c r="E7" s="277"/>
      <c r="F7" s="277" t="s">
        <v>50</v>
      </c>
      <c r="G7" s="277"/>
      <c r="H7" s="286" t="s">
        <v>370</v>
      </c>
      <c r="I7" s="277"/>
      <c r="J7" s="287">
        <v>179436780.91569537</v>
      </c>
    </row>
    <row r="8" spans="1:10" x14ac:dyDescent="0.2">
      <c r="A8" s="285">
        <f>A7+1</f>
        <v>3</v>
      </c>
      <c r="B8" s="277"/>
      <c r="C8" s="286" t="s">
        <v>51</v>
      </c>
      <c r="D8" s="277"/>
      <c r="E8" s="277"/>
      <c r="F8" s="277" t="s">
        <v>50</v>
      </c>
      <c r="G8" s="277"/>
      <c r="H8" s="277" t="s">
        <v>371</v>
      </c>
      <c r="I8" s="277"/>
      <c r="J8" s="287">
        <v>9942155</v>
      </c>
    </row>
    <row r="9" spans="1:10" x14ac:dyDescent="0.2">
      <c r="A9" s="285">
        <f>A8+1</f>
        <v>4</v>
      </c>
      <c r="B9" s="277"/>
      <c r="C9" s="286" t="s">
        <v>52</v>
      </c>
      <c r="D9" s="277"/>
      <c r="E9" s="277"/>
      <c r="F9" s="277" t="s">
        <v>50</v>
      </c>
      <c r="G9" s="277"/>
      <c r="H9" s="288" t="s">
        <v>372</v>
      </c>
      <c r="I9" s="277"/>
      <c r="J9" s="287">
        <v>0</v>
      </c>
    </row>
    <row r="10" spans="1:10" x14ac:dyDescent="0.2">
      <c r="A10" s="285"/>
      <c r="B10" s="277"/>
      <c r="C10" s="286"/>
      <c r="D10" s="277"/>
      <c r="E10" s="277"/>
      <c r="F10" s="277"/>
      <c r="G10" s="277"/>
      <c r="H10" s="277"/>
      <c r="I10" s="277"/>
      <c r="J10" s="287"/>
    </row>
    <row r="11" spans="1:10" x14ac:dyDescent="0.2">
      <c r="A11" s="285"/>
      <c r="B11" s="277"/>
      <c r="C11" s="289" t="s">
        <v>53</v>
      </c>
      <c r="D11" s="277"/>
      <c r="E11" s="277"/>
      <c r="F11" s="277"/>
      <c r="G11" s="277"/>
      <c r="H11" s="277"/>
      <c r="I11" s="277"/>
      <c r="J11" s="287"/>
    </row>
    <row r="12" spans="1:10" x14ac:dyDescent="0.2">
      <c r="A12" s="285">
        <f>A9+1</f>
        <v>5</v>
      </c>
      <c r="B12" s="277"/>
      <c r="C12" s="290" t="s">
        <v>54</v>
      </c>
      <c r="D12" s="277"/>
      <c r="E12" s="277"/>
      <c r="F12" s="277" t="s">
        <v>48</v>
      </c>
      <c r="G12" s="277"/>
      <c r="H12" s="286" t="s">
        <v>373</v>
      </c>
      <c r="I12" s="277"/>
      <c r="J12" s="287">
        <v>12167228.980943657</v>
      </c>
    </row>
    <row r="13" spans="1:10" x14ac:dyDescent="0.2">
      <c r="A13" s="285">
        <f>A12+1</f>
        <v>6</v>
      </c>
      <c r="B13" s="277"/>
      <c r="C13" s="291" t="s">
        <v>55</v>
      </c>
      <c r="D13" s="277"/>
      <c r="E13" s="277"/>
      <c r="F13" s="277" t="s">
        <v>48</v>
      </c>
      <c r="G13" s="277"/>
      <c r="H13" s="286" t="s">
        <v>374</v>
      </c>
      <c r="I13" s="277"/>
      <c r="J13" s="287">
        <v>2638245.6145783952</v>
      </c>
    </row>
    <row r="14" spans="1:10" x14ac:dyDescent="0.2">
      <c r="A14" s="285">
        <f>A13+1</f>
        <v>7</v>
      </c>
      <c r="B14" s="277"/>
      <c r="C14" s="290" t="s">
        <v>56</v>
      </c>
      <c r="D14" s="277"/>
      <c r="E14" s="277"/>
      <c r="F14" s="288" t="s">
        <v>57</v>
      </c>
      <c r="G14" s="277"/>
      <c r="H14" s="277" t="s">
        <v>375</v>
      </c>
      <c r="I14" s="277"/>
      <c r="J14" s="292">
        <v>7134792.7656396721</v>
      </c>
    </row>
    <row r="15" spans="1:10" x14ac:dyDescent="0.2">
      <c r="A15" s="285">
        <f>A14+1</f>
        <v>8</v>
      </c>
      <c r="B15" s="277"/>
      <c r="C15" s="290" t="s">
        <v>58</v>
      </c>
      <c r="D15" s="277"/>
      <c r="E15" s="277"/>
      <c r="F15" s="277"/>
      <c r="G15" s="277"/>
      <c r="H15" s="277" t="str">
        <f>"Line "&amp;A12&amp;" + Line "&amp;A13&amp;" + Line "&amp;A14&amp;""</f>
        <v>Line 5 + Line 6 + Line 7</v>
      </c>
      <c r="I15" s="277"/>
      <c r="J15" s="293">
        <f>SUM(J12:J14)</f>
        <v>21940267.361161724</v>
      </c>
    </row>
    <row r="16" spans="1:10" x14ac:dyDescent="0.2">
      <c r="A16" s="285"/>
      <c r="B16" s="277"/>
      <c r="C16" s="290"/>
      <c r="D16" s="277"/>
      <c r="E16" s="277"/>
      <c r="F16" s="277"/>
      <c r="G16" s="277"/>
      <c r="H16" s="277"/>
      <c r="I16" s="277"/>
      <c r="J16" s="287"/>
    </row>
    <row r="17" spans="1:10" x14ac:dyDescent="0.2">
      <c r="A17" s="285"/>
      <c r="B17" s="277"/>
      <c r="C17" s="294" t="s">
        <v>59</v>
      </c>
      <c r="D17" s="277"/>
      <c r="E17" s="277"/>
      <c r="F17" s="277"/>
      <c r="G17" s="277"/>
      <c r="H17" s="277"/>
      <c r="I17" s="277"/>
      <c r="J17" s="287"/>
    </row>
    <row r="18" spans="1:10" x14ac:dyDescent="0.2">
      <c r="A18" s="285">
        <f>A15+1</f>
        <v>9</v>
      </c>
      <c r="B18" s="277"/>
      <c r="C18" s="290" t="s">
        <v>60</v>
      </c>
      <c r="D18" s="277"/>
      <c r="E18" s="277"/>
      <c r="F18" s="277" t="s">
        <v>48</v>
      </c>
      <c r="G18" s="277" t="s">
        <v>61</v>
      </c>
      <c r="H18" s="286" t="s">
        <v>392</v>
      </c>
      <c r="I18" s="277"/>
      <c r="J18" s="287">
        <v>-1071623975.5632911</v>
      </c>
    </row>
    <row r="19" spans="1:10" x14ac:dyDescent="0.2">
      <c r="A19" s="285">
        <f>A18+1</f>
        <v>10</v>
      </c>
      <c r="B19" s="277"/>
      <c r="C19" s="290" t="s">
        <v>62</v>
      </c>
      <c r="D19" s="277"/>
      <c r="E19" s="277"/>
      <c r="F19" s="277" t="s">
        <v>50</v>
      </c>
      <c r="G19" s="277" t="s">
        <v>61</v>
      </c>
      <c r="H19" s="286" t="s">
        <v>393</v>
      </c>
      <c r="I19" s="277"/>
      <c r="J19" s="287">
        <v>-581109.91</v>
      </c>
    </row>
    <row r="20" spans="1:10" x14ac:dyDescent="0.2">
      <c r="A20" s="285">
        <f>A19+1</f>
        <v>11</v>
      </c>
      <c r="B20" s="277"/>
      <c r="C20" s="290" t="s">
        <v>63</v>
      </c>
      <c r="D20" s="51"/>
      <c r="E20" s="277"/>
      <c r="F20" s="277" t="s">
        <v>50</v>
      </c>
      <c r="G20" s="277" t="s">
        <v>61</v>
      </c>
      <c r="H20" s="286" t="s">
        <v>394</v>
      </c>
      <c r="I20" s="277"/>
      <c r="J20" s="295">
        <v>-68533982.65490599</v>
      </c>
    </row>
    <row r="21" spans="1:10" x14ac:dyDescent="0.2">
      <c r="A21" s="285">
        <f>A20+1</f>
        <v>12</v>
      </c>
      <c r="B21" s="277"/>
      <c r="C21" s="52" t="s">
        <v>64</v>
      </c>
      <c r="D21" s="51"/>
      <c r="E21" s="277"/>
      <c r="F21" s="277"/>
      <c r="G21" s="277"/>
      <c r="H21" s="277" t="str">
        <f>"Line "&amp;A18&amp;" + Line "&amp;A19&amp;" + Line "&amp;A20&amp;""</f>
        <v>Line 9 + Line 10 + Line 11</v>
      </c>
      <c r="I21" s="277"/>
      <c r="J21" s="287">
        <f>SUM(J18:J20)</f>
        <v>-1140739068.128197</v>
      </c>
    </row>
    <row r="22" spans="1:10" x14ac:dyDescent="0.2">
      <c r="A22" s="285"/>
      <c r="B22" s="277"/>
      <c r="C22" s="288"/>
      <c r="D22" s="277"/>
      <c r="E22" s="277"/>
      <c r="F22" s="277"/>
      <c r="G22" s="277"/>
      <c r="H22" s="277"/>
      <c r="I22" s="277"/>
      <c r="J22" s="287"/>
    </row>
    <row r="23" spans="1:10" x14ac:dyDescent="0.2">
      <c r="A23" s="285">
        <f>A21+1</f>
        <v>13</v>
      </c>
      <c r="B23" s="277"/>
      <c r="C23" s="296" t="s">
        <v>65</v>
      </c>
      <c r="D23" s="277"/>
      <c r="E23" s="277"/>
      <c r="F23" s="277" t="s">
        <v>50</v>
      </c>
      <c r="G23" s="277"/>
      <c r="H23" s="286" t="s">
        <v>395</v>
      </c>
      <c r="I23" s="277"/>
      <c r="J23" s="287">
        <v>-820197182.21311426</v>
      </c>
    </row>
    <row r="24" spans="1:10" x14ac:dyDescent="0.2">
      <c r="A24" s="285">
        <f>A23+1</f>
        <v>14</v>
      </c>
      <c r="B24" s="277"/>
      <c r="C24" s="286" t="s">
        <v>66</v>
      </c>
      <c r="D24" s="277"/>
      <c r="E24" s="277"/>
      <c r="F24" s="277" t="s">
        <v>48</v>
      </c>
      <c r="G24" s="277"/>
      <c r="H24" s="286" t="s">
        <v>396</v>
      </c>
      <c r="I24" s="277"/>
      <c r="J24" s="287">
        <v>1340260797.3266647</v>
      </c>
    </row>
    <row r="25" spans="1:10" x14ac:dyDescent="0.2">
      <c r="A25" s="285">
        <f>A24+1</f>
        <v>15</v>
      </c>
      <c r="B25" s="277"/>
      <c r="C25" s="296" t="s">
        <v>67</v>
      </c>
      <c r="D25" s="277"/>
      <c r="E25" s="277"/>
      <c r="F25" s="277" t="s">
        <v>50</v>
      </c>
      <c r="G25" s="277" t="s">
        <v>61</v>
      </c>
      <c r="H25" s="286" t="s">
        <v>397</v>
      </c>
      <c r="I25" s="277"/>
      <c r="J25" s="287">
        <v>-26630218.84</v>
      </c>
    </row>
    <row r="26" spans="1:10" x14ac:dyDescent="0.2">
      <c r="A26" s="285" t="s">
        <v>68</v>
      </c>
      <c r="B26" s="277"/>
      <c r="C26" s="286" t="s">
        <v>69</v>
      </c>
      <c r="D26" s="277"/>
      <c r="E26" s="277"/>
      <c r="F26" s="277"/>
      <c r="G26" s="277"/>
      <c r="H26" s="288" t="s">
        <v>398</v>
      </c>
      <c r="I26" s="277"/>
      <c r="J26" s="287">
        <v>-6563773.2916891603</v>
      </c>
    </row>
    <row r="27" spans="1:10" x14ac:dyDescent="0.2">
      <c r="A27" s="285">
        <v>16</v>
      </c>
      <c r="B27" s="277"/>
      <c r="C27" s="296" t="s">
        <v>70</v>
      </c>
      <c r="D27" s="277"/>
      <c r="E27" s="277"/>
      <c r="F27" s="277" t="s">
        <v>50</v>
      </c>
      <c r="G27" s="277"/>
      <c r="H27" s="286" t="s">
        <v>399</v>
      </c>
      <c r="I27" s="277"/>
      <c r="J27" s="287">
        <v>0</v>
      </c>
    </row>
    <row r="28" spans="1:10" x14ac:dyDescent="0.2">
      <c r="A28" s="285"/>
      <c r="B28" s="277"/>
      <c r="C28" s="296"/>
      <c r="D28" s="277"/>
      <c r="E28" s="277"/>
      <c r="F28" s="277"/>
      <c r="G28" s="277"/>
      <c r="H28" s="277"/>
      <c r="I28" s="277"/>
      <c r="J28" s="277"/>
    </row>
    <row r="29" spans="1:10" x14ac:dyDescent="0.2">
      <c r="A29" s="285">
        <v>17</v>
      </c>
      <c r="B29" s="277"/>
      <c r="C29" s="277" t="s">
        <v>71</v>
      </c>
      <c r="D29" s="277"/>
      <c r="E29" s="277"/>
      <c r="F29" s="277"/>
      <c r="G29" s="277"/>
      <c r="H29" s="277" t="str">
        <f>"L"&amp;A6&amp;"+L"&amp;A7&amp;"+L"&amp;A8&amp;"+L"&amp;A9&amp;"+L"&amp;A15&amp;"+L"&amp;A21&amp;"+"</f>
        <v>L1+L2+L3+L4+L8+L12+</v>
      </c>
      <c r="I29" s="277"/>
      <c r="J29" s="293">
        <f>J6+ J7+J8+J9+J15+J21+J23+J24+J25+J26+J27</f>
        <v>4460853086.9066353</v>
      </c>
    </row>
    <row r="30" spans="1:10" x14ac:dyDescent="0.2">
      <c r="A30" s="285"/>
      <c r="B30" s="277"/>
      <c r="C30" s="277"/>
      <c r="D30" s="277"/>
      <c r="E30" s="277"/>
      <c r="F30" s="277"/>
      <c r="G30" s="277"/>
      <c r="H30" s="277" t="str">
        <f>"L"&amp;A23&amp;"+L"&amp;A24&amp;"+L"&amp;A25&amp;"+L"&amp;A26&amp;"+L"&amp;A27&amp;""</f>
        <v>L13+L14+L15+L15a+L16</v>
      </c>
      <c r="I30" s="277"/>
      <c r="J30" s="287"/>
    </row>
    <row r="31" spans="1:10" x14ac:dyDescent="0.2">
      <c r="A31" s="285"/>
      <c r="B31" s="297" t="s">
        <v>72</v>
      </c>
      <c r="D31" s="277"/>
      <c r="E31" s="277"/>
      <c r="F31" s="277"/>
      <c r="G31" s="277"/>
      <c r="H31" s="277"/>
      <c r="I31" s="277"/>
      <c r="J31" s="287"/>
    </row>
    <row r="32" spans="1:10" x14ac:dyDescent="0.2">
      <c r="A32" s="298" t="s">
        <v>42</v>
      </c>
      <c r="B32" s="277"/>
      <c r="C32" s="297"/>
      <c r="D32" s="277"/>
      <c r="E32" s="277"/>
      <c r="F32" s="277"/>
      <c r="G32" s="277"/>
      <c r="H32" s="277"/>
      <c r="I32" s="277"/>
      <c r="J32" s="287"/>
    </row>
    <row r="33" spans="1:10" x14ac:dyDescent="0.2">
      <c r="A33" s="285">
        <f>A29+1</f>
        <v>18</v>
      </c>
      <c r="B33" s="277"/>
      <c r="C33" s="277" t="s">
        <v>73</v>
      </c>
      <c r="D33" s="277"/>
      <c r="E33" s="277"/>
      <c r="F33" s="277"/>
      <c r="G33" s="288" t="s">
        <v>74</v>
      </c>
      <c r="H33" s="288" t="str">
        <f>"Instruction 1, Line "&amp;B98&amp;""</f>
        <v>Instruction 1, Line j</v>
      </c>
      <c r="I33" s="277"/>
      <c r="J33" s="299">
        <f>E98</f>
        <v>7.454217841486209E-2</v>
      </c>
    </row>
    <row r="34" spans="1:10" x14ac:dyDescent="0.2">
      <c r="A34" s="280">
        <f>A33+1</f>
        <v>19</v>
      </c>
      <c r="C34" s="288" t="s">
        <v>75</v>
      </c>
      <c r="D34" s="288"/>
      <c r="E34" s="288"/>
      <c r="F34" s="288"/>
      <c r="G34" s="288"/>
      <c r="H34" t="str">
        <f>"Line "&amp;A29&amp;" * Line "&amp;A33&amp;""</f>
        <v>Line 17 * Line 18</v>
      </c>
      <c r="J34" s="300">
        <f>J29*J33</f>
        <v>332521706.6866827</v>
      </c>
    </row>
    <row r="35" spans="1:10" x14ac:dyDescent="0.2">
      <c r="A35" s="280"/>
      <c r="B35" s="282"/>
    </row>
    <row r="36" spans="1:10" x14ac:dyDescent="0.2">
      <c r="A36" s="280"/>
      <c r="B36" s="276" t="s">
        <v>76</v>
      </c>
    </row>
    <row r="37" spans="1:10" x14ac:dyDescent="0.2">
      <c r="A37" s="285"/>
      <c r="B37" s="291"/>
      <c r="C37" s="277"/>
      <c r="D37" s="277"/>
      <c r="E37" s="277">
        <v>16475769.585114043</v>
      </c>
      <c r="F37" s="277"/>
      <c r="G37" s="277"/>
      <c r="H37" s="277"/>
      <c r="I37" s="277"/>
      <c r="J37" s="277"/>
    </row>
    <row r="38" spans="1:10" x14ac:dyDescent="0.2">
      <c r="A38" s="285">
        <f>A34+1</f>
        <v>20</v>
      </c>
      <c r="B38" s="277"/>
      <c r="C38" s="288" t="s">
        <v>77</v>
      </c>
      <c r="D38" s="277"/>
      <c r="E38" s="277">
        <v>837749.97488595883</v>
      </c>
      <c r="F38" s="277"/>
      <c r="G38" s="277"/>
      <c r="H38" s="277"/>
      <c r="I38" s="277"/>
      <c r="J38" s="293">
        <f>(((J29*J42) + J45) *(J43/(1-J43)))+(J44/(1-J43))</f>
        <v>160803594.04261011</v>
      </c>
    </row>
    <row r="39" spans="1:10" x14ac:dyDescent="0.2">
      <c r="A39" s="285"/>
      <c r="B39" s="277"/>
      <c r="C39" s="277"/>
      <c r="D39" s="277"/>
      <c r="E39" s="277">
        <v>-6451726</v>
      </c>
      <c r="F39" s="277"/>
      <c r="G39" s="277"/>
      <c r="H39" s="277"/>
      <c r="I39" s="277"/>
      <c r="J39" s="288"/>
    </row>
    <row r="40" spans="1:10" x14ac:dyDescent="0.2">
      <c r="A40" s="285"/>
      <c r="B40" s="277"/>
      <c r="C40" s="277"/>
      <c r="D40" s="277" t="s">
        <v>78</v>
      </c>
      <c r="E40" s="277">
        <v>8601353.9800000023</v>
      </c>
      <c r="F40" s="277"/>
      <c r="G40" s="277"/>
      <c r="H40" s="277"/>
      <c r="I40" s="277"/>
      <c r="J40" s="277"/>
    </row>
    <row r="41" spans="1:10" x14ac:dyDescent="0.2">
      <c r="A41" s="285">
        <f>A38+1</f>
        <v>21</v>
      </c>
      <c r="B41" s="277"/>
      <c r="C41" s="277"/>
      <c r="D41" s="291" t="s">
        <v>79</v>
      </c>
      <c r="E41" s="277">
        <v>0</v>
      </c>
      <c r="F41" s="277"/>
      <c r="G41" s="277"/>
      <c r="H41" s="277" t="str">
        <f>"Line "&amp;A29&amp;""</f>
        <v>Line 17</v>
      </c>
      <c r="I41" s="277"/>
      <c r="J41" s="293">
        <f>J29</f>
        <v>4460853086.9066353</v>
      </c>
    </row>
    <row r="42" spans="1:10" x14ac:dyDescent="0.2">
      <c r="A42" s="285">
        <f>A41+1</f>
        <v>22</v>
      </c>
      <c r="B42" s="277"/>
      <c r="C42" s="277"/>
      <c r="D42" s="290" t="s">
        <v>80</v>
      </c>
      <c r="E42" s="277">
        <v>211377.76</v>
      </c>
      <c r="F42" s="277"/>
      <c r="G42" s="288" t="s">
        <v>81</v>
      </c>
      <c r="H42" s="288" t="str">
        <f>"Instruction 1, Line "&amp;B103&amp;""</f>
        <v>Instruction 1, Line k</v>
      </c>
      <c r="I42" s="277"/>
      <c r="J42" s="301">
        <f>E103</f>
        <v>5.1519615850734668E-2</v>
      </c>
    </row>
    <row r="43" spans="1:10" x14ac:dyDescent="0.2">
      <c r="A43" s="285">
        <f>A42+1</f>
        <v>23</v>
      </c>
      <c r="B43" s="277"/>
      <c r="C43" s="277"/>
      <c r="D43" s="291" t="s">
        <v>82</v>
      </c>
      <c r="E43" s="277">
        <v>35875127.374766812</v>
      </c>
      <c r="F43" s="277"/>
      <c r="G43" s="277"/>
      <c r="H43" s="277" t="s">
        <v>376</v>
      </c>
      <c r="I43" s="277"/>
      <c r="J43" s="301">
        <v>0.40439353647240123</v>
      </c>
    </row>
    <row r="44" spans="1:10" x14ac:dyDescent="0.2">
      <c r="A44" s="285">
        <f>A43+1</f>
        <v>24</v>
      </c>
      <c r="B44" s="277"/>
      <c r="C44" s="277"/>
      <c r="D44" s="291" t="s">
        <v>83</v>
      </c>
      <c r="E44" s="277" t="s">
        <v>126</v>
      </c>
      <c r="F44" s="277"/>
      <c r="G44" s="277"/>
      <c r="H44" s="277" t="s">
        <v>377</v>
      </c>
      <c r="I44" s="277"/>
      <c r="J44" s="287">
        <v>2086200</v>
      </c>
    </row>
    <row r="45" spans="1:10" x14ac:dyDescent="0.2">
      <c r="A45" s="285">
        <f>A44+1</f>
        <v>25</v>
      </c>
      <c r="B45" s="277"/>
      <c r="C45" s="277"/>
      <c r="D45" s="291" t="s">
        <v>84</v>
      </c>
      <c r="E45" s="277">
        <v>31135217.5</v>
      </c>
      <c r="F45" s="277"/>
      <c r="G45" s="277"/>
      <c r="H45" s="277" t="s">
        <v>378</v>
      </c>
      <c r="I45" s="277"/>
      <c r="J45" s="302">
        <v>1857488</v>
      </c>
    </row>
    <row r="46" spans="1:10" x14ac:dyDescent="0.2">
      <c r="A46" s="285"/>
      <c r="B46" s="291"/>
      <c r="C46" s="277"/>
      <c r="D46" s="277"/>
      <c r="E46" s="277">
        <v>0</v>
      </c>
      <c r="F46" s="277"/>
      <c r="G46" s="277"/>
      <c r="H46" s="277"/>
      <c r="I46" s="277"/>
      <c r="J46" s="277"/>
    </row>
    <row r="47" spans="1:10" x14ac:dyDescent="0.2">
      <c r="A47" s="285"/>
      <c r="B47" s="297" t="s">
        <v>85</v>
      </c>
      <c r="D47" s="277"/>
      <c r="E47" s="277">
        <v>223160.132088218</v>
      </c>
      <c r="F47" s="277"/>
      <c r="G47" s="277"/>
      <c r="H47" s="277"/>
      <c r="I47" s="277"/>
      <c r="J47" s="277"/>
    </row>
    <row r="48" spans="1:10" x14ac:dyDescent="0.2">
      <c r="A48" s="285">
        <f>A45+1</f>
        <v>26</v>
      </c>
      <c r="B48" s="291"/>
      <c r="C48" s="277" t="s">
        <v>86</v>
      </c>
      <c r="D48" s="277"/>
      <c r="E48" s="277">
        <v>19998510.350000001</v>
      </c>
      <c r="F48" s="277"/>
      <c r="G48" s="277"/>
      <c r="H48" s="277" t="s">
        <v>379</v>
      </c>
      <c r="I48" s="277"/>
      <c r="J48" s="287">
        <v>75371480.003659368</v>
      </c>
    </row>
    <row r="49" spans="1:10" x14ac:dyDescent="0.2">
      <c r="A49" s="285">
        <f t="shared" ref="A49:A60" si="0">A48+1</f>
        <v>27</v>
      </c>
      <c r="B49" s="291"/>
      <c r="C49" s="288" t="s">
        <v>87</v>
      </c>
      <c r="D49" s="277"/>
      <c r="E49" s="277">
        <v>78140.61</v>
      </c>
      <c r="F49" s="277"/>
      <c r="G49" s="277"/>
      <c r="H49" s="277" t="s">
        <v>380</v>
      </c>
      <c r="I49" s="277"/>
      <c r="J49" s="293">
        <v>38785204.246575385</v>
      </c>
    </row>
    <row r="50" spans="1:10" x14ac:dyDescent="0.2">
      <c r="A50" s="303" t="s">
        <v>159</v>
      </c>
      <c r="B50" s="304"/>
      <c r="C50" s="305" t="s">
        <v>160</v>
      </c>
      <c r="D50" s="306"/>
      <c r="E50" s="306">
        <v>1635670</v>
      </c>
      <c r="F50" s="306"/>
      <c r="G50" s="306"/>
      <c r="H50" s="306" t="s">
        <v>404</v>
      </c>
      <c r="I50" s="306"/>
      <c r="J50" s="307">
        <v>2539057.5575624197</v>
      </c>
    </row>
    <row r="51" spans="1:10" x14ac:dyDescent="0.2">
      <c r="A51" s="285">
        <f>A49+1</f>
        <v>28</v>
      </c>
      <c r="B51" s="291"/>
      <c r="C51" s="277" t="s">
        <v>88</v>
      </c>
      <c r="D51" s="277"/>
      <c r="E51" s="277"/>
      <c r="F51" s="277"/>
      <c r="G51" s="277"/>
      <c r="H51" s="277" t="s">
        <v>381</v>
      </c>
      <c r="I51" s="277"/>
      <c r="J51" s="287">
        <v>1897885</v>
      </c>
    </row>
    <row r="52" spans="1:10" x14ac:dyDescent="0.2">
      <c r="A52" s="285">
        <f t="shared" si="0"/>
        <v>29</v>
      </c>
      <c r="B52" s="291"/>
      <c r="C52" s="288" t="s">
        <v>89</v>
      </c>
      <c r="D52" s="277"/>
      <c r="E52" s="277"/>
      <c r="F52" s="277"/>
      <c r="G52" s="277"/>
      <c r="H52" s="277" t="s">
        <v>382</v>
      </c>
      <c r="I52" s="277"/>
      <c r="J52" s="287">
        <v>140361552.5516125</v>
      </c>
    </row>
    <row r="53" spans="1:10" x14ac:dyDescent="0.2">
      <c r="A53" s="285">
        <f t="shared" si="0"/>
        <v>30</v>
      </c>
      <c r="B53" s="291"/>
      <c r="C53" s="288" t="s">
        <v>90</v>
      </c>
      <c r="D53" s="277"/>
      <c r="E53" s="277"/>
      <c r="F53" s="277"/>
      <c r="G53" s="277"/>
      <c r="H53" s="277" t="s">
        <v>383</v>
      </c>
      <c r="I53" s="277"/>
      <c r="J53" s="287">
        <v>0</v>
      </c>
    </row>
    <row r="54" spans="1:10" x14ac:dyDescent="0.2">
      <c r="A54" s="285">
        <f t="shared" si="0"/>
        <v>31</v>
      </c>
      <c r="B54" s="291"/>
      <c r="C54" s="288" t="s">
        <v>91</v>
      </c>
      <c r="D54" s="277"/>
      <c r="E54" s="277"/>
      <c r="F54" s="277"/>
      <c r="G54" s="277"/>
      <c r="H54" s="277" t="s">
        <v>384</v>
      </c>
      <c r="I54" s="277"/>
      <c r="J54" s="287">
        <v>39811694.291338205</v>
      </c>
    </row>
    <row r="55" spans="1:10" x14ac:dyDescent="0.2">
      <c r="A55" s="285">
        <f t="shared" si="0"/>
        <v>32</v>
      </c>
      <c r="B55" s="291"/>
      <c r="C55" s="277" t="s">
        <v>92</v>
      </c>
      <c r="D55" s="277"/>
      <c r="E55" s="277"/>
      <c r="F55" s="277"/>
      <c r="G55" s="288"/>
      <c r="H55" s="277" t="s">
        <v>385</v>
      </c>
      <c r="I55" s="277"/>
      <c r="J55" s="287">
        <v>-45826067.143195026</v>
      </c>
    </row>
    <row r="56" spans="1:10" x14ac:dyDescent="0.2">
      <c r="A56" s="285">
        <f t="shared" si="0"/>
        <v>33</v>
      </c>
      <c r="B56" s="291"/>
      <c r="C56" s="277" t="s">
        <v>93</v>
      </c>
      <c r="D56" s="277"/>
      <c r="E56" s="277"/>
      <c r="F56" s="277"/>
      <c r="G56" s="277"/>
      <c r="H56" s="277" t="str">
        <f>"Line "&amp;A34&amp;""</f>
        <v>Line 19</v>
      </c>
      <c r="I56" s="277"/>
      <c r="J56" s="293">
        <f>J34</f>
        <v>332521706.6866827</v>
      </c>
    </row>
    <row r="57" spans="1:10" x14ac:dyDescent="0.2">
      <c r="A57" s="285">
        <f t="shared" si="0"/>
        <v>34</v>
      </c>
      <c r="B57" s="291"/>
      <c r="C57" s="277" t="s">
        <v>94</v>
      </c>
      <c r="D57" s="277"/>
      <c r="E57" s="277"/>
      <c r="F57" s="277"/>
      <c r="G57" s="277"/>
      <c r="H57" s="277" t="str">
        <f>"Line "&amp;A38&amp;""</f>
        <v>Line 20</v>
      </c>
      <c r="I57" s="277"/>
      <c r="J57" s="300">
        <f>J38</f>
        <v>160803594.04261011</v>
      </c>
    </row>
    <row r="58" spans="1:10" x14ac:dyDescent="0.2">
      <c r="A58" s="285">
        <f t="shared" si="0"/>
        <v>35</v>
      </c>
      <c r="B58" s="291"/>
      <c r="C58" s="288" t="s">
        <v>95</v>
      </c>
      <c r="D58" s="277"/>
      <c r="E58" s="277"/>
      <c r="F58" s="277"/>
      <c r="G58" s="277"/>
      <c r="H58" s="277" t="s">
        <v>386</v>
      </c>
      <c r="I58" s="277"/>
      <c r="J58" s="302">
        <v>0</v>
      </c>
    </row>
    <row r="59" spans="1:10" x14ac:dyDescent="0.2">
      <c r="A59" s="285">
        <f t="shared" si="0"/>
        <v>36</v>
      </c>
      <c r="B59" s="291"/>
      <c r="C59" s="53" t="s">
        <v>96</v>
      </c>
      <c r="D59" s="54"/>
      <c r="E59" s="277"/>
      <c r="F59" s="277"/>
      <c r="G59" s="277"/>
      <c r="H59" s="277" t="s">
        <v>387</v>
      </c>
      <c r="I59" s="277"/>
      <c r="J59" s="295">
        <v>0</v>
      </c>
    </row>
    <row r="60" spans="1:10" x14ac:dyDescent="0.2">
      <c r="A60" s="285">
        <f t="shared" si="0"/>
        <v>37</v>
      </c>
      <c r="B60" s="291"/>
      <c r="C60" s="288" t="s">
        <v>97</v>
      </c>
      <c r="D60" s="277"/>
      <c r="E60" s="277"/>
      <c r="F60" s="277"/>
      <c r="G60" s="277"/>
      <c r="H60" s="277" t="str">
        <f>"Sum Line "&amp;A48&amp;" to Line "&amp;A59&amp;""</f>
        <v>Sum Line 26 to Line 36</v>
      </c>
      <c r="I60" s="277"/>
      <c r="J60" s="308">
        <f>SUM(J48:J59)</f>
        <v>746266107.23684573</v>
      </c>
    </row>
    <row r="61" spans="1:10" x14ac:dyDescent="0.2">
      <c r="A61" s="285"/>
      <c r="B61" s="291"/>
      <c r="C61" s="277"/>
      <c r="D61" s="277"/>
      <c r="E61" s="277"/>
      <c r="F61" s="277"/>
      <c r="G61" s="277"/>
      <c r="H61" s="277"/>
      <c r="I61" s="277"/>
      <c r="J61" s="287"/>
    </row>
    <row r="62" spans="1:10" ht="12.75" customHeight="1" x14ac:dyDescent="0.2">
      <c r="A62" s="285">
        <f>A60+1</f>
        <v>38</v>
      </c>
      <c r="B62" s="291"/>
      <c r="C62" s="288" t="s">
        <v>98</v>
      </c>
      <c r="D62" s="277"/>
      <c r="E62" s="277"/>
      <c r="F62" s="277"/>
      <c r="G62" s="277"/>
      <c r="H62" s="277" t="s">
        <v>400</v>
      </c>
      <c r="I62" s="277"/>
      <c r="J62" s="287">
        <v>25789647.481252577</v>
      </c>
    </row>
    <row r="63" spans="1:10" x14ac:dyDescent="0.2">
      <c r="A63" s="285"/>
      <c r="B63" s="291"/>
      <c r="C63" s="288"/>
      <c r="D63" s="277"/>
      <c r="E63" s="277"/>
      <c r="F63" s="277"/>
      <c r="G63" s="277"/>
      <c r="H63" s="277"/>
      <c r="I63" s="277"/>
      <c r="J63" s="287"/>
    </row>
    <row r="64" spans="1:10" x14ac:dyDescent="0.2">
      <c r="A64" s="285">
        <f>A62+1</f>
        <v>39</v>
      </c>
      <c r="B64" s="291"/>
      <c r="C64" s="288" t="s">
        <v>99</v>
      </c>
      <c r="D64" s="277"/>
      <c r="E64" s="277"/>
      <c r="F64" s="277"/>
      <c r="G64" s="277"/>
      <c r="H64" s="277" t="str">
        <f>"Line "&amp;A60&amp;" + Line "&amp;A62&amp;""</f>
        <v>Line 37 + Line 38</v>
      </c>
      <c r="I64" s="277"/>
      <c r="J64" s="293">
        <f>J60+J62</f>
        <v>772055754.71809828</v>
      </c>
    </row>
    <row r="65" spans="1:12" x14ac:dyDescent="0.2">
      <c r="A65" s="285"/>
      <c r="B65" s="291"/>
      <c r="C65" s="288"/>
      <c r="D65" s="277"/>
      <c r="E65" s="277"/>
      <c r="F65" s="277"/>
      <c r="G65" s="277"/>
      <c r="H65" s="277"/>
      <c r="I65" s="277"/>
      <c r="J65" s="287"/>
    </row>
    <row r="66" spans="1:12" x14ac:dyDescent="0.2">
      <c r="A66" s="285"/>
      <c r="B66" s="309" t="s">
        <v>100</v>
      </c>
      <c r="C66" s="288"/>
      <c r="D66" s="277"/>
      <c r="E66" s="277"/>
      <c r="F66" s="277"/>
      <c r="G66" s="277"/>
      <c r="H66" s="277"/>
      <c r="I66" s="277"/>
      <c r="J66" s="287"/>
    </row>
    <row r="67" spans="1:12" ht="13.5" thickBot="1" x14ac:dyDescent="0.25">
      <c r="A67" s="281" t="s">
        <v>42</v>
      </c>
      <c r="B67" s="310"/>
      <c r="G67" s="283" t="s">
        <v>101</v>
      </c>
    </row>
    <row r="68" spans="1:12" x14ac:dyDescent="0.2">
      <c r="A68" s="285">
        <f>A64+1</f>
        <v>40</v>
      </c>
      <c r="B68" s="296"/>
      <c r="C68" s="277"/>
      <c r="D68" s="311" t="s">
        <v>102</v>
      </c>
      <c r="E68" s="293">
        <f>J64</f>
        <v>772055754.71809828</v>
      </c>
      <c r="F68" s="277"/>
      <c r="G68" s="277" t="str">
        <f>"Line "&amp;A64&amp;""</f>
        <v>Line 39</v>
      </c>
      <c r="H68" s="277"/>
      <c r="I68" s="277"/>
      <c r="J68" s="312" t="s">
        <v>103</v>
      </c>
      <c r="L68" s="73"/>
    </row>
    <row r="69" spans="1:12" x14ac:dyDescent="0.2">
      <c r="A69" s="285">
        <f>A68+1</f>
        <v>41</v>
      </c>
      <c r="B69" s="296"/>
      <c r="C69" s="277"/>
      <c r="D69" s="311" t="s">
        <v>104</v>
      </c>
      <c r="E69" s="313">
        <v>9.1427999999999995E-3</v>
      </c>
      <c r="F69" s="277"/>
      <c r="G69" s="277" t="s">
        <v>401</v>
      </c>
      <c r="H69" s="277"/>
      <c r="I69" s="277"/>
      <c r="J69" s="314" t="s">
        <v>161</v>
      </c>
      <c r="L69" s="315"/>
    </row>
    <row r="70" spans="1:12" x14ac:dyDescent="0.2">
      <c r="A70" s="285">
        <f>A69+1</f>
        <v>42</v>
      </c>
      <c r="B70" s="296"/>
      <c r="C70" s="277"/>
      <c r="D70" s="316" t="s">
        <v>105</v>
      </c>
      <c r="E70" s="293">
        <v>7058751.3542366289</v>
      </c>
      <c r="F70" s="277"/>
      <c r="G70" s="277" t="str">
        <f>"Line "&amp;A68&amp;" * Line "&amp;A69&amp;""</f>
        <v>Line 40 * Line 41</v>
      </c>
      <c r="H70" s="277"/>
      <c r="I70" s="277"/>
      <c r="J70" s="317">
        <f>E73</f>
        <v>780700463.00367677</v>
      </c>
      <c r="L70" s="315"/>
    </row>
    <row r="71" spans="1:12" x14ac:dyDescent="0.2">
      <c r="A71" s="285">
        <f>A70+1</f>
        <v>43</v>
      </c>
      <c r="B71" s="296"/>
      <c r="C71" s="277"/>
      <c r="D71" s="311" t="s">
        <v>106</v>
      </c>
      <c r="E71" s="313">
        <v>2.0541999999999999E-3</v>
      </c>
      <c r="F71" s="277"/>
      <c r="G71" s="277" t="s">
        <v>401</v>
      </c>
      <c r="H71" s="277"/>
      <c r="I71" s="277"/>
      <c r="J71" s="318">
        <v>780549546</v>
      </c>
    </row>
    <row r="72" spans="1:12" ht="13.5" thickBot="1" x14ac:dyDescent="0.25">
      <c r="A72" s="285">
        <f>A71+1</f>
        <v>44</v>
      </c>
      <c r="B72" s="296"/>
      <c r="C72" s="277"/>
      <c r="D72" s="311" t="s">
        <v>107</v>
      </c>
      <c r="E72" s="293">
        <v>1585956.9313419175</v>
      </c>
      <c r="F72" s="277"/>
      <c r="G72" s="277" t="str">
        <f>"Line "&amp;A70&amp;" * Line "&amp;A71&amp;""</f>
        <v>Line 42 * Line 43</v>
      </c>
      <c r="H72" s="277"/>
      <c r="I72" s="277"/>
      <c r="J72" s="319">
        <f>J70-J71</f>
        <v>150917.00367677212</v>
      </c>
    </row>
    <row r="73" spans="1:12" x14ac:dyDescent="0.2">
      <c r="A73" s="285">
        <f>A72+1</f>
        <v>45</v>
      </c>
      <c r="B73" s="296"/>
      <c r="C73" s="277"/>
      <c r="D73" s="311" t="s">
        <v>108</v>
      </c>
      <c r="E73" s="293">
        <f>E68+E70+E72</f>
        <v>780700463.00367677</v>
      </c>
      <c r="F73" s="277"/>
      <c r="G73" s="277" t="str">
        <f>"L "&amp;A68&amp;" + L "&amp;A70&amp;" + L "&amp;A72&amp;""</f>
        <v>L 40 + L 42 + L 44</v>
      </c>
      <c r="H73" s="277"/>
      <c r="I73" s="277"/>
      <c r="J73" s="277"/>
    </row>
    <row r="74" spans="1:12" x14ac:dyDescent="0.2">
      <c r="A74" s="277"/>
      <c r="B74" s="320" t="s">
        <v>109</v>
      </c>
      <c r="C74" s="277"/>
      <c r="D74" s="316"/>
      <c r="E74" s="287"/>
      <c r="F74" s="277"/>
      <c r="G74" s="277"/>
      <c r="H74" s="55"/>
      <c r="I74" s="277"/>
      <c r="J74" s="277"/>
    </row>
    <row r="75" spans="1:12" x14ac:dyDescent="0.2">
      <c r="A75" s="285"/>
      <c r="B75" s="288" t="s">
        <v>110</v>
      </c>
      <c r="C75" s="309"/>
      <c r="D75" s="316"/>
      <c r="E75" s="287"/>
      <c r="F75" s="277"/>
      <c r="G75" s="277"/>
      <c r="H75" s="277"/>
      <c r="I75" s="277"/>
      <c r="J75" s="277"/>
    </row>
    <row r="76" spans="1:12" x14ac:dyDescent="0.2">
      <c r="A76" s="285"/>
      <c r="B76" s="288" t="s">
        <v>111</v>
      </c>
      <c r="C76" s="309"/>
      <c r="D76" s="316"/>
      <c r="E76" s="287"/>
      <c r="F76" s="277"/>
      <c r="G76" s="277"/>
      <c r="H76" s="277"/>
      <c r="I76" s="277"/>
      <c r="J76" s="277"/>
    </row>
    <row r="77" spans="1:12" x14ac:dyDescent="0.2">
      <c r="A77" s="285"/>
      <c r="B77" s="286" t="s">
        <v>112</v>
      </c>
      <c r="C77" s="288"/>
      <c r="D77" s="316"/>
      <c r="E77" s="287"/>
      <c r="F77" s="277"/>
      <c r="G77" s="277"/>
      <c r="H77" s="277"/>
      <c r="I77" s="277"/>
      <c r="J77" s="277"/>
    </row>
    <row r="78" spans="1:12" x14ac:dyDescent="0.2">
      <c r="A78" s="285"/>
      <c r="B78" s="286" t="s">
        <v>113</v>
      </c>
      <c r="C78" s="277"/>
      <c r="D78" s="316"/>
      <c r="E78" s="287"/>
      <c r="F78" s="277"/>
      <c r="G78" s="277"/>
      <c r="H78" s="277"/>
      <c r="I78" s="277"/>
      <c r="J78" s="277"/>
    </row>
    <row r="79" spans="1:12" x14ac:dyDescent="0.2">
      <c r="A79" s="285"/>
      <c r="B79" s="277"/>
      <c r="C79" s="277"/>
      <c r="D79" s="277"/>
      <c r="E79" s="277"/>
      <c r="F79" s="277"/>
      <c r="G79" s="277"/>
      <c r="H79" s="277"/>
      <c r="I79" s="277"/>
      <c r="J79" s="277"/>
    </row>
    <row r="80" spans="1:12" x14ac:dyDescent="0.2">
      <c r="A80" s="285"/>
      <c r="B80" s="288" t="s">
        <v>114</v>
      </c>
      <c r="C80" s="277"/>
      <c r="D80" s="277"/>
      <c r="E80" s="277"/>
      <c r="F80" s="277"/>
      <c r="G80" s="277"/>
      <c r="H80" s="277"/>
      <c r="I80" s="277"/>
      <c r="J80" s="277"/>
    </row>
    <row r="81" spans="1:12" x14ac:dyDescent="0.2">
      <c r="A81" s="285"/>
      <c r="B81" s="288"/>
      <c r="C81" s="288" t="s">
        <v>115</v>
      </c>
      <c r="D81" s="277"/>
      <c r="E81" s="277"/>
      <c r="F81" s="277"/>
      <c r="G81" s="277"/>
      <c r="H81" s="277"/>
      <c r="I81" s="277"/>
      <c r="J81" s="277"/>
    </row>
    <row r="82" spans="1:12" x14ac:dyDescent="0.2">
      <c r="A82" s="285"/>
      <c r="B82" s="288"/>
      <c r="C82" s="277"/>
      <c r="D82" s="277"/>
      <c r="E82" s="277"/>
      <c r="F82" s="277"/>
      <c r="G82" s="277"/>
      <c r="H82" s="277"/>
      <c r="I82" s="277"/>
      <c r="J82" s="285" t="s">
        <v>116</v>
      </c>
    </row>
    <row r="83" spans="1:12" x14ac:dyDescent="0.2">
      <c r="A83" s="285"/>
      <c r="B83" s="277"/>
      <c r="C83" s="277"/>
      <c r="D83" s="277"/>
      <c r="E83" s="321" t="s">
        <v>117</v>
      </c>
      <c r="F83" s="322" t="s">
        <v>101</v>
      </c>
      <c r="G83" s="321" t="s">
        <v>118</v>
      </c>
      <c r="H83" s="321" t="s">
        <v>119</v>
      </c>
      <c r="I83" s="277"/>
      <c r="J83" s="321" t="s">
        <v>120</v>
      </c>
    </row>
    <row r="84" spans="1:12" x14ac:dyDescent="0.2">
      <c r="B84" s="323" t="s">
        <v>121</v>
      </c>
      <c r="C84" s="288" t="s">
        <v>122</v>
      </c>
      <c r="D84" s="277"/>
      <c r="E84" s="324">
        <v>9.8000000000000004E-2</v>
      </c>
      <c r="F84" s="277" t="s">
        <v>388</v>
      </c>
      <c r="G84" s="325" t="s">
        <v>162</v>
      </c>
      <c r="H84" s="326" t="s">
        <v>163</v>
      </c>
      <c r="I84" s="288"/>
      <c r="J84" s="327">
        <v>365</v>
      </c>
      <c r="K84" s="288"/>
      <c r="L84" s="288"/>
    </row>
    <row r="85" spans="1:12" x14ac:dyDescent="0.2">
      <c r="B85" s="323" t="s">
        <v>123</v>
      </c>
      <c r="C85" s="288" t="s">
        <v>124</v>
      </c>
      <c r="D85" s="277"/>
      <c r="E85" s="328">
        <v>9.8000000000000004E-2</v>
      </c>
      <c r="F85" s="329" t="s">
        <v>125</v>
      </c>
      <c r="G85" s="325" t="s">
        <v>126</v>
      </c>
      <c r="H85" s="326" t="s">
        <v>126</v>
      </c>
      <c r="I85" s="288"/>
      <c r="J85" s="327">
        <v>0</v>
      </c>
      <c r="K85" s="288"/>
      <c r="L85" s="288"/>
    </row>
    <row r="86" spans="1:12" x14ac:dyDescent="0.2">
      <c r="B86" s="323" t="s">
        <v>127</v>
      </c>
      <c r="C86" s="288"/>
      <c r="D86" s="277"/>
      <c r="E86" s="330"/>
      <c r="F86" s="329"/>
      <c r="G86" s="331"/>
      <c r="H86" s="331"/>
      <c r="I86" s="311" t="s">
        <v>128</v>
      </c>
      <c r="J86" s="288">
        <f>SUM(J84:J85)</f>
        <v>365</v>
      </c>
      <c r="K86" s="288"/>
      <c r="L86" s="288"/>
    </row>
    <row r="87" spans="1:12" x14ac:dyDescent="0.2">
      <c r="A87" s="277"/>
      <c r="B87" s="323" t="s">
        <v>129</v>
      </c>
      <c r="C87" s="288" t="s">
        <v>130</v>
      </c>
      <c r="D87" s="277"/>
      <c r="E87" s="324">
        <f>((E84*J84) + (E85* J85)) / J86</f>
        <v>9.8000000000000004E-2</v>
      </c>
      <c r="F87" s="288" t="s">
        <v>131</v>
      </c>
      <c r="G87" s="277"/>
      <c r="H87" s="288"/>
      <c r="I87" s="288"/>
      <c r="J87" s="288"/>
      <c r="K87" s="288"/>
      <c r="L87" s="288"/>
    </row>
    <row r="88" spans="1:12" x14ac:dyDescent="0.2">
      <c r="A88" s="285"/>
      <c r="B88" s="288"/>
      <c r="C88" s="277"/>
      <c r="D88" s="277"/>
      <c r="E88" s="277"/>
      <c r="F88" s="277"/>
      <c r="G88" s="277"/>
      <c r="H88" s="288"/>
      <c r="I88" s="288"/>
      <c r="J88" s="288"/>
      <c r="K88" s="288"/>
      <c r="L88" s="288"/>
    </row>
    <row r="89" spans="1:12" x14ac:dyDescent="0.2">
      <c r="A89" s="285"/>
      <c r="B89" s="288" t="s">
        <v>132</v>
      </c>
      <c r="C89" s="277"/>
      <c r="D89" s="277"/>
      <c r="E89" s="277"/>
      <c r="F89" s="277"/>
      <c r="G89" s="277"/>
      <c r="H89" s="288"/>
      <c r="I89" s="288"/>
      <c r="J89" s="288"/>
      <c r="K89" s="288"/>
      <c r="L89" s="288"/>
    </row>
    <row r="90" spans="1:12" x14ac:dyDescent="0.2">
      <c r="A90" s="285"/>
      <c r="B90" s="288"/>
      <c r="C90" s="277"/>
      <c r="D90" s="277"/>
      <c r="E90" s="322" t="s">
        <v>101</v>
      </c>
      <c r="F90" s="277"/>
      <c r="G90" s="277"/>
      <c r="H90" s="288"/>
      <c r="I90" s="288"/>
      <c r="J90" s="288"/>
      <c r="K90" s="288"/>
      <c r="L90" s="288"/>
    </row>
    <row r="91" spans="1:12" x14ac:dyDescent="0.2">
      <c r="A91" s="277"/>
      <c r="B91" s="323" t="s">
        <v>133</v>
      </c>
      <c r="C91" s="288" t="s">
        <v>134</v>
      </c>
      <c r="D91" s="277"/>
      <c r="E91" s="332" t="s">
        <v>135</v>
      </c>
      <c r="F91" s="332"/>
      <c r="G91" s="332"/>
      <c r="H91" s="327"/>
      <c r="I91" s="327"/>
      <c r="J91" s="327"/>
      <c r="K91" s="288"/>
      <c r="L91" s="288"/>
    </row>
    <row r="92" spans="1:12" x14ac:dyDescent="0.2">
      <c r="B92" s="323" t="s">
        <v>136</v>
      </c>
      <c r="C92" s="288" t="s">
        <v>137</v>
      </c>
      <c r="D92" s="277"/>
      <c r="E92" s="332" t="s">
        <v>135</v>
      </c>
      <c r="F92" s="332"/>
      <c r="G92" s="332"/>
      <c r="H92" s="327"/>
      <c r="I92" s="327"/>
      <c r="J92" s="327"/>
      <c r="K92" s="288"/>
      <c r="L92" s="288"/>
    </row>
    <row r="93" spans="1:12" x14ac:dyDescent="0.2">
      <c r="B93" s="277"/>
      <c r="C93" s="288"/>
      <c r="D93" s="277"/>
      <c r="E93" s="331"/>
      <c r="F93" s="277"/>
      <c r="G93" s="277"/>
      <c r="H93" s="277"/>
      <c r="I93" s="288"/>
      <c r="J93" s="288"/>
      <c r="K93" s="288"/>
      <c r="L93" s="288"/>
    </row>
    <row r="94" spans="1:12" x14ac:dyDescent="0.2">
      <c r="B94" s="277"/>
      <c r="C94" s="277"/>
      <c r="D94" s="277"/>
      <c r="E94" s="321" t="s">
        <v>117</v>
      </c>
      <c r="F94" s="322" t="s">
        <v>101</v>
      </c>
      <c r="G94" s="277"/>
      <c r="H94" s="288"/>
      <c r="I94" s="288"/>
      <c r="J94" s="277"/>
    </row>
    <row r="95" spans="1:12" x14ac:dyDescent="0.2">
      <c r="B95" s="323" t="s">
        <v>138</v>
      </c>
      <c r="C95" s="288" t="s">
        <v>139</v>
      </c>
      <c r="D95" s="288"/>
      <c r="E95" s="301">
        <v>2.3022562564127422E-2</v>
      </c>
      <c r="F95" s="277" t="s">
        <v>389</v>
      </c>
      <c r="G95" s="277"/>
      <c r="H95" s="288"/>
      <c r="I95" s="288"/>
      <c r="J95" s="277"/>
    </row>
    <row r="96" spans="1:12" x14ac:dyDescent="0.2">
      <c r="B96" s="323" t="s">
        <v>140</v>
      </c>
      <c r="C96" s="288" t="s">
        <v>141</v>
      </c>
      <c r="D96" s="277"/>
      <c r="E96" s="301">
        <v>4.7975125400429143E-3</v>
      </c>
      <c r="F96" s="277" t="s">
        <v>390</v>
      </c>
      <c r="G96" s="277"/>
      <c r="H96" s="288"/>
      <c r="I96" s="288"/>
      <c r="J96" s="277"/>
    </row>
    <row r="97" spans="1:10" x14ac:dyDescent="0.2">
      <c r="B97" s="323" t="s">
        <v>142</v>
      </c>
      <c r="C97" s="288" t="s">
        <v>143</v>
      </c>
      <c r="D97" s="277"/>
      <c r="E97" s="333">
        <v>4.6722103310691751E-2</v>
      </c>
      <c r="F97" s="277" t="s">
        <v>391</v>
      </c>
      <c r="G97" s="288"/>
      <c r="H97" s="288"/>
      <c r="I97" s="277"/>
      <c r="J97" s="277"/>
    </row>
    <row r="98" spans="1:10" x14ac:dyDescent="0.2">
      <c r="A98" s="277"/>
      <c r="B98" s="285" t="s">
        <v>144</v>
      </c>
      <c r="C98" s="290" t="s">
        <v>73</v>
      </c>
      <c r="D98" s="277"/>
      <c r="E98" s="299">
        <f>SUM(E95:E97)</f>
        <v>7.454217841486209E-2</v>
      </c>
      <c r="F98" s="287" t="str">
        <f>"Sum of Lines "&amp;B92&amp;" to "&amp;B96&amp;""</f>
        <v>Sum of Lines f to h</v>
      </c>
      <c r="G98" s="334"/>
      <c r="H98" s="277"/>
      <c r="I98" s="277"/>
      <c r="J98" s="335"/>
    </row>
    <row r="99" spans="1:10" x14ac:dyDescent="0.2">
      <c r="A99" s="285"/>
      <c r="B99" s="277"/>
      <c r="C99" s="56"/>
      <c r="D99" s="57"/>
      <c r="E99" s="287"/>
      <c r="F99" s="287"/>
      <c r="G99" s="334"/>
      <c r="H99" s="287"/>
      <c r="I99" s="277"/>
      <c r="J99" s="335"/>
    </row>
    <row r="100" spans="1:10" x14ac:dyDescent="0.2">
      <c r="A100" s="285"/>
      <c r="B100" s="288" t="s">
        <v>145</v>
      </c>
      <c r="C100" s="277"/>
      <c r="D100" s="277"/>
      <c r="E100" s="277"/>
      <c r="F100" s="277"/>
      <c r="G100" s="277"/>
      <c r="H100" s="277"/>
      <c r="I100" s="277"/>
      <c r="J100" s="277"/>
    </row>
    <row r="101" spans="1:10" x14ac:dyDescent="0.2">
      <c r="A101" s="285"/>
      <c r="B101" s="277"/>
      <c r="C101" s="277"/>
      <c r="D101" s="277"/>
      <c r="E101" s="277"/>
      <c r="F101" s="277"/>
      <c r="G101" s="277"/>
      <c r="H101" s="277"/>
      <c r="I101" s="277"/>
      <c r="J101" s="277"/>
    </row>
    <row r="102" spans="1:10" x14ac:dyDescent="0.2">
      <c r="A102" s="285"/>
      <c r="B102" s="277"/>
      <c r="C102" s="277"/>
      <c r="D102" s="277"/>
      <c r="E102" s="321" t="s">
        <v>117</v>
      </c>
      <c r="F102" s="322" t="s">
        <v>101</v>
      </c>
      <c r="G102" s="277"/>
      <c r="H102" s="277"/>
      <c r="I102" s="277"/>
      <c r="J102" s="277"/>
    </row>
    <row r="103" spans="1:10" x14ac:dyDescent="0.2">
      <c r="A103" s="277"/>
      <c r="B103" s="323" t="s">
        <v>146</v>
      </c>
      <c r="C103" s="277"/>
      <c r="D103" s="277"/>
      <c r="E103" s="301">
        <f>E96+E97</f>
        <v>5.1519615850734668E-2</v>
      </c>
      <c r="F103" s="287" t="str">
        <f>"Sum of Lines "&amp;B95&amp;" to "&amp;B96&amp;""</f>
        <v>Sum of Lines g to h</v>
      </c>
      <c r="G103" s="277"/>
      <c r="H103" s="277"/>
      <c r="I103" s="277"/>
      <c r="J103" s="277"/>
    </row>
    <row r="104" spans="1:10" x14ac:dyDescent="0.2">
      <c r="A104" s="285"/>
      <c r="B104" s="277"/>
      <c r="C104" s="277"/>
      <c r="D104" s="277"/>
      <c r="E104" s="301"/>
      <c r="F104" s="287"/>
      <c r="G104" s="277"/>
      <c r="H104" s="277"/>
      <c r="I104" s="277"/>
      <c r="J104" s="277"/>
    </row>
    <row r="105" spans="1:10" x14ac:dyDescent="0.2">
      <c r="A105" s="285"/>
      <c r="B105" s="286" t="s">
        <v>147</v>
      </c>
      <c r="C105" s="277"/>
      <c r="D105" s="277"/>
      <c r="E105" s="334"/>
      <c r="F105" s="334"/>
      <c r="G105" s="334"/>
      <c r="H105" s="287"/>
      <c r="I105" s="277"/>
      <c r="J105" s="277"/>
    </row>
    <row r="106" spans="1:10" x14ac:dyDescent="0.2">
      <c r="A106" s="285"/>
      <c r="B106" s="329" t="s">
        <v>148</v>
      </c>
      <c r="C106" s="277"/>
      <c r="D106" s="277"/>
      <c r="E106" s="277"/>
      <c r="F106" s="277"/>
      <c r="G106" s="277"/>
      <c r="H106" s="277"/>
      <c r="I106" s="277"/>
      <c r="J106" s="277"/>
    </row>
    <row r="107" spans="1:10" x14ac:dyDescent="0.2">
      <c r="A107" s="280"/>
      <c r="B107" s="329" t="s">
        <v>149</v>
      </c>
      <c r="C107" s="277"/>
      <c r="D107" s="285"/>
      <c r="E107" s="285"/>
      <c r="F107" s="285"/>
      <c r="G107" s="285"/>
      <c r="H107" s="285"/>
      <c r="I107" s="277"/>
      <c r="J107" s="277"/>
    </row>
    <row r="108" spans="1:10" x14ac:dyDescent="0.2">
      <c r="A108" s="280"/>
      <c r="B108" s="286" t="s">
        <v>150</v>
      </c>
      <c r="C108" s="277"/>
      <c r="D108" s="285"/>
      <c r="E108" s="285"/>
      <c r="F108" s="285"/>
      <c r="G108" s="285"/>
      <c r="H108" s="285"/>
      <c r="I108" s="277"/>
      <c r="J108" s="277"/>
    </row>
    <row r="109" spans="1:10" x14ac:dyDescent="0.2">
      <c r="A109" s="280"/>
      <c r="B109" s="277" t="s">
        <v>151</v>
      </c>
      <c r="C109" s="58"/>
      <c r="D109" s="58"/>
      <c r="E109" s="321"/>
      <c r="F109" s="321"/>
      <c r="G109" s="321"/>
      <c r="H109" s="321"/>
      <c r="I109" s="277"/>
      <c r="J109" s="277"/>
    </row>
    <row r="110" spans="1:10" x14ac:dyDescent="0.2">
      <c r="A110" s="280"/>
    </row>
    <row r="111" spans="1:10" x14ac:dyDescent="0.2">
      <c r="A111" s="280"/>
    </row>
    <row r="112" spans="1:10" x14ac:dyDescent="0.2">
      <c r="A112" s="280"/>
    </row>
    <row r="113" spans="1:10" x14ac:dyDescent="0.2">
      <c r="A113" s="280"/>
      <c r="C113" s="56"/>
      <c r="E113" s="287"/>
      <c r="F113" s="287"/>
      <c r="H113" s="336"/>
      <c r="J113" s="337"/>
    </row>
    <row r="114" spans="1:10" x14ac:dyDescent="0.2">
      <c r="A114" s="280"/>
      <c r="C114" s="56"/>
      <c r="E114" s="287"/>
      <c r="F114" s="287"/>
      <c r="H114" s="336"/>
      <c r="J114" s="337"/>
    </row>
    <row r="115" spans="1:10" x14ac:dyDescent="0.2">
      <c r="A115" s="281"/>
      <c r="C115" s="56"/>
      <c r="E115" s="287"/>
      <c r="F115" s="287"/>
      <c r="H115" s="336"/>
      <c r="J115" s="337"/>
    </row>
    <row r="116" spans="1:10" x14ac:dyDescent="0.2">
      <c r="A116" s="280"/>
      <c r="D116" s="59"/>
      <c r="E116" s="287"/>
      <c r="F116" s="287"/>
      <c r="G116" s="338"/>
      <c r="H116" s="336"/>
      <c r="J116" s="337"/>
    </row>
    <row r="117" spans="1:10" x14ac:dyDescent="0.2">
      <c r="A117" s="280"/>
      <c r="C117" s="56"/>
      <c r="D117" s="339"/>
      <c r="E117" s="340"/>
      <c r="F117" s="336"/>
      <c r="G117" s="338"/>
      <c r="H117" s="336"/>
      <c r="J117" s="337"/>
    </row>
    <row r="118" spans="1:10" x14ac:dyDescent="0.2">
      <c r="A118" s="280"/>
      <c r="C118" s="56"/>
      <c r="D118" s="339"/>
      <c r="E118" s="336"/>
      <c r="F118" s="336"/>
      <c r="G118" s="338"/>
      <c r="H118" s="336"/>
      <c r="J118" s="337"/>
    </row>
    <row r="119" spans="1:10" x14ac:dyDescent="0.2">
      <c r="A119" s="280"/>
    </row>
    <row r="120" spans="1:10" x14ac:dyDescent="0.2">
      <c r="A120" s="280"/>
      <c r="B120" s="276"/>
    </row>
    <row r="121" spans="1:10" x14ac:dyDescent="0.2">
      <c r="A121" s="280"/>
    </row>
    <row r="122" spans="1:10" x14ac:dyDescent="0.2">
      <c r="A122" s="280"/>
    </row>
    <row r="123" spans="1:10" x14ac:dyDescent="0.2">
      <c r="A123" s="280"/>
      <c r="F123" s="280"/>
    </row>
    <row r="124" spans="1:10" x14ac:dyDescent="0.2">
      <c r="A124" s="280"/>
      <c r="F124" s="280"/>
    </row>
    <row r="125" spans="1:10" x14ac:dyDescent="0.2">
      <c r="A125" s="280"/>
      <c r="D125" s="280"/>
      <c r="E125" s="280"/>
      <c r="F125" s="280"/>
      <c r="H125" s="280"/>
    </row>
    <row r="126" spans="1:10" x14ac:dyDescent="0.2">
      <c r="A126" s="280"/>
      <c r="D126" s="280"/>
      <c r="E126" s="280"/>
      <c r="F126" s="280"/>
      <c r="G126" s="280"/>
      <c r="H126" s="341"/>
    </row>
    <row r="127" spans="1:10" x14ac:dyDescent="0.2">
      <c r="A127" s="281"/>
      <c r="C127" s="60"/>
      <c r="D127" s="60"/>
      <c r="E127" s="284"/>
      <c r="F127" s="342"/>
      <c r="G127" s="284"/>
      <c r="H127" s="341"/>
    </row>
    <row r="128" spans="1:10" x14ac:dyDescent="0.2">
      <c r="A128" s="280"/>
      <c r="C128" s="61"/>
      <c r="D128" s="57"/>
      <c r="E128" s="287"/>
      <c r="F128" s="287"/>
      <c r="G128" s="324"/>
      <c r="H128" s="336"/>
    </row>
    <row r="129" spans="1:8" x14ac:dyDescent="0.2">
      <c r="A129" s="280"/>
      <c r="C129" s="56"/>
      <c r="D129" s="57"/>
      <c r="E129" s="287"/>
      <c r="F129" s="287"/>
      <c r="G129" s="324"/>
      <c r="H129" s="336"/>
    </row>
    <row r="130" spans="1:8" x14ac:dyDescent="0.2">
      <c r="A130" s="280"/>
      <c r="C130" s="56"/>
      <c r="D130" s="57"/>
      <c r="E130" s="287"/>
      <c r="F130" s="287"/>
      <c r="G130" s="324"/>
      <c r="H130" s="336"/>
    </row>
    <row r="131" spans="1:8" x14ac:dyDescent="0.2">
      <c r="A131" s="280"/>
      <c r="C131" s="61"/>
      <c r="D131" s="57"/>
      <c r="E131" s="287"/>
      <c r="F131" s="287"/>
      <c r="G131" s="324"/>
      <c r="H131" s="336"/>
    </row>
    <row r="132" spans="1:8" x14ac:dyDescent="0.2">
      <c r="A132" s="280"/>
      <c r="C132" s="56"/>
      <c r="D132" s="57"/>
      <c r="E132" s="287"/>
      <c r="F132" s="287"/>
      <c r="G132" s="324"/>
      <c r="H132" s="336"/>
    </row>
    <row r="133" spans="1:8" x14ac:dyDescent="0.2">
      <c r="A133" s="280"/>
      <c r="C133" s="56"/>
      <c r="D133" s="57"/>
      <c r="E133" s="287"/>
      <c r="F133" s="287"/>
      <c r="G133" s="324"/>
      <c r="H133" s="336"/>
    </row>
    <row r="134" spans="1:8" x14ac:dyDescent="0.2">
      <c r="A134" s="280"/>
      <c r="C134" s="61"/>
      <c r="D134" s="57"/>
      <c r="E134" s="287"/>
      <c r="F134" s="287"/>
      <c r="G134" s="324"/>
      <c r="H134" s="336"/>
    </row>
    <row r="135" spans="1:8" x14ac:dyDescent="0.2">
      <c r="A135" s="280"/>
      <c r="C135" s="56"/>
      <c r="D135" s="57"/>
      <c r="E135" s="287"/>
      <c r="F135" s="287"/>
      <c r="G135" s="324"/>
      <c r="H135" s="336"/>
    </row>
    <row r="136" spans="1:8" x14ac:dyDescent="0.2">
      <c r="A136" s="280"/>
      <c r="C136" s="56"/>
      <c r="D136" s="57"/>
      <c r="E136" s="287"/>
      <c r="F136" s="287"/>
      <c r="G136" s="324"/>
      <c r="H136" s="336"/>
    </row>
    <row r="137" spans="1:8" x14ac:dyDescent="0.2">
      <c r="A137" s="280"/>
      <c r="C137" s="61"/>
      <c r="D137" s="57"/>
      <c r="E137" s="287"/>
      <c r="F137" s="287"/>
      <c r="G137" s="324"/>
      <c r="H137" s="336"/>
    </row>
    <row r="138" spans="1:8" x14ac:dyDescent="0.2">
      <c r="A138" s="280"/>
      <c r="C138" s="61"/>
      <c r="D138" s="57"/>
      <c r="E138" s="287"/>
      <c r="F138" s="287"/>
      <c r="G138" s="324"/>
      <c r="H138" s="336"/>
    </row>
    <row r="139" spans="1:8" x14ac:dyDescent="0.2">
      <c r="A139" s="280"/>
      <c r="C139" s="56"/>
      <c r="D139" s="57"/>
      <c r="E139" s="287"/>
      <c r="F139" s="287"/>
      <c r="G139" s="324"/>
      <c r="H139" s="340"/>
    </row>
    <row r="140" spans="1:8" x14ac:dyDescent="0.2">
      <c r="A140" s="280"/>
      <c r="E140" s="277"/>
      <c r="F140" s="277"/>
      <c r="G140" s="277"/>
      <c r="H140" s="336"/>
    </row>
    <row r="141" spans="1:8" x14ac:dyDescent="0.2">
      <c r="A141" s="280"/>
      <c r="C141" s="56"/>
      <c r="D141" s="57"/>
      <c r="E141" s="277"/>
      <c r="F141" s="343"/>
      <c r="G141" s="324"/>
      <c r="H141" s="315"/>
    </row>
    <row r="142" spans="1:8" x14ac:dyDescent="0.2">
      <c r="A142" s="280"/>
      <c r="B142" s="276"/>
      <c r="C142" s="56"/>
      <c r="D142" s="57"/>
      <c r="E142" s="277"/>
      <c r="F142" s="343"/>
      <c r="G142" s="324"/>
      <c r="H142" s="315"/>
    </row>
    <row r="143" spans="1:8" x14ac:dyDescent="0.2">
      <c r="A143" s="281"/>
      <c r="B143" s="276"/>
      <c r="C143" s="56"/>
      <c r="D143" s="57"/>
      <c r="E143" s="277"/>
      <c r="F143" s="343"/>
      <c r="G143" s="324"/>
      <c r="H143" s="315"/>
    </row>
    <row r="144" spans="1:8" x14ac:dyDescent="0.2">
      <c r="A144" s="280"/>
      <c r="C144" s="56"/>
      <c r="D144" s="62"/>
      <c r="E144" s="287"/>
      <c r="F144" s="344"/>
      <c r="G144" s="324"/>
      <c r="H144" s="315"/>
    </row>
    <row r="145" spans="1:10" x14ac:dyDescent="0.2">
      <c r="A145" s="280"/>
      <c r="C145" s="56"/>
      <c r="D145" s="345"/>
      <c r="E145" s="287"/>
      <c r="F145" s="344"/>
      <c r="G145" s="324"/>
      <c r="H145" s="315"/>
    </row>
    <row r="146" spans="1:10" x14ac:dyDescent="0.2">
      <c r="A146" s="280"/>
      <c r="C146" s="56"/>
      <c r="D146" s="345"/>
      <c r="E146" s="340"/>
      <c r="F146" s="346"/>
      <c r="G146" s="324"/>
      <c r="H146" s="315"/>
    </row>
    <row r="147" spans="1:10" x14ac:dyDescent="0.2">
      <c r="A147" s="280"/>
      <c r="C147" s="56"/>
      <c r="D147" s="62"/>
      <c r="E147" s="336"/>
      <c r="F147" s="315"/>
      <c r="G147" s="324"/>
      <c r="H147" s="315"/>
    </row>
    <row r="148" spans="1:10" x14ac:dyDescent="0.2">
      <c r="A148" s="280"/>
      <c r="C148" s="56"/>
      <c r="D148" s="57"/>
      <c r="F148" s="315"/>
      <c r="G148" s="324"/>
      <c r="H148" s="315"/>
    </row>
    <row r="149" spans="1:10" x14ac:dyDescent="0.2">
      <c r="A149" s="280"/>
    </row>
    <row r="150" spans="1:10" x14ac:dyDescent="0.2">
      <c r="A150" s="280"/>
    </row>
    <row r="151" spans="1:10" x14ac:dyDescent="0.2">
      <c r="A151" s="280"/>
    </row>
    <row r="152" spans="1:10" x14ac:dyDescent="0.2">
      <c r="A152" s="280"/>
      <c r="B152" s="276"/>
    </row>
    <row r="153" spans="1:10" x14ac:dyDescent="0.2">
      <c r="A153" s="280"/>
      <c r="B153" s="338"/>
    </row>
    <row r="154" spans="1:10" x14ac:dyDescent="0.2">
      <c r="A154" s="280"/>
      <c r="B154" s="338"/>
    </row>
    <row r="155" spans="1:10" x14ac:dyDescent="0.2">
      <c r="A155" s="280"/>
      <c r="B155" s="338"/>
    </row>
    <row r="156" spans="1:10" x14ac:dyDescent="0.2">
      <c r="A156" s="280"/>
    </row>
    <row r="157" spans="1:10" x14ac:dyDescent="0.2">
      <c r="A157" s="280"/>
      <c r="B157" s="276"/>
    </row>
    <row r="158" spans="1:10" x14ac:dyDescent="0.2">
      <c r="A158" s="280"/>
    </row>
    <row r="159" spans="1:10" x14ac:dyDescent="0.2">
      <c r="A159" s="281"/>
      <c r="C159" s="60"/>
      <c r="D159" s="284"/>
      <c r="G159" s="277"/>
      <c r="H159" s="277"/>
      <c r="I159" s="277"/>
      <c r="J159" s="277"/>
    </row>
    <row r="160" spans="1:10" x14ac:dyDescent="0.2">
      <c r="A160" s="280"/>
      <c r="C160" s="61"/>
      <c r="D160" s="347"/>
      <c r="F160" s="348"/>
      <c r="G160" s="277"/>
      <c r="H160" s="277"/>
      <c r="I160" s="277"/>
      <c r="J160" s="277"/>
    </row>
    <row r="161" spans="1:10" x14ac:dyDescent="0.2">
      <c r="A161" s="280"/>
      <c r="C161" s="56"/>
      <c r="D161" s="347"/>
      <c r="F161" s="348"/>
      <c r="G161" s="277"/>
      <c r="H161" s="277"/>
      <c r="I161" s="277"/>
      <c r="J161" s="277"/>
    </row>
    <row r="162" spans="1:10" x14ac:dyDescent="0.2">
      <c r="A162" s="280"/>
      <c r="C162" s="56"/>
      <c r="D162" s="347"/>
      <c r="F162" s="348"/>
      <c r="G162" s="277"/>
      <c r="H162" s="277"/>
      <c r="I162" s="277"/>
      <c r="J162" s="277"/>
    </row>
    <row r="163" spans="1:10" x14ac:dyDescent="0.2">
      <c r="A163" s="280"/>
      <c r="C163" s="61"/>
      <c r="D163" s="347"/>
      <c r="F163" s="348"/>
      <c r="G163" s="277"/>
      <c r="H163" s="277"/>
      <c r="I163" s="277"/>
      <c r="J163" s="277"/>
    </row>
    <row r="164" spans="1:10" x14ac:dyDescent="0.2">
      <c r="A164" s="280"/>
      <c r="C164" s="56"/>
      <c r="D164" s="347"/>
      <c r="F164" s="348"/>
      <c r="G164" s="277"/>
      <c r="H164" s="277"/>
      <c r="I164" s="277"/>
      <c r="J164" s="277"/>
    </row>
    <row r="165" spans="1:10" x14ac:dyDescent="0.2">
      <c r="A165" s="280"/>
      <c r="C165" s="56"/>
      <c r="D165" s="347"/>
      <c r="F165" s="348"/>
      <c r="G165" s="277"/>
      <c r="H165" s="277"/>
      <c r="I165" s="277"/>
      <c r="J165" s="277"/>
    </row>
    <row r="166" spans="1:10" x14ac:dyDescent="0.2">
      <c r="A166" s="280"/>
      <c r="C166" s="61"/>
      <c r="D166" s="347"/>
      <c r="F166" s="348"/>
      <c r="G166" s="277"/>
      <c r="H166" s="277"/>
      <c r="I166" s="277"/>
      <c r="J166" s="277"/>
    </row>
    <row r="167" spans="1:10" x14ac:dyDescent="0.2">
      <c r="A167" s="280"/>
      <c r="C167" s="56"/>
      <c r="D167" s="347"/>
      <c r="F167" s="348"/>
      <c r="G167" s="277"/>
      <c r="H167" s="277"/>
      <c r="I167" s="277"/>
      <c r="J167" s="277"/>
    </row>
    <row r="168" spans="1:10" x14ac:dyDescent="0.2">
      <c r="A168" s="280"/>
      <c r="C168" s="56"/>
      <c r="D168" s="347"/>
      <c r="F168" s="348"/>
      <c r="G168" s="277"/>
      <c r="H168" s="277"/>
      <c r="I168" s="277"/>
      <c r="J168" s="277"/>
    </row>
    <row r="169" spans="1:10" x14ac:dyDescent="0.2">
      <c r="A169" s="280"/>
      <c r="C169" s="61"/>
      <c r="D169" s="347"/>
      <c r="F169" s="348"/>
      <c r="G169" s="277"/>
      <c r="H169" s="277"/>
      <c r="I169" s="277"/>
      <c r="J169" s="277"/>
    </row>
    <row r="170" spans="1:10" x14ac:dyDescent="0.2">
      <c r="A170" s="280"/>
      <c r="C170" s="61"/>
      <c r="D170" s="347"/>
      <c r="F170" s="348"/>
    </row>
    <row r="171" spans="1:10" x14ac:dyDescent="0.2">
      <c r="A171" s="280"/>
      <c r="C171" s="56"/>
      <c r="D171" s="349"/>
      <c r="F171" s="350"/>
    </row>
    <row r="172" spans="1:10" x14ac:dyDescent="0.2">
      <c r="A172" s="280"/>
      <c r="C172" s="59"/>
      <c r="D172" s="347"/>
    </row>
  </sheetData>
  <pageMargins left="0.75" right="0.75" top="1" bottom="1" header="0.5" footer="0.5"/>
  <pageSetup scale="80" orientation="landscape" cellComments="asDisplayed" r:id="rId1"/>
  <headerFooter alignWithMargins="0">
    <oddHeader>&amp;CSchedule 4
True Up TRR
(Revised 2013 True Up TRR)
&amp;RTO11 Annual Update
Attachment 4
WP-Schedule 3-One Time Adj True Up Adj
Page &amp;P of &amp;N</oddHeader>
    <oddFooter>&amp;R&amp;A</oddFooter>
  </headerFooter>
  <rowBreaks count="4" manualBreakCount="4">
    <brk id="46" max="9" man="1"/>
    <brk id="73" max="16383" man="1"/>
    <brk id="119" max="9" man="1"/>
    <brk id="1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CC"/>
  </sheetPr>
  <dimension ref="A1:X112"/>
  <sheetViews>
    <sheetView zoomScaleNormal="100" zoomScaleSheetLayoutView="9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351" t="s">
        <v>167</v>
      </c>
      <c r="F1" s="352" t="s">
        <v>164</v>
      </c>
      <c r="G1" s="332"/>
      <c r="H1" s="353"/>
      <c r="I1" s="353"/>
    </row>
    <row r="2" spans="1:24" x14ac:dyDescent="0.2">
      <c r="E2" s="342" t="s">
        <v>152</v>
      </c>
      <c r="F2" s="342" t="s">
        <v>153</v>
      </c>
      <c r="G2" s="342" t="s">
        <v>154</v>
      </c>
      <c r="H2" s="342" t="s">
        <v>155</v>
      </c>
      <c r="I2" s="353"/>
    </row>
    <row r="3" spans="1:24" x14ac:dyDescent="0.2">
      <c r="G3" s="353" t="s">
        <v>168</v>
      </c>
    </row>
    <row r="4" spans="1:24" x14ac:dyDescent="0.2">
      <c r="E4" s="280" t="s">
        <v>169</v>
      </c>
      <c r="F4" s="65" t="s">
        <v>165</v>
      </c>
      <c r="G4" s="280" t="s">
        <v>170</v>
      </c>
      <c r="I4" s="280"/>
    </row>
    <row r="5" spans="1:24" x14ac:dyDescent="0.2">
      <c r="A5" s="281" t="s">
        <v>42</v>
      </c>
      <c r="B5" s="284"/>
      <c r="C5" s="284" t="s">
        <v>171</v>
      </c>
      <c r="D5" s="284" t="s">
        <v>33</v>
      </c>
      <c r="E5" s="284" t="s">
        <v>34</v>
      </c>
      <c r="F5" s="60" t="s">
        <v>35</v>
      </c>
      <c r="G5" s="284" t="s">
        <v>172</v>
      </c>
      <c r="H5" s="284" t="s">
        <v>87</v>
      </c>
      <c r="I5" s="284" t="s">
        <v>45</v>
      </c>
      <c r="K5" s="284"/>
      <c r="L5" s="284"/>
      <c r="M5" s="284"/>
      <c r="N5" s="284"/>
      <c r="O5" s="284"/>
      <c r="P5" s="284"/>
      <c r="Q5" s="284"/>
      <c r="R5" s="284"/>
      <c r="S5" s="284"/>
      <c r="T5" s="284"/>
      <c r="U5" s="284"/>
      <c r="V5" s="284"/>
      <c r="W5" s="284"/>
      <c r="X5" s="284"/>
    </row>
    <row r="6" spans="1:24" x14ac:dyDescent="0.2">
      <c r="A6" s="280">
        <v>1</v>
      </c>
      <c r="C6" s="353">
        <v>920</v>
      </c>
      <c r="D6" t="s">
        <v>173</v>
      </c>
      <c r="E6" s="354">
        <v>521548033</v>
      </c>
      <c r="F6" s="353" t="s">
        <v>174</v>
      </c>
      <c r="G6" s="287">
        <f>D37</f>
        <v>136182047.58511403</v>
      </c>
      <c r="H6" s="336">
        <f t="shared" ref="H6:H19" si="0">E6-G6</f>
        <v>385365985.414886</v>
      </c>
      <c r="J6" s="338"/>
    </row>
    <row r="7" spans="1:24" x14ac:dyDescent="0.2">
      <c r="A7" s="280">
        <f>A6+1</f>
        <v>2</v>
      </c>
      <c r="C7" s="353">
        <v>921</v>
      </c>
      <c r="D7" t="s">
        <v>175</v>
      </c>
      <c r="E7" s="354">
        <v>152455978</v>
      </c>
      <c r="F7" s="353" t="s">
        <v>176</v>
      </c>
      <c r="G7" s="287">
        <f t="shared" ref="G7:G19" si="1">D38</f>
        <v>837749.97488595883</v>
      </c>
      <c r="H7" s="336">
        <f t="shared" si="0"/>
        <v>151618228.02511403</v>
      </c>
      <c r="J7" s="338"/>
    </row>
    <row r="8" spans="1:24" x14ac:dyDescent="0.2">
      <c r="A8" s="280">
        <f>A7+1</f>
        <v>3</v>
      </c>
      <c r="C8" s="353">
        <v>922</v>
      </c>
      <c r="D8" t="s">
        <v>177</v>
      </c>
      <c r="E8" s="354">
        <v>-123756875</v>
      </c>
      <c r="F8" s="353" t="s">
        <v>178</v>
      </c>
      <c r="G8" s="287">
        <f t="shared" si="1"/>
        <v>-37645896</v>
      </c>
      <c r="H8" s="336">
        <f t="shared" si="0"/>
        <v>-86110979</v>
      </c>
      <c r="I8" s="291" t="s">
        <v>179</v>
      </c>
      <c r="J8" s="338"/>
    </row>
    <row r="9" spans="1:24" x14ac:dyDescent="0.2">
      <c r="A9" s="280">
        <f t="shared" ref="A9:A20" si="2">A8+1</f>
        <v>4</v>
      </c>
      <c r="B9" s="280"/>
      <c r="C9" s="353">
        <v>923</v>
      </c>
      <c r="D9" t="s">
        <v>180</v>
      </c>
      <c r="E9" s="354">
        <v>69572362</v>
      </c>
      <c r="F9" s="353" t="s">
        <v>181</v>
      </c>
      <c r="G9" s="293">
        <f t="shared" si="1"/>
        <v>8226095.3800000027</v>
      </c>
      <c r="H9" s="293">
        <f t="shared" si="0"/>
        <v>61346266.619999997</v>
      </c>
      <c r="J9" s="338"/>
    </row>
    <row r="10" spans="1:24" x14ac:dyDescent="0.2">
      <c r="A10" s="280">
        <f t="shared" si="2"/>
        <v>5</v>
      </c>
      <c r="B10" s="280"/>
      <c r="C10" s="353">
        <v>924</v>
      </c>
      <c r="D10" t="s">
        <v>182</v>
      </c>
      <c r="E10" s="354">
        <v>21629921</v>
      </c>
      <c r="F10" s="353" t="s">
        <v>183</v>
      </c>
      <c r="G10" s="287">
        <f t="shared" si="1"/>
        <v>0</v>
      </c>
      <c r="H10" s="336">
        <f t="shared" si="0"/>
        <v>21629921</v>
      </c>
      <c r="J10" s="338"/>
    </row>
    <row r="11" spans="1:24" x14ac:dyDescent="0.2">
      <c r="A11" s="280">
        <f t="shared" si="2"/>
        <v>6</v>
      </c>
      <c r="B11" s="280"/>
      <c r="C11" s="353">
        <v>925</v>
      </c>
      <c r="D11" t="s">
        <v>184</v>
      </c>
      <c r="E11" s="354">
        <v>115243086</v>
      </c>
      <c r="F11" s="353" t="s">
        <v>185</v>
      </c>
      <c r="G11" s="287">
        <f t="shared" si="1"/>
        <v>211377.76</v>
      </c>
      <c r="H11" s="336">
        <f t="shared" si="0"/>
        <v>115031708.23999999</v>
      </c>
      <c r="J11" s="338"/>
    </row>
    <row r="12" spans="1:24" x14ac:dyDescent="0.2">
      <c r="A12" s="280">
        <f t="shared" si="2"/>
        <v>7</v>
      </c>
      <c r="B12" s="280"/>
      <c r="C12" s="353">
        <v>926</v>
      </c>
      <c r="D12" t="s">
        <v>186</v>
      </c>
      <c r="E12" s="354">
        <v>237122922</v>
      </c>
      <c r="F12" s="353" t="s">
        <v>187</v>
      </c>
      <c r="G12" s="293">
        <f t="shared" si="1"/>
        <v>66910617.034766808</v>
      </c>
      <c r="H12" s="293">
        <f t="shared" si="0"/>
        <v>170212304.96523321</v>
      </c>
      <c r="J12" s="338"/>
    </row>
    <row r="13" spans="1:24" x14ac:dyDescent="0.2">
      <c r="A13" s="280">
        <f t="shared" si="2"/>
        <v>8</v>
      </c>
      <c r="B13" s="280"/>
      <c r="C13" s="353">
        <v>927</v>
      </c>
      <c r="D13" t="s">
        <v>156</v>
      </c>
      <c r="E13" s="354">
        <v>107623671</v>
      </c>
      <c r="F13" s="353" t="s">
        <v>188</v>
      </c>
      <c r="G13" s="287">
        <f t="shared" si="1"/>
        <v>107623671</v>
      </c>
      <c r="H13" s="336">
        <f t="shared" si="0"/>
        <v>0</v>
      </c>
      <c r="J13" s="338"/>
    </row>
    <row r="14" spans="1:24" x14ac:dyDescent="0.2">
      <c r="A14" s="280">
        <f t="shared" si="2"/>
        <v>9</v>
      </c>
      <c r="B14" s="280"/>
      <c r="C14" s="353">
        <v>928</v>
      </c>
      <c r="D14" s="338" t="s">
        <v>189</v>
      </c>
      <c r="E14" s="354">
        <v>37629040</v>
      </c>
      <c r="F14" s="353" t="s">
        <v>190</v>
      </c>
      <c r="G14" s="293">
        <f t="shared" si="1"/>
        <v>34272932.310000002</v>
      </c>
      <c r="H14" s="293">
        <f t="shared" si="0"/>
        <v>3356107.6899999976</v>
      </c>
      <c r="J14" s="338"/>
    </row>
    <row r="15" spans="1:24" x14ac:dyDescent="0.2">
      <c r="A15" s="280">
        <f t="shared" si="2"/>
        <v>10</v>
      </c>
      <c r="B15" s="280"/>
      <c r="C15" s="353">
        <v>929</v>
      </c>
      <c r="D15" t="s">
        <v>191</v>
      </c>
      <c r="E15" s="354">
        <v>0</v>
      </c>
      <c r="F15" s="353" t="s">
        <v>192</v>
      </c>
      <c r="G15" s="287">
        <f t="shared" si="1"/>
        <v>0</v>
      </c>
      <c r="H15" s="336">
        <f t="shared" si="0"/>
        <v>0</v>
      </c>
      <c r="J15" s="338"/>
    </row>
    <row r="16" spans="1:24" x14ac:dyDescent="0.2">
      <c r="A16" s="280">
        <f t="shared" si="2"/>
        <v>11</v>
      </c>
      <c r="B16" s="280"/>
      <c r="C16" s="353">
        <v>930.1</v>
      </c>
      <c r="D16" t="s">
        <v>193</v>
      </c>
      <c r="E16" s="354">
        <v>328718</v>
      </c>
      <c r="F16" s="353" t="s">
        <v>194</v>
      </c>
      <c r="G16" s="287">
        <f t="shared" si="1"/>
        <v>223160.132088218</v>
      </c>
      <c r="H16" s="336">
        <f t="shared" si="0"/>
        <v>105557.867911782</v>
      </c>
      <c r="J16" s="338"/>
    </row>
    <row r="17" spans="1:11" x14ac:dyDescent="0.2">
      <c r="A17" s="280">
        <f t="shared" si="2"/>
        <v>12</v>
      </c>
      <c r="B17" s="280"/>
      <c r="C17" s="353">
        <v>930.2</v>
      </c>
      <c r="D17" t="s">
        <v>195</v>
      </c>
      <c r="E17" s="354">
        <v>9789109</v>
      </c>
      <c r="F17" s="353" t="s">
        <v>196</v>
      </c>
      <c r="G17" s="293">
        <f t="shared" si="1"/>
        <v>20972414.239999998</v>
      </c>
      <c r="H17" s="293">
        <f t="shared" si="0"/>
        <v>-11183305.239999998</v>
      </c>
      <c r="J17" s="338"/>
    </row>
    <row r="18" spans="1:11" x14ac:dyDescent="0.2">
      <c r="A18" s="280">
        <f t="shared" si="2"/>
        <v>13</v>
      </c>
      <c r="B18" s="280"/>
      <c r="C18" s="353">
        <v>931</v>
      </c>
      <c r="D18" t="s">
        <v>197</v>
      </c>
      <c r="E18" s="354">
        <v>22993277</v>
      </c>
      <c r="F18" s="353" t="s">
        <v>198</v>
      </c>
      <c r="G18" s="287">
        <f t="shared" si="1"/>
        <v>78140.61</v>
      </c>
      <c r="H18" s="336">
        <f t="shared" si="0"/>
        <v>22915136.390000001</v>
      </c>
      <c r="J18" s="338"/>
    </row>
    <row r="19" spans="1:11" x14ac:dyDescent="0.2">
      <c r="A19" s="280">
        <f t="shared" si="2"/>
        <v>14</v>
      </c>
      <c r="B19" s="280"/>
      <c r="C19" s="353">
        <v>935</v>
      </c>
      <c r="D19" t="s">
        <v>199</v>
      </c>
      <c r="E19" s="355">
        <v>18382085</v>
      </c>
      <c r="F19" s="353" t="s">
        <v>200</v>
      </c>
      <c r="G19" s="287">
        <f t="shared" si="1"/>
        <v>1635670</v>
      </c>
      <c r="H19" s="340">
        <f t="shared" si="0"/>
        <v>16746415</v>
      </c>
      <c r="J19" s="338"/>
    </row>
    <row r="20" spans="1:11" x14ac:dyDescent="0.2">
      <c r="A20" s="280">
        <f t="shared" si="2"/>
        <v>15</v>
      </c>
      <c r="E20" s="336">
        <f>SUM(E6:E19)</f>
        <v>1190561327</v>
      </c>
      <c r="G20" s="345" t="s">
        <v>201</v>
      </c>
      <c r="H20" s="300">
        <f>SUM(H6:H19)</f>
        <v>851033346.97314513</v>
      </c>
    </row>
    <row r="22" spans="1:11" x14ac:dyDescent="0.2">
      <c r="F22" s="284" t="s">
        <v>34</v>
      </c>
      <c r="G22" s="284" t="s">
        <v>35</v>
      </c>
    </row>
    <row r="23" spans="1:11" x14ac:dyDescent="0.2">
      <c r="A23" s="280">
        <f>A20+1</f>
        <v>16</v>
      </c>
      <c r="E23" s="311" t="s">
        <v>202</v>
      </c>
      <c r="F23" s="293">
        <f>H20</f>
        <v>851033346.97314513</v>
      </c>
      <c r="G23" s="290" t="str">
        <f>"Line "&amp;A20&amp;""</f>
        <v>Line 15</v>
      </c>
      <c r="H23" s="277"/>
      <c r="I23" s="277"/>
      <c r="J23" s="277"/>
      <c r="K23" s="277"/>
    </row>
    <row r="24" spans="1:11" x14ac:dyDescent="0.2">
      <c r="A24" s="280">
        <f t="shared" ref="A24:A30" si="3">A23+1</f>
        <v>17</v>
      </c>
      <c r="E24" s="311" t="s">
        <v>203</v>
      </c>
      <c r="F24" s="295">
        <f>E10</f>
        <v>21629921</v>
      </c>
      <c r="G24" s="290" t="str">
        <f>"Line "&amp;A10&amp;""</f>
        <v>Line 5</v>
      </c>
      <c r="H24" s="277"/>
      <c r="I24" s="277"/>
      <c r="J24" s="277"/>
      <c r="K24" s="277"/>
    </row>
    <row r="25" spans="1:11" x14ac:dyDescent="0.2">
      <c r="A25" s="280">
        <f t="shared" si="3"/>
        <v>18</v>
      </c>
      <c r="E25" s="311" t="s">
        <v>204</v>
      </c>
      <c r="F25" s="293">
        <f>F23-F24</f>
        <v>829403425.97314513</v>
      </c>
      <c r="G25" s="290" t="str">
        <f>"Line "&amp;A23&amp;" - Line "&amp;A24&amp;""</f>
        <v>Line 16 - Line 17</v>
      </c>
      <c r="H25" s="277"/>
      <c r="I25" s="277"/>
      <c r="J25" s="277"/>
      <c r="K25" s="277"/>
    </row>
    <row r="26" spans="1:11" x14ac:dyDescent="0.2">
      <c r="A26" s="280">
        <f t="shared" si="3"/>
        <v>19</v>
      </c>
      <c r="E26" s="316" t="s">
        <v>205</v>
      </c>
      <c r="F26" s="333">
        <v>4.2450573372571437E-2</v>
      </c>
      <c r="G26" s="290" t="s">
        <v>402</v>
      </c>
      <c r="H26" s="277"/>
      <c r="I26" s="277"/>
      <c r="J26" s="277"/>
      <c r="K26" s="277"/>
    </row>
    <row r="27" spans="1:11" x14ac:dyDescent="0.2">
      <c r="A27" s="280">
        <f t="shared" si="3"/>
        <v>20</v>
      </c>
      <c r="E27" s="311" t="s">
        <v>206</v>
      </c>
      <c r="F27" s="293">
        <f>F25*F26</f>
        <v>35208650.989735119</v>
      </c>
      <c r="G27" s="290" t="str">
        <f>"Line "&amp;A25&amp;" * Line "&amp;A26&amp;""</f>
        <v>Line 18 * Line 19</v>
      </c>
      <c r="H27" s="277"/>
      <c r="I27" s="277"/>
      <c r="J27" s="277"/>
      <c r="K27" s="277"/>
    </row>
    <row r="28" spans="1:11" x14ac:dyDescent="0.2">
      <c r="A28" s="280">
        <f t="shared" si="3"/>
        <v>21</v>
      </c>
      <c r="E28" s="311" t="s">
        <v>207</v>
      </c>
      <c r="F28" s="301">
        <v>0.16535211833830871</v>
      </c>
      <c r="G28" s="291" t="s">
        <v>403</v>
      </c>
      <c r="H28" s="277"/>
      <c r="I28" s="277"/>
      <c r="J28" s="277"/>
      <c r="K28" s="277"/>
    </row>
    <row r="29" spans="1:11" x14ac:dyDescent="0.2">
      <c r="A29" s="280">
        <f t="shared" si="3"/>
        <v>22</v>
      </c>
      <c r="E29" s="311" t="s">
        <v>208</v>
      </c>
      <c r="F29" s="295">
        <f>H10*F28</f>
        <v>3576553.2568402686</v>
      </c>
      <c r="G29" s="290" t="str">
        <f>"Line "&amp;A10&amp;" Col 4 * Line "&amp;A28&amp;""</f>
        <v>Line 5 Col 4 * Line 21</v>
      </c>
      <c r="H29" s="277"/>
      <c r="I29" s="277"/>
      <c r="J29" s="277"/>
      <c r="K29" s="277"/>
    </row>
    <row r="30" spans="1:11" x14ac:dyDescent="0.2">
      <c r="A30" s="280">
        <f t="shared" si="3"/>
        <v>23</v>
      </c>
      <c r="E30" s="311" t="s">
        <v>209</v>
      </c>
      <c r="F30" s="300">
        <f>F27+F29</f>
        <v>38785204.246575385</v>
      </c>
      <c r="G30" s="290" t="str">
        <f>"Line "&amp;A27&amp;" + Line "&amp;A29&amp;""</f>
        <v>Line 20 + Line 22</v>
      </c>
      <c r="H30" s="277"/>
      <c r="I30" s="277"/>
      <c r="J30" s="277"/>
      <c r="K30" s="277"/>
    </row>
    <row r="31" spans="1:11" x14ac:dyDescent="0.2">
      <c r="E31" s="277"/>
      <c r="F31" s="277"/>
      <c r="G31" s="277"/>
      <c r="H31" s="277"/>
      <c r="I31" s="277"/>
      <c r="J31" s="277"/>
      <c r="K31" s="277"/>
    </row>
    <row r="32" spans="1:11" x14ac:dyDescent="0.2">
      <c r="B32" s="276" t="s">
        <v>210</v>
      </c>
      <c r="E32" s="356" t="s">
        <v>152</v>
      </c>
      <c r="F32" s="356" t="s">
        <v>153</v>
      </c>
      <c r="G32" s="356" t="s">
        <v>154</v>
      </c>
      <c r="H32" s="356" t="s">
        <v>155</v>
      </c>
      <c r="I32" s="277"/>
      <c r="J32" s="277"/>
      <c r="K32" s="277"/>
    </row>
    <row r="33" spans="1:11" x14ac:dyDescent="0.2">
      <c r="B33" s="276"/>
      <c r="E33" s="285" t="s">
        <v>211</v>
      </c>
      <c r="F33" s="356"/>
      <c r="G33" s="356"/>
      <c r="H33" s="356"/>
      <c r="I33" s="277"/>
      <c r="J33" s="277"/>
      <c r="K33" s="277"/>
    </row>
    <row r="34" spans="1:11" x14ac:dyDescent="0.2">
      <c r="E34" s="285" t="s">
        <v>212</v>
      </c>
      <c r="F34" s="277"/>
      <c r="G34" s="277"/>
      <c r="H34" s="277"/>
      <c r="I34" s="277"/>
      <c r="J34" s="277"/>
      <c r="K34" s="277"/>
    </row>
    <row r="35" spans="1:11" x14ac:dyDescent="0.2">
      <c r="D35" s="280" t="s">
        <v>213</v>
      </c>
      <c r="E35" s="285" t="s">
        <v>214</v>
      </c>
      <c r="F35" s="285" t="s">
        <v>215</v>
      </c>
      <c r="G35" s="285"/>
      <c r="H35" s="285"/>
      <c r="I35" s="277"/>
      <c r="J35" s="277"/>
      <c r="K35" s="277"/>
    </row>
    <row r="36" spans="1:11" x14ac:dyDescent="0.2">
      <c r="C36" s="284" t="s">
        <v>171</v>
      </c>
      <c r="D36" s="342" t="s">
        <v>216</v>
      </c>
      <c r="E36" s="321" t="s">
        <v>217</v>
      </c>
      <c r="F36" s="321" t="s">
        <v>218</v>
      </c>
      <c r="G36" s="321" t="s">
        <v>219</v>
      </c>
      <c r="H36" s="321" t="s">
        <v>220</v>
      </c>
      <c r="I36" s="321" t="s">
        <v>45</v>
      </c>
      <c r="J36" s="277"/>
      <c r="K36" s="277"/>
    </row>
    <row r="37" spans="1:11" x14ac:dyDescent="0.2">
      <c r="A37" s="280">
        <f>A30+1</f>
        <v>24</v>
      </c>
      <c r="C37" s="353">
        <v>920</v>
      </c>
      <c r="D37" s="357">
        <f>SUM(E37:H37)</f>
        <v>136182047.58511403</v>
      </c>
      <c r="E37" s="358">
        <v>16475769.585114043</v>
      </c>
      <c r="F37" s="359"/>
      <c r="G37" s="287">
        <f>G58</f>
        <v>119706278</v>
      </c>
      <c r="H37" s="359"/>
      <c r="I37" s="290" t="s">
        <v>221</v>
      </c>
      <c r="J37" s="277"/>
    </row>
    <row r="38" spans="1:11" x14ac:dyDescent="0.2">
      <c r="A38" s="280">
        <f>A37+1</f>
        <v>25</v>
      </c>
      <c r="C38" s="353">
        <v>921</v>
      </c>
      <c r="D38" s="357">
        <f t="shared" ref="D38:D50" si="4">SUM(E38:H38)</f>
        <v>837749.97488595883</v>
      </c>
      <c r="E38" s="358">
        <v>837749.97488595883</v>
      </c>
      <c r="F38" s="359"/>
      <c r="G38" s="359">
        <v>0</v>
      </c>
      <c r="H38" s="359"/>
      <c r="I38" s="282"/>
    </row>
    <row r="39" spans="1:11" ht="13.5" thickBot="1" x14ac:dyDescent="0.25">
      <c r="A39" s="280">
        <f t="shared" ref="A39:A50" si="5">A38+1</f>
        <v>26</v>
      </c>
      <c r="C39" s="353">
        <v>922</v>
      </c>
      <c r="D39" s="357">
        <f t="shared" si="4"/>
        <v>-37645896</v>
      </c>
      <c r="E39" s="358">
        <v>-6451726</v>
      </c>
      <c r="F39" s="359"/>
      <c r="G39" s="63">
        <v>-31194170</v>
      </c>
      <c r="H39" s="359"/>
      <c r="I39" s="282"/>
    </row>
    <row r="40" spans="1:11" ht="13.5" thickBot="1" x14ac:dyDescent="0.25">
      <c r="A40" s="280">
        <f t="shared" si="5"/>
        <v>27</v>
      </c>
      <c r="C40" s="353">
        <v>923</v>
      </c>
      <c r="D40" s="360">
        <f t="shared" si="4"/>
        <v>8226095.3800000027</v>
      </c>
      <c r="E40" s="361">
        <v>8226095.3800000027</v>
      </c>
      <c r="F40" s="359"/>
      <c r="G40" s="359">
        <v>0</v>
      </c>
      <c r="H40" s="359"/>
      <c r="I40" s="282"/>
      <c r="J40" s="284"/>
      <c r="K40" s="284"/>
    </row>
    <row r="41" spans="1:11" x14ac:dyDescent="0.2">
      <c r="A41" s="280">
        <f t="shared" si="5"/>
        <v>28</v>
      </c>
      <c r="C41" s="353">
        <v>924</v>
      </c>
      <c r="D41" s="357">
        <f t="shared" si="4"/>
        <v>0</v>
      </c>
      <c r="E41" s="358">
        <v>0</v>
      </c>
      <c r="F41" s="359"/>
      <c r="G41" s="359">
        <v>0</v>
      </c>
      <c r="H41" s="359"/>
      <c r="I41" s="282"/>
      <c r="K41" s="336"/>
    </row>
    <row r="42" spans="1:11" ht="13.5" thickBot="1" x14ac:dyDescent="0.25">
      <c r="A42" s="280">
        <f t="shared" si="5"/>
        <v>29</v>
      </c>
      <c r="C42" s="353">
        <v>925</v>
      </c>
      <c r="D42" s="357">
        <f t="shared" si="4"/>
        <v>211377.76</v>
      </c>
      <c r="E42" s="358">
        <v>211377.76</v>
      </c>
      <c r="F42" s="359"/>
      <c r="G42" s="359">
        <v>0</v>
      </c>
      <c r="H42" s="359"/>
      <c r="I42" s="362"/>
      <c r="K42" s="336"/>
    </row>
    <row r="43" spans="1:11" ht="13.5" thickBot="1" x14ac:dyDescent="0.25">
      <c r="A43" s="280">
        <f t="shared" si="5"/>
        <v>30</v>
      </c>
      <c r="C43" s="353">
        <v>926</v>
      </c>
      <c r="D43" s="360">
        <f>SUM(E43:H43)</f>
        <v>66910617.034766808</v>
      </c>
      <c r="E43" s="361">
        <v>26601707.034766808</v>
      </c>
      <c r="F43" s="359"/>
      <c r="G43" s="359">
        <v>0</v>
      </c>
      <c r="H43" s="287">
        <f>E70</f>
        <v>40308910</v>
      </c>
      <c r="I43" s="362" t="s">
        <v>157</v>
      </c>
      <c r="K43" s="336"/>
    </row>
    <row r="44" spans="1:11" ht="13.5" thickBot="1" x14ac:dyDescent="0.25">
      <c r="A44" s="280">
        <f t="shared" si="5"/>
        <v>31</v>
      </c>
      <c r="C44" s="353">
        <v>927</v>
      </c>
      <c r="D44" s="357">
        <f t="shared" si="4"/>
        <v>107623671</v>
      </c>
      <c r="E44" s="287" t="s">
        <v>126</v>
      </c>
      <c r="F44" s="363">
        <f>E13</f>
        <v>107623671</v>
      </c>
      <c r="G44" s="287">
        <v>0</v>
      </c>
      <c r="H44" s="287">
        <v>0</v>
      </c>
      <c r="I44" s="282" t="s">
        <v>222</v>
      </c>
      <c r="K44" s="336"/>
    </row>
    <row r="45" spans="1:11" ht="13.5" thickBot="1" x14ac:dyDescent="0.25">
      <c r="A45" s="280">
        <f t="shared" si="5"/>
        <v>32</v>
      </c>
      <c r="C45" s="353">
        <v>928</v>
      </c>
      <c r="D45" s="364">
        <f t="shared" si="4"/>
        <v>34272932.310000002</v>
      </c>
      <c r="E45" s="365">
        <v>34272932.310000002</v>
      </c>
      <c r="F45" s="359"/>
      <c r="G45" s="359">
        <v>0</v>
      </c>
      <c r="H45" s="359"/>
      <c r="I45" s="282"/>
      <c r="K45" s="336"/>
    </row>
    <row r="46" spans="1:11" x14ac:dyDescent="0.2">
      <c r="A46" s="280">
        <f t="shared" si="5"/>
        <v>33</v>
      </c>
      <c r="C46" s="353">
        <v>929</v>
      </c>
      <c r="D46" s="357">
        <f t="shared" si="4"/>
        <v>0</v>
      </c>
      <c r="E46" s="358">
        <v>0</v>
      </c>
      <c r="F46" s="359"/>
      <c r="G46" s="359">
        <v>0</v>
      </c>
      <c r="H46" s="359"/>
      <c r="I46" s="282"/>
      <c r="K46" s="336"/>
    </row>
    <row r="47" spans="1:11" ht="13.5" thickBot="1" x14ac:dyDescent="0.25">
      <c r="A47" s="280">
        <f t="shared" si="5"/>
        <v>34</v>
      </c>
      <c r="C47" s="353">
        <v>930.1</v>
      </c>
      <c r="D47" s="357">
        <f t="shared" si="4"/>
        <v>223160.132088218</v>
      </c>
      <c r="E47" s="358">
        <v>223160.132088218</v>
      </c>
      <c r="F47" s="359"/>
      <c r="G47" s="359">
        <v>0</v>
      </c>
      <c r="H47" s="359"/>
      <c r="I47" s="282"/>
      <c r="K47" s="336"/>
    </row>
    <row r="48" spans="1:11" ht="13.5" thickBot="1" x14ac:dyDescent="0.25">
      <c r="A48" s="280">
        <f t="shared" si="5"/>
        <v>35</v>
      </c>
      <c r="C48" s="353">
        <v>930.2</v>
      </c>
      <c r="D48" s="360">
        <f t="shared" si="4"/>
        <v>20972414.239999998</v>
      </c>
      <c r="E48" s="361">
        <v>20972414.239999998</v>
      </c>
      <c r="F48" s="359"/>
      <c r="G48" s="359">
        <v>0</v>
      </c>
      <c r="H48" s="359"/>
      <c r="I48" s="282"/>
      <c r="J48" s="366"/>
    </row>
    <row r="49" spans="1:10" x14ac:dyDescent="0.2">
      <c r="A49" s="280">
        <f t="shared" si="5"/>
        <v>36</v>
      </c>
      <c r="C49" s="353">
        <v>931</v>
      </c>
      <c r="D49" s="357">
        <f t="shared" si="4"/>
        <v>78140.61</v>
      </c>
      <c r="E49" s="358">
        <v>78140.61</v>
      </c>
      <c r="F49" s="359"/>
      <c r="G49" s="359">
        <v>0</v>
      </c>
      <c r="H49" s="359"/>
      <c r="I49" s="282"/>
      <c r="J49" s="336"/>
    </row>
    <row r="50" spans="1:10" x14ac:dyDescent="0.2">
      <c r="A50" s="280">
        <f t="shared" si="5"/>
        <v>37</v>
      </c>
      <c r="C50" s="353">
        <v>935</v>
      </c>
      <c r="D50" s="357">
        <f t="shared" si="4"/>
        <v>1635670</v>
      </c>
      <c r="E50" s="358">
        <v>1635670</v>
      </c>
      <c r="F50" s="359"/>
      <c r="G50" s="359">
        <v>0</v>
      </c>
      <c r="H50" s="359"/>
      <c r="I50" s="282"/>
    </row>
    <row r="51" spans="1:10" x14ac:dyDescent="0.2">
      <c r="B51" s="297" t="s">
        <v>223</v>
      </c>
      <c r="C51" s="277"/>
      <c r="D51" s="277"/>
      <c r="E51" s="277"/>
      <c r="F51" s="277"/>
      <c r="G51" s="277"/>
      <c r="H51" s="277"/>
    </row>
    <row r="52" spans="1:10" x14ac:dyDescent="0.2">
      <c r="B52" s="297"/>
      <c r="C52" s="277" t="s">
        <v>224</v>
      </c>
      <c r="D52" s="277"/>
      <c r="E52" s="277"/>
      <c r="F52" s="277"/>
      <c r="G52" s="277"/>
      <c r="H52" s="277"/>
    </row>
    <row r="53" spans="1:10" x14ac:dyDescent="0.2">
      <c r="B53" s="297"/>
      <c r="C53" s="288" t="s">
        <v>225</v>
      </c>
      <c r="D53" s="277"/>
      <c r="E53" s="277"/>
      <c r="F53" s="277"/>
      <c r="G53" s="285"/>
      <c r="H53" s="285"/>
    </row>
    <row r="54" spans="1:10" x14ac:dyDescent="0.2">
      <c r="B54" s="297"/>
      <c r="C54" s="64" t="s">
        <v>226</v>
      </c>
      <c r="D54" s="55"/>
      <c r="E54" s="55"/>
      <c r="F54" s="277"/>
      <c r="G54" s="285"/>
      <c r="H54" s="285"/>
    </row>
    <row r="55" spans="1:10" x14ac:dyDescent="0.2">
      <c r="B55" s="297"/>
      <c r="C55" s="277"/>
      <c r="D55" s="277"/>
      <c r="E55" s="277"/>
      <c r="F55" s="277"/>
      <c r="G55" s="321" t="s">
        <v>34</v>
      </c>
      <c r="H55" s="321" t="s">
        <v>35</v>
      </c>
    </row>
    <row r="56" spans="1:10" x14ac:dyDescent="0.2">
      <c r="A56" s="280"/>
      <c r="B56" s="280" t="s">
        <v>121</v>
      </c>
      <c r="E56" s="277"/>
      <c r="F56" s="311" t="s">
        <v>227</v>
      </c>
      <c r="G56" s="358">
        <v>157546315</v>
      </c>
      <c r="H56" s="290" t="s">
        <v>228</v>
      </c>
    </row>
    <row r="57" spans="1:10" x14ac:dyDescent="0.2">
      <c r="A57" s="280"/>
      <c r="B57" s="280" t="s">
        <v>123</v>
      </c>
      <c r="C57" s="338"/>
      <c r="E57" s="277"/>
      <c r="F57" s="311" t="s">
        <v>229</v>
      </c>
      <c r="G57" s="295">
        <f>E61</f>
        <v>37840037</v>
      </c>
      <c r="H57" s="362" t="str">
        <f>"Note 2, "&amp;B61&amp;""</f>
        <v>Note 2, d</v>
      </c>
    </row>
    <row r="58" spans="1:10" x14ac:dyDescent="0.2">
      <c r="A58" s="280"/>
      <c r="B58" s="280" t="s">
        <v>127</v>
      </c>
      <c r="F58" s="339" t="s">
        <v>230</v>
      </c>
      <c r="G58" s="336">
        <f>G56-G57</f>
        <v>119706278</v>
      </c>
    </row>
    <row r="59" spans="1:10" x14ac:dyDescent="0.2">
      <c r="A59" s="280"/>
      <c r="C59" s="64" t="s">
        <v>231</v>
      </c>
      <c r="D59" s="55"/>
      <c r="E59" s="55"/>
      <c r="G59" s="336"/>
    </row>
    <row r="60" spans="1:10" x14ac:dyDescent="0.2">
      <c r="A60" s="280"/>
      <c r="D60" s="283" t="s">
        <v>232</v>
      </c>
      <c r="E60" s="284" t="s">
        <v>34</v>
      </c>
      <c r="F60" s="367" t="s">
        <v>35</v>
      </c>
      <c r="G60" s="336"/>
    </row>
    <row r="61" spans="1:10" x14ac:dyDescent="0.2">
      <c r="A61" s="280"/>
      <c r="B61" s="280" t="s">
        <v>129</v>
      </c>
      <c r="D61" t="s">
        <v>233</v>
      </c>
      <c r="E61" s="63">
        <v>37840037</v>
      </c>
      <c r="F61" s="290" t="s">
        <v>234</v>
      </c>
      <c r="G61" s="287"/>
      <c r="I61" s="277"/>
    </row>
    <row r="62" spans="1:10" x14ac:dyDescent="0.2">
      <c r="A62" s="280"/>
      <c r="B62" s="285" t="s">
        <v>133</v>
      </c>
      <c r="C62" s="277"/>
      <c r="D62" s="288" t="s">
        <v>235</v>
      </c>
      <c r="E62" s="63">
        <v>22588839</v>
      </c>
      <c r="F62" s="290" t="s">
        <v>234</v>
      </c>
      <c r="G62" s="287"/>
      <c r="I62" s="69"/>
    </row>
    <row r="63" spans="1:10" x14ac:dyDescent="0.2">
      <c r="A63" s="280"/>
      <c r="B63" s="285" t="s">
        <v>136</v>
      </c>
      <c r="C63" s="277"/>
      <c r="D63" s="288" t="s">
        <v>236</v>
      </c>
      <c r="E63" s="70">
        <v>37430198</v>
      </c>
      <c r="F63" s="290" t="s">
        <v>234</v>
      </c>
      <c r="G63" s="287"/>
      <c r="I63" s="287"/>
    </row>
    <row r="64" spans="1:10" x14ac:dyDescent="0.2">
      <c r="A64" s="280"/>
      <c r="B64" s="285" t="s">
        <v>138</v>
      </c>
      <c r="C64" s="277"/>
      <c r="D64" s="311" t="s">
        <v>166</v>
      </c>
      <c r="E64" s="336">
        <f>SUM(E61:E63)</f>
        <v>97859074</v>
      </c>
      <c r="F64" s="290" t="str">
        <f>"Sum of "&amp;B61&amp;" to "&amp;B63&amp;""</f>
        <v>Sum of d to f</v>
      </c>
      <c r="G64" s="287"/>
      <c r="I64" s="277"/>
    </row>
    <row r="65" spans="1:10" x14ac:dyDescent="0.2">
      <c r="F65" s="277"/>
      <c r="G65" s="277"/>
    </row>
    <row r="66" spans="1:10" x14ac:dyDescent="0.2">
      <c r="B66" s="368" t="s">
        <v>237</v>
      </c>
      <c r="C66" s="369"/>
      <c r="D66" s="369"/>
      <c r="E66" s="369"/>
      <c r="F66" s="306"/>
      <c r="G66" s="306"/>
    </row>
    <row r="67" spans="1:10" x14ac:dyDescent="0.2">
      <c r="B67" s="369"/>
      <c r="C67" s="369"/>
      <c r="D67" s="369"/>
      <c r="E67" s="367" t="s">
        <v>34</v>
      </c>
      <c r="F67" s="370" t="s">
        <v>238</v>
      </c>
      <c r="G67" s="306"/>
    </row>
    <row r="68" spans="1:10" x14ac:dyDescent="0.2">
      <c r="A68" s="280"/>
      <c r="B68" s="371" t="s">
        <v>121</v>
      </c>
      <c r="C68" s="369"/>
      <c r="D68" s="372" t="s">
        <v>239</v>
      </c>
      <c r="E68" s="373">
        <v>-7105091</v>
      </c>
      <c r="F68" s="374" t="s">
        <v>240</v>
      </c>
      <c r="G68" s="306"/>
    </row>
    <row r="69" spans="1:10" x14ac:dyDescent="0.2">
      <c r="A69" s="280"/>
      <c r="B69" s="371" t="s">
        <v>123</v>
      </c>
      <c r="C69" s="369"/>
      <c r="D69" s="372" t="s">
        <v>241</v>
      </c>
      <c r="E69" s="375">
        <v>33203819</v>
      </c>
      <c r="F69" s="374" t="s">
        <v>228</v>
      </c>
      <c r="G69" s="306"/>
    </row>
    <row r="70" spans="1:10" x14ac:dyDescent="0.2">
      <c r="A70" s="280"/>
      <c r="B70" s="371" t="s">
        <v>127</v>
      </c>
      <c r="C70" s="369"/>
      <c r="D70" s="372" t="s">
        <v>242</v>
      </c>
      <c r="E70" s="376">
        <f>E69-E68</f>
        <v>40308910</v>
      </c>
      <c r="F70" s="377" t="str">
        <f>""&amp;B69&amp;" - "&amp;B68&amp;""</f>
        <v>b - a</v>
      </c>
      <c r="G70" s="369"/>
    </row>
    <row r="71" spans="1:10" x14ac:dyDescent="0.2">
      <c r="A71" s="280"/>
      <c r="B71" s="276" t="s">
        <v>243</v>
      </c>
      <c r="D71" s="339"/>
      <c r="E71" s="378"/>
      <c r="F71" s="362"/>
    </row>
    <row r="72" spans="1:10" x14ac:dyDescent="0.2">
      <c r="A72" s="280"/>
      <c r="B72" s="276"/>
      <c r="C72" t="str">
        <f>"Amount in Line "&amp;A44&amp;", column 2 equals amount in Line "&amp;A13&amp;", column 1 because all Franchise Requirements Expenses are excluded"</f>
        <v>Amount in Line 31, column 2 equals amount in Line 8, column 1 because all Franchise Requirements Expenses are excluded</v>
      </c>
      <c r="D72" s="339"/>
      <c r="E72" s="378"/>
      <c r="F72" s="362"/>
    </row>
    <row r="73" spans="1:10" x14ac:dyDescent="0.2">
      <c r="A73" s="280"/>
      <c r="B73" s="276"/>
      <c r="C73" s="338" t="s">
        <v>244</v>
      </c>
      <c r="D73" s="339"/>
      <c r="E73" s="378"/>
      <c r="F73" s="362"/>
    </row>
    <row r="75" spans="1:10" x14ac:dyDescent="0.2">
      <c r="B75" s="276" t="s">
        <v>109</v>
      </c>
    </row>
    <row r="76" spans="1:10" x14ac:dyDescent="0.2">
      <c r="C76" s="288" t="str">
        <f>"1) Enter amounts of A&amp;G expenses from FERC Form 1 in Lines "&amp;A6&amp;" to "&amp;A19&amp;"."</f>
        <v>1) Enter amounts of A&amp;G expenses from FERC Form 1 in Lines 1 to 14.</v>
      </c>
      <c r="D76" s="277"/>
      <c r="E76" s="277"/>
      <c r="F76" s="277"/>
      <c r="G76" s="277"/>
      <c r="H76" s="277"/>
      <c r="I76" s="277"/>
      <c r="J76" s="277"/>
    </row>
    <row r="77" spans="1:10" x14ac:dyDescent="0.2">
      <c r="C77" s="288" t="s">
        <v>245</v>
      </c>
      <c r="D77" s="277"/>
      <c r="E77" s="277"/>
      <c r="F77" s="277"/>
      <c r="G77" s="277" t="str">
        <f>"Column 3, Line "&amp;A37&amp;""</f>
        <v>Column 3, Line 24</v>
      </c>
      <c r="H77" s="277"/>
      <c r="I77" s="277"/>
      <c r="J77" s="277"/>
    </row>
    <row r="78" spans="1:10" x14ac:dyDescent="0.2">
      <c r="C78" s="290" t="str">
        <f>"is calculated in Note 2.  The PBOPs exclusion in Column 4, Line "&amp;A43&amp;" is calculated in Note 3."</f>
        <v>is calculated in Note 2.  The PBOPs exclusion in Column 4, Line 30 is calculated in Note 3.</v>
      </c>
      <c r="D78" s="277"/>
      <c r="E78" s="277"/>
      <c r="F78" s="277"/>
      <c r="G78" s="288"/>
      <c r="H78" s="277"/>
      <c r="I78" s="277"/>
      <c r="J78" s="277"/>
    </row>
    <row r="79" spans="1:10" x14ac:dyDescent="0.2">
      <c r="C79" s="290" t="s">
        <v>246</v>
      </c>
      <c r="D79" s="277"/>
      <c r="E79" s="277"/>
      <c r="F79" s="277"/>
      <c r="G79" s="277"/>
      <c r="H79" s="277"/>
      <c r="I79" s="277"/>
      <c r="J79" s="277"/>
    </row>
    <row r="80" spans="1:10" x14ac:dyDescent="0.2">
      <c r="C80" s="290" t="s">
        <v>247</v>
      </c>
      <c r="D80" s="311"/>
      <c r="E80" s="363"/>
      <c r="F80" s="290"/>
      <c r="G80" s="277"/>
      <c r="H80" s="277"/>
      <c r="I80" s="277"/>
      <c r="J80" s="277"/>
    </row>
    <row r="81" spans="3:10" x14ac:dyDescent="0.2">
      <c r="C81" s="290" t="s">
        <v>248</v>
      </c>
      <c r="D81" s="311"/>
      <c r="E81" s="363"/>
      <c r="F81" s="290"/>
      <c r="G81" s="277"/>
      <c r="H81" s="277"/>
      <c r="I81" s="277"/>
      <c r="J81" s="277"/>
    </row>
    <row r="82" spans="3:10" x14ac:dyDescent="0.2">
      <c r="C82" s="290" t="s">
        <v>249</v>
      </c>
      <c r="D82" s="277"/>
      <c r="E82" s="277"/>
      <c r="F82" s="277"/>
      <c r="G82" s="277"/>
      <c r="H82" s="277"/>
      <c r="I82" s="277"/>
      <c r="J82" s="277"/>
    </row>
    <row r="83" spans="3:10" x14ac:dyDescent="0.2">
      <c r="C83" s="290" t="s">
        <v>250</v>
      </c>
      <c r="D83" s="277"/>
      <c r="E83" s="277"/>
      <c r="F83" s="277"/>
      <c r="G83" s="277"/>
      <c r="H83" s="277"/>
      <c r="I83" s="277"/>
      <c r="J83" s="277"/>
    </row>
    <row r="84" spans="3:10" x14ac:dyDescent="0.2">
      <c r="C84" s="290" t="s">
        <v>251</v>
      </c>
      <c r="D84" s="277"/>
      <c r="E84" s="277"/>
      <c r="F84" s="277"/>
      <c r="G84" s="277"/>
      <c r="H84" s="277"/>
      <c r="I84" s="277"/>
      <c r="J84" s="277"/>
    </row>
    <row r="85" spans="3:10" x14ac:dyDescent="0.2">
      <c r="C85" s="290" t="s">
        <v>252</v>
      </c>
      <c r="D85" s="277"/>
      <c r="E85" s="277"/>
      <c r="F85" s="277"/>
      <c r="G85" s="277"/>
      <c r="H85" s="277"/>
      <c r="I85" s="277"/>
      <c r="J85" s="277"/>
    </row>
    <row r="86" spans="3:10" x14ac:dyDescent="0.2">
      <c r="C86" s="290" t="s">
        <v>253</v>
      </c>
      <c r="D86" s="277"/>
      <c r="E86" s="277"/>
      <c r="F86" s="277"/>
      <c r="G86" s="277"/>
      <c r="H86" s="277"/>
      <c r="I86" s="277"/>
      <c r="J86" s="277"/>
    </row>
    <row r="87" spans="3:10" x14ac:dyDescent="0.2">
      <c r="C87" s="290" t="s">
        <v>254</v>
      </c>
      <c r="D87" s="288"/>
      <c r="E87" s="379"/>
      <c r="F87" s="379"/>
      <c r="G87" s="379"/>
      <c r="H87" s="277"/>
      <c r="I87" s="277"/>
      <c r="J87" s="277"/>
    </row>
    <row r="88" spans="3:10" x14ac:dyDescent="0.2">
      <c r="C88" s="380" t="s">
        <v>255</v>
      </c>
      <c r="D88" s="288"/>
      <c r="E88" s="379"/>
      <c r="F88" s="379"/>
      <c r="G88" s="379"/>
      <c r="H88" s="277"/>
      <c r="I88" s="277"/>
      <c r="J88" s="277"/>
    </row>
    <row r="89" spans="3:10" x14ac:dyDescent="0.2">
      <c r="C89" s="380" t="s">
        <v>256</v>
      </c>
      <c r="D89" s="288"/>
      <c r="E89" s="379"/>
      <c r="F89" s="379"/>
      <c r="G89" s="379"/>
      <c r="H89" s="277"/>
      <c r="I89" s="277"/>
      <c r="J89" s="277"/>
    </row>
    <row r="90" spans="3:10" x14ac:dyDescent="0.2">
      <c r="C90" s="380" t="s">
        <v>257</v>
      </c>
      <c r="D90" s="288"/>
      <c r="E90" s="379"/>
      <c r="F90" s="379"/>
      <c r="G90" s="379"/>
      <c r="H90" s="277"/>
      <c r="I90" s="277"/>
      <c r="J90" s="277"/>
    </row>
    <row r="91" spans="3:10" x14ac:dyDescent="0.2">
      <c r="C91" s="290" t="s">
        <v>258</v>
      </c>
      <c r="D91" s="288"/>
      <c r="E91" s="379"/>
      <c r="F91" s="379"/>
      <c r="G91" s="379"/>
      <c r="H91" s="277"/>
      <c r="I91" s="277"/>
      <c r="J91" s="277"/>
    </row>
    <row r="92" spans="3:10" x14ac:dyDescent="0.2">
      <c r="C92" s="380" t="s">
        <v>259</v>
      </c>
      <c r="D92" s="288"/>
      <c r="E92" s="379"/>
      <c r="F92" s="379"/>
      <c r="G92" s="379"/>
      <c r="H92" s="277"/>
      <c r="I92" s="277"/>
      <c r="J92" s="277"/>
    </row>
    <row r="93" spans="3:10" x14ac:dyDescent="0.2">
      <c r="C93" s="380" t="s">
        <v>260</v>
      </c>
      <c r="D93" s="288"/>
      <c r="E93" s="379"/>
      <c r="F93" s="379"/>
      <c r="G93" s="379"/>
      <c r="H93" s="277"/>
      <c r="I93" s="277"/>
      <c r="J93" s="277"/>
    </row>
    <row r="94" spans="3:10" x14ac:dyDescent="0.2">
      <c r="C94" s="380" t="s">
        <v>261</v>
      </c>
      <c r="D94" s="288"/>
      <c r="E94" s="379"/>
      <c r="F94" s="379"/>
      <c r="G94" s="379"/>
      <c r="H94" s="277"/>
      <c r="I94" s="277"/>
      <c r="J94" s="277"/>
    </row>
    <row r="95" spans="3:10" x14ac:dyDescent="0.2">
      <c r="C95" s="380" t="s">
        <v>262</v>
      </c>
      <c r="D95" s="288"/>
      <c r="E95" s="379"/>
      <c r="F95" s="379"/>
      <c r="G95" s="379"/>
      <c r="H95" s="277"/>
      <c r="I95" s="277"/>
      <c r="J95" s="277"/>
    </row>
    <row r="96" spans="3:10" x14ac:dyDescent="0.2">
      <c r="C96" s="290" t="s">
        <v>263</v>
      </c>
      <c r="D96" s="288"/>
      <c r="E96" s="379"/>
      <c r="F96" s="379"/>
      <c r="G96" s="379"/>
      <c r="H96" s="379"/>
      <c r="I96" s="277"/>
      <c r="J96" s="277"/>
    </row>
    <row r="97" spans="3:10" x14ac:dyDescent="0.2">
      <c r="C97" s="380" t="s">
        <v>264</v>
      </c>
      <c r="D97" s="288"/>
      <c r="E97" s="379"/>
      <c r="F97" s="379"/>
      <c r="G97" s="379"/>
      <c r="H97" s="277"/>
      <c r="I97" s="277"/>
      <c r="J97" s="277"/>
    </row>
    <row r="98" spans="3:10" x14ac:dyDescent="0.2">
      <c r="C98" s="71" t="s">
        <v>265</v>
      </c>
      <c r="D98" s="288"/>
      <c r="E98" s="379"/>
      <c r="F98" s="379"/>
      <c r="G98" s="379"/>
      <c r="H98" s="277"/>
      <c r="I98" s="277"/>
      <c r="J98" s="277"/>
    </row>
    <row r="99" spans="3:10" x14ac:dyDescent="0.2">
      <c r="C99" s="71" t="s">
        <v>266</v>
      </c>
      <c r="D99" s="288"/>
      <c r="E99" s="379"/>
      <c r="F99" s="379"/>
      <c r="G99" s="379"/>
      <c r="H99" s="277"/>
      <c r="I99" s="277"/>
      <c r="J99" s="277"/>
    </row>
    <row r="100" spans="3:10" x14ac:dyDescent="0.2">
      <c r="C100" s="71" t="s">
        <v>267</v>
      </c>
      <c r="D100" s="288"/>
      <c r="E100" s="379"/>
      <c r="F100" s="379"/>
      <c r="G100" s="379"/>
      <c r="H100" s="277"/>
      <c r="I100" s="277"/>
      <c r="J100" s="277"/>
    </row>
    <row r="101" spans="3:10" x14ac:dyDescent="0.2">
      <c r="C101" s="71" t="s">
        <v>266</v>
      </c>
      <c r="D101" s="288"/>
      <c r="E101" s="379"/>
      <c r="F101" s="379"/>
      <c r="G101" s="379"/>
      <c r="H101" s="277"/>
      <c r="I101" s="277"/>
      <c r="J101" s="277"/>
    </row>
    <row r="102" spans="3:10" x14ac:dyDescent="0.2">
      <c r="C102" s="71" t="s">
        <v>268</v>
      </c>
      <c r="D102" s="288"/>
      <c r="E102" s="379"/>
      <c r="F102" s="379"/>
      <c r="G102" s="379"/>
      <c r="H102" s="277"/>
      <c r="I102" s="277"/>
      <c r="J102" s="277"/>
    </row>
    <row r="103" spans="3:10" x14ac:dyDescent="0.2">
      <c r="C103" s="380" t="s">
        <v>269</v>
      </c>
      <c r="D103" s="288"/>
      <c r="E103" s="379"/>
      <c r="F103" s="379"/>
      <c r="G103" s="379"/>
      <c r="H103" s="277"/>
      <c r="I103" s="277"/>
      <c r="J103" s="277"/>
    </row>
    <row r="104" spans="3:10" x14ac:dyDescent="0.2">
      <c r="C104" s="380" t="s">
        <v>270</v>
      </c>
      <c r="D104" s="288"/>
      <c r="E104" s="379"/>
      <c r="F104" s="379"/>
      <c r="G104" s="379"/>
      <c r="H104" s="277"/>
      <c r="I104" s="277"/>
      <c r="J104" s="277"/>
    </row>
    <row r="105" spans="3:10" x14ac:dyDescent="0.2">
      <c r="C105" s="72" t="s">
        <v>271</v>
      </c>
      <c r="D105" s="55"/>
      <c r="E105" s="55"/>
      <c r="F105" s="55"/>
      <c r="G105" s="55"/>
      <c r="H105" s="55"/>
      <c r="I105" s="55"/>
      <c r="J105" s="55"/>
    </row>
    <row r="106" spans="3:10" x14ac:dyDescent="0.2">
      <c r="C106" s="288" t="s">
        <v>272</v>
      </c>
      <c r="D106" s="277"/>
      <c r="E106" s="277"/>
      <c r="F106" s="277"/>
      <c r="G106" s="277"/>
      <c r="H106" s="277"/>
      <c r="I106" s="277"/>
      <c r="J106" s="277"/>
    </row>
    <row r="107" spans="3:10" x14ac:dyDescent="0.2">
      <c r="C107" s="72" t="s">
        <v>273</v>
      </c>
      <c r="D107" s="64"/>
      <c r="E107" s="64"/>
      <c r="F107" s="64"/>
      <c r="G107" s="64"/>
      <c r="H107" s="64"/>
      <c r="I107" s="64"/>
      <c r="J107" s="277"/>
    </row>
    <row r="108" spans="3:10" x14ac:dyDescent="0.2">
      <c r="C108" s="288" t="str">
        <f>"4) Determine the PBOPs exclusion.  The authorized amount of PBOPs expense (line "&amp;B68&amp;") may only be revised"</f>
        <v>4) Determine the PBOPs exclusion.  The authorized amount of PBOPs expense (line a) may only be revised</v>
      </c>
      <c r="D108" s="277"/>
      <c r="E108" s="277"/>
      <c r="F108" s="277"/>
      <c r="G108" s="277"/>
      <c r="H108" s="277"/>
      <c r="I108" s="277"/>
      <c r="J108" s="277"/>
    </row>
    <row r="109" spans="3:10" x14ac:dyDescent="0.2">
      <c r="C109" s="288" t="s">
        <v>274</v>
      </c>
      <c r="D109" s="277"/>
      <c r="E109" s="277"/>
      <c r="F109" s="277"/>
      <c r="G109" s="277"/>
      <c r="H109" s="277"/>
      <c r="I109" s="277"/>
      <c r="J109" s="277"/>
    </row>
    <row r="110" spans="3:10" x14ac:dyDescent="0.2">
      <c r="C110" s="288" t="s">
        <v>275</v>
      </c>
      <c r="D110" s="277"/>
      <c r="E110" s="277"/>
      <c r="F110" s="277"/>
      <c r="G110" s="277"/>
      <c r="H110" s="277"/>
      <c r="I110" s="277"/>
      <c r="J110" s="277"/>
    </row>
    <row r="111" spans="3:10" x14ac:dyDescent="0.2">
      <c r="C111" s="288" t="s">
        <v>276</v>
      </c>
      <c r="D111" s="277"/>
      <c r="E111" s="277"/>
      <c r="F111" s="277"/>
      <c r="G111" s="277"/>
      <c r="H111" s="277"/>
      <c r="I111" s="381" t="s">
        <v>277</v>
      </c>
      <c r="J111" s="382"/>
    </row>
    <row r="112" spans="3:10" x14ac:dyDescent="0.2">
      <c r="C112" s="288" t="s">
        <v>278</v>
      </c>
      <c r="D112" s="277"/>
      <c r="E112" s="277"/>
      <c r="F112" s="277"/>
      <c r="G112" s="277"/>
      <c r="H112" s="277"/>
      <c r="I112" s="277"/>
    </row>
  </sheetData>
  <pageMargins left="0.75" right="0.75" top="1" bottom="1" header="0.5" footer="0.5"/>
  <pageSetup scale="75" orientation="landscape" cellComments="asDisplayed" r:id="rId1"/>
  <headerFooter alignWithMargins="0">
    <oddHeader>&amp;CSchedule 20
Administrative and General Expenses
(Revised 2013 True Up TRR)&amp;RTO11 Annual Update
Attachment 4
WP-Schedule 3-One Time Adj True Up Adj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One Time Adj Explanation</vt:lpstr>
      <vt:lpstr>WP-Total Adj with Int</vt:lpstr>
      <vt:lpstr>WP-2013-14 SONGS Part Share</vt:lpstr>
      <vt:lpstr>WP-2012 True Up TRR Adj</vt:lpstr>
      <vt:lpstr>WP-2012 Sch4-TUTRR</vt:lpstr>
      <vt:lpstr>WP-2012 Sch20-AandG</vt:lpstr>
      <vt:lpstr>WP-2013 True Up TRR Adj</vt:lpstr>
      <vt:lpstr>WP-2013 Sch4-TUTRR</vt:lpstr>
      <vt:lpstr>WP-2013 Sch20-AandG</vt:lpstr>
      <vt:lpstr>WP-2014 True Up TRR Adj</vt:lpstr>
      <vt:lpstr>WP-2014 Sch4-TUTRR</vt:lpstr>
      <vt:lpstr>WP-2014 Sch20-AandG</vt:lpstr>
      <vt:lpstr>WP-2014 Sch22-NUCs</vt:lpstr>
      <vt:lpstr>'One Time Adj Explanation'!Print_Area</vt:lpstr>
      <vt:lpstr>'WP-2012 Sch20-AandG'!Print_Area</vt:lpstr>
      <vt:lpstr>'WP-2012 Sch4-TUTRR'!Print_Area</vt:lpstr>
      <vt:lpstr>'WP-2012 True Up TRR Adj'!Print_Area</vt:lpstr>
      <vt:lpstr>'WP-2013 Sch20-AandG'!Print_Area</vt:lpstr>
      <vt:lpstr>'WP-2013 Sch4-TUTRR'!Print_Area</vt:lpstr>
      <vt:lpstr>'WP-2013 True Up TRR Adj'!Print_Area</vt:lpstr>
      <vt:lpstr>'WP-2013-14 SONGS Part Share'!Print_Area</vt:lpstr>
      <vt:lpstr>'WP-2014 Sch20-AandG'!Print_Area</vt:lpstr>
      <vt:lpstr>'WP-2014 Sch22-NUCs'!Print_Area</vt:lpstr>
      <vt:lpstr>'WP-2014 Sch4-TUTRR'!Print_Area</vt:lpstr>
      <vt:lpstr>'WP-2014 True Up TRR Adj'!Print_Area</vt:lpstr>
      <vt:lpstr>'WP-Total Adj with Int'!Print_Area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2016-11-10T00:39:13Z</cp:lastPrinted>
  <dcterms:created xsi:type="dcterms:W3CDTF">2009-02-27T16:01:11Z</dcterms:created>
  <dcterms:modified xsi:type="dcterms:W3CDTF">2016-11-10T00:40:47Z</dcterms:modified>
</cp:coreProperties>
</file>